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D38F8E27-5631-4B18-9C99-2278DFE4C097}" xr6:coauthVersionLast="47" xr6:coauthVersionMax="47" xr10:uidLastSave="{00000000-0000-0000-0000-000000000000}"/>
  <bookViews>
    <workbookView xWindow="-96" yWindow="-96" windowWidth="23232" windowHeight="12432" tabRatio="945" firstSheet="11" activeTab="18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80" r:id="rId38"/>
    <pivotCache cacheId="184" r:id="rId39"/>
    <pivotCache cacheId="189" r:id="rId40"/>
    <pivotCache cacheId="194" r:id="rId41"/>
    <pivotCache cacheId="200" r:id="rId42"/>
    <pivotCache cacheId="205" r:id="rId43"/>
    <pivotCache cacheId="210" r:id="rId44"/>
    <pivotCache cacheId="2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32" l="1"/>
  <c r="E5" i="32" s="1"/>
  <c r="D6" i="32"/>
  <c r="E6" i="32" s="1"/>
  <c r="D7" i="32"/>
  <c r="E7" i="32" s="1"/>
  <c r="E4" i="32"/>
  <c r="D4" i="32"/>
  <c r="E20" i="34"/>
  <c r="D16" i="34"/>
  <c r="E16" i="34" s="1"/>
  <c r="D17" i="34"/>
  <c r="E17" i="34" s="1"/>
  <c r="E15" i="34"/>
  <c r="D15" i="34"/>
  <c r="D4" i="34"/>
  <c r="E4" i="34"/>
  <c r="D5" i="34"/>
  <c r="E5" i="34" s="1"/>
  <c r="D6" i="34"/>
  <c r="E6" i="34" s="1"/>
  <c r="D7" i="34"/>
  <c r="E7" i="34"/>
  <c r="D8" i="34"/>
  <c r="E8" i="34" s="1"/>
  <c r="D9" i="34"/>
  <c r="E9" i="34" s="1"/>
  <c r="D10" i="34"/>
  <c r="E10" i="34"/>
  <c r="D11" i="34"/>
  <c r="E11" i="34" s="1"/>
  <c r="D12" i="34"/>
  <c r="E12" i="34" s="1"/>
  <c r="D13" i="34"/>
  <c r="E13" i="34" s="1"/>
  <c r="E3" i="34"/>
  <c r="D3" i="34"/>
  <c r="C3" i="9"/>
  <c r="C4" i="9" l="1"/>
  <c r="C5" i="9"/>
  <c r="D4" i="9"/>
  <c r="D3" i="9"/>
  <c r="D33" i="17"/>
  <c r="E33" i="17" s="1"/>
  <c r="D34" i="17"/>
  <c r="E34" i="17" s="1"/>
  <c r="D35" i="17"/>
  <c r="E35" i="17"/>
  <c r="D36" i="17"/>
  <c r="E36" i="17" s="1"/>
  <c r="D37" i="17"/>
  <c r="E37" i="17"/>
  <c r="D38" i="17"/>
  <c r="E38" i="17"/>
  <c r="D39" i="17"/>
  <c r="E39" i="17" s="1"/>
  <c r="D40" i="17"/>
  <c r="E40" i="17" s="1"/>
  <c r="D41" i="17"/>
  <c r="E41" i="17"/>
  <c r="D42" i="17"/>
  <c r="E42" i="17" s="1"/>
  <c r="D43" i="17"/>
  <c r="E43" i="17"/>
  <c r="D44" i="17"/>
  <c r="E44" i="17"/>
  <c r="D45" i="17"/>
  <c r="E45" i="17" s="1"/>
  <c r="E32" i="17"/>
  <c r="D32" i="17"/>
  <c r="D24" i="34" l="1"/>
  <c r="D23" i="34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D56" i="17" s="1"/>
  <c r="C39" i="17"/>
  <c r="E56" i="17" s="1"/>
  <c r="C40" i="17"/>
  <c r="C41" i="17"/>
  <c r="C42" i="17"/>
  <c r="C43" i="17"/>
  <c r="C44" i="17"/>
  <c r="C45" i="17"/>
  <c r="C32" i="17"/>
  <c r="C56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D22" i="34" s="1"/>
  <c r="A8" i="34"/>
  <c r="C8" i="34" s="1"/>
  <c r="A9" i="34"/>
  <c r="C9" i="34" s="1"/>
  <c r="D21" i="34" s="1"/>
  <c r="A10" i="34"/>
  <c r="A11" i="34"/>
  <c r="A12" i="34"/>
  <c r="C12" i="34" s="1"/>
  <c r="A13" i="34"/>
  <c r="C13" i="34" s="1"/>
  <c r="A14" i="34"/>
  <c r="C14" i="34" s="1"/>
  <c r="A15" i="34"/>
  <c r="C15" i="34" s="1"/>
  <c r="D20" i="34" s="1"/>
  <c r="A16" i="34"/>
  <c r="C201" i="38" s="1"/>
  <c r="B26" i="6"/>
  <c r="C11" i="34" l="1"/>
  <c r="C23" i="34"/>
  <c r="C10" i="34"/>
  <c r="C24" i="34"/>
  <c r="E21" i="34"/>
  <c r="E22" i="34"/>
  <c r="E24" i="34"/>
  <c r="E23" i="34"/>
  <c r="C198" i="38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13" i="17" l="1"/>
  <c r="D12" i="17"/>
  <c r="D11" i="17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189" i="72" l="1" a="1"/>
  <c r="D189" i="72" s="1"/>
  <c r="D190" i="72" s="1" a="1"/>
  <c r="D190" i="72" s="1"/>
  <c r="D64" i="72" a="1"/>
  <c r="D64" i="72" s="1"/>
  <c r="D250" i="72" a="1"/>
  <c r="D250" i="72" s="1"/>
  <c r="D2" i="72" a="1"/>
  <c r="D2" i="72" s="1"/>
  <c r="D188" i="72" a="1"/>
  <c r="D188" i="72" s="1"/>
  <c r="D126" i="72" a="1"/>
  <c r="D126" i="72" s="1"/>
  <c r="D3" i="72" a="1"/>
  <c r="D3" i="72" s="1"/>
  <c r="D4" i="72" s="1" a="1"/>
  <c r="D4" i="72" s="1"/>
  <c r="D127" i="72" a="1"/>
  <c r="D127" i="72" s="1"/>
  <c r="D251" i="72" a="1"/>
  <c r="D251" i="72" s="1"/>
  <c r="D252" i="72" s="1" a="1"/>
  <c r="D252" i="72" s="1"/>
  <c r="D65" i="72" a="1"/>
  <c r="D65" i="72" s="1"/>
  <c r="D66" i="72" s="1" a="1"/>
  <c r="D66" i="72" s="1"/>
  <c r="D67" i="72" s="1" a="1"/>
  <c r="D67" i="72" s="1"/>
  <c r="D128" i="72" a="1"/>
  <c r="D128" i="72" s="1"/>
  <c r="D129" i="72" s="1" a="1"/>
  <c r="D129" i="72" s="1"/>
  <c r="D33" i="72" a="1"/>
  <c r="D33" i="72" s="1"/>
  <c r="D157" i="72" a="1"/>
  <c r="D157" i="72" s="1"/>
  <c r="D220" i="72" a="1"/>
  <c r="D220" i="72" s="1"/>
  <c r="D221" i="72" s="1" a="1"/>
  <c r="D221" i="72" s="1"/>
  <c r="D222" i="72" s="1" a="1"/>
  <c r="D222" i="72" s="1"/>
  <c r="D96" i="72" a="1"/>
  <c r="D96" i="72" s="1"/>
  <c r="D97" i="72" s="1" a="1"/>
  <c r="D97" i="72" s="1"/>
  <c r="D95" i="72" a="1"/>
  <c r="D95" i="72" s="1"/>
  <c r="D219" i="72" a="1"/>
  <c r="D219" i="72" s="1"/>
  <c r="D281" i="72" a="1"/>
  <c r="D281" i="72" s="1"/>
  <c r="D282" i="72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84" i="72" l="1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130" i="72" a="1"/>
  <c r="D130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87" i="72" l="1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a="1"/>
  <c r="D36" i="72" s="1"/>
  <c r="D131" i="72" a="1"/>
  <c r="D131" i="72" s="1"/>
  <c r="D132" i="72" s="1" a="1"/>
  <c r="D132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62" i="72" a="1"/>
  <c r="D162" i="72" s="1"/>
  <c r="D163" i="72" s="1" a="1"/>
  <c r="D163" i="72" s="1"/>
  <c r="D164" i="72" s="1" a="1"/>
  <c r="D164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11" i="72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37" i="72" a="1"/>
  <c r="D37" i="72" s="1"/>
  <c r="D38" i="72" s="1" a="1"/>
  <c r="D38" i="72" s="1"/>
  <c r="D257" i="72" a="1"/>
  <c r="D257" i="72" s="1"/>
  <c r="Z5" i="20"/>
  <c r="P28" i="18"/>
  <c r="P26" i="18"/>
  <c r="Z3" i="20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L16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44" i="72" l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197" i="72" l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J129" i="58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22" i="41" l="1"/>
  <c r="J133" i="41"/>
  <c r="J129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AB3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AC3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5" i="9" l="1"/>
  <c r="U7" i="9"/>
  <c r="V5" i="9"/>
  <c r="U9" i="9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V7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O45" i="20" l="1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416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313" i="58"/>
  <c r="I304" i="58"/>
  <c r="H196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H196" i="41"/>
  <c r="J453" i="41"/>
  <c r="I444" i="41"/>
  <c r="J454" i="41"/>
  <c r="H311" i="41"/>
  <c r="H453" i="41"/>
  <c r="J446" i="41"/>
  <c r="I334" i="41"/>
  <c r="H173" i="41"/>
  <c r="H445" i="41"/>
  <c r="J313" i="41"/>
  <c r="J450" i="41"/>
  <c r="I449" i="41"/>
  <c r="J251" i="41"/>
  <c r="I445" i="41"/>
  <c r="J444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Z43" i="66"/>
  <c r="Y43" i="66"/>
  <c r="Y187" i="66"/>
  <c r="Z187" i="66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G202" i="66"/>
  <c r="I451" i="58"/>
  <c r="I12" i="41"/>
  <c r="C57" i="63"/>
  <c r="I453" i="41"/>
  <c r="M112" i="66"/>
  <c r="J490" i="37"/>
  <c r="J491" i="37"/>
  <c r="J492" i="37"/>
  <c r="J445" i="41"/>
  <c r="I426" i="58"/>
  <c r="F222" i="66" s="1"/>
  <c r="N222" i="66" s="1"/>
  <c r="H442" i="41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Z30" i="66"/>
  <c r="Z174" i="66"/>
  <c r="Y174" i="66"/>
  <c r="Y30" i="66"/>
  <c r="I324" i="41"/>
  <c r="J323" i="41"/>
  <c r="H295" i="41"/>
  <c r="H192" i="41"/>
  <c r="J345" i="41"/>
  <c r="H380" i="41"/>
  <c r="D45" i="57"/>
  <c r="F162" i="66"/>
  <c r="N162" i="66" s="1"/>
  <c r="H297" i="41"/>
  <c r="H318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J142" i="41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H367" i="41"/>
  <c r="H257" i="41"/>
  <c r="H386" i="41"/>
  <c r="I141" i="41"/>
  <c r="D51" i="57"/>
  <c r="F157" i="66"/>
  <c r="N157" i="66" s="1"/>
  <c r="I321" i="41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18" i="66"/>
  <c r="N18" i="66" s="1"/>
  <c r="H165" i="41"/>
  <c r="D6" i="57"/>
  <c r="J334" i="41"/>
  <c r="H363" i="41"/>
  <c r="J358" i="41"/>
  <c r="J305" i="41"/>
  <c r="Z267" i="66"/>
  <c r="Y267" i="66"/>
  <c r="Y123" i="66"/>
  <c r="O123" i="66"/>
  <c r="Z123" i="66"/>
  <c r="Y143" i="66"/>
  <c r="Z287" i="66"/>
  <c r="Y287" i="66"/>
  <c r="Z143" i="66"/>
  <c r="O143" i="66"/>
  <c r="F185" i="66"/>
  <c r="D47" i="57"/>
  <c r="M3" i="58"/>
  <c r="H304" i="41"/>
  <c r="H259" i="66"/>
  <c r="H163" i="66"/>
  <c r="E8" i="53"/>
  <c r="H211" i="66"/>
  <c r="F163" i="66"/>
  <c r="H414" i="41"/>
  <c r="H307" i="41"/>
  <c r="H186" i="41"/>
  <c r="J176" i="41"/>
  <c r="F33" i="66"/>
  <c r="N33" i="66" s="1"/>
  <c r="H285" i="41"/>
  <c r="D11" i="57"/>
  <c r="H144" i="41"/>
  <c r="H369" i="41"/>
  <c r="D13" i="57"/>
  <c r="F23" i="66"/>
  <c r="N23" i="66" s="1"/>
  <c r="H301" i="41"/>
  <c r="J189" i="41"/>
  <c r="J156" i="58"/>
  <c r="I156" i="58"/>
  <c r="H160" i="58"/>
  <c r="H156" i="58"/>
  <c r="C34" i="63" s="1"/>
  <c r="H164" i="58"/>
  <c r="F56" i="66"/>
  <c r="D44" i="39"/>
  <c r="E110" i="38" s="1"/>
  <c r="I492" i="41"/>
  <c r="D17" i="39" s="1"/>
  <c r="H314" i="41"/>
  <c r="H222" i="41"/>
  <c r="J237" i="41"/>
  <c r="F13" i="66"/>
  <c r="N13" i="66" s="1"/>
  <c r="D12" i="57"/>
  <c r="H345" i="41"/>
  <c r="J322" i="41"/>
  <c r="H177" i="41"/>
  <c r="D10" i="57"/>
  <c r="F14" i="66"/>
  <c r="N14" i="66" s="1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F24" i="66"/>
  <c r="N24" i="66" s="1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I249" i="41"/>
  <c r="H253" i="41"/>
  <c r="H340" i="41"/>
  <c r="H306" i="41"/>
  <c r="Q267" i="66"/>
  <c r="R267" i="66" s="1"/>
  <c r="T267" i="66" s="1"/>
  <c r="F65" i="66"/>
  <c r="N65" i="66" s="1"/>
  <c r="I490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J426" i="58"/>
  <c r="F270" i="66" s="1"/>
  <c r="N270" i="66" s="1"/>
  <c r="F106" i="66"/>
  <c r="J491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F152" i="66"/>
  <c r="K44" i="39"/>
  <c r="E144" i="38" s="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F16" i="66"/>
  <c r="D5" i="57"/>
  <c r="H280" i="41"/>
  <c r="J490" i="41"/>
  <c r="F113" i="66"/>
  <c r="N113" i="66" s="1"/>
  <c r="I369" i="41"/>
  <c r="I387" i="41"/>
  <c r="Q249" i="66"/>
  <c r="R249" i="66" s="1"/>
  <c r="T249" i="66" s="1"/>
  <c r="H308" i="41"/>
  <c r="H411" i="41"/>
  <c r="F148" i="66"/>
  <c r="N148" i="66" s="1"/>
  <c r="D42" i="57"/>
  <c r="H403" i="41"/>
  <c r="H413" i="41"/>
  <c r="D48" i="57"/>
  <c r="F173" i="66"/>
  <c r="H243" i="41"/>
  <c r="J388" i="41"/>
  <c r="H279" i="41"/>
  <c r="H197" i="41"/>
  <c r="I491" i="41"/>
  <c r="F58" i="66"/>
  <c r="I426" i="41"/>
  <c r="F78" i="66"/>
  <c r="N78" i="66" s="1"/>
  <c r="F168" i="66"/>
  <c r="N168" i="66" s="1"/>
  <c r="D46" i="57"/>
  <c r="Q47" i="66"/>
  <c r="J207" i="41"/>
  <c r="Z285" i="66"/>
  <c r="Z141" i="66"/>
  <c r="Y285" i="66"/>
  <c r="Y141" i="66"/>
  <c r="O141" i="66"/>
  <c r="F160" i="66"/>
  <c r="D44" i="57"/>
  <c r="J216" i="41"/>
  <c r="H181" i="41"/>
  <c r="H294" i="41"/>
  <c r="H228" i="41"/>
  <c r="H284" i="41"/>
  <c r="F34" i="66"/>
  <c r="D14" i="57"/>
  <c r="E4" i="53"/>
  <c r="F4" i="53" s="1"/>
  <c r="H10" i="53" s="1"/>
  <c r="H387" i="41"/>
  <c r="J225" i="41"/>
  <c r="O251" i="66"/>
  <c r="I217" i="41"/>
  <c r="H337" i="41"/>
  <c r="J321" i="41"/>
  <c r="F17" i="66"/>
  <c r="N17" i="66" s="1"/>
  <c r="H490" i="41"/>
  <c r="D3" i="57"/>
  <c r="F4" i="66"/>
  <c r="N4" i="66" s="1"/>
  <c r="H225" i="41"/>
  <c r="D9" i="57"/>
  <c r="H303" i="41"/>
  <c r="F29" i="66"/>
  <c r="J249" i="41"/>
  <c r="Q175" i="66"/>
  <c r="Z249" i="66"/>
  <c r="O105" i="66"/>
  <c r="Z105" i="66"/>
  <c r="Y249" i="66"/>
  <c r="Y105" i="66"/>
  <c r="H218" i="41"/>
  <c r="I165" i="41"/>
  <c r="H274" i="41"/>
  <c r="H148" i="58"/>
  <c r="F104" i="66"/>
  <c r="E44" i="39"/>
  <c r="E127" i="38" s="1"/>
  <c r="J492" i="41"/>
  <c r="E17" i="39" s="1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O285" i="66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F178" i="66"/>
  <c r="E10" i="53"/>
  <c r="F10" i="53" s="1"/>
  <c r="J387" i="41"/>
  <c r="H149" i="41"/>
  <c r="I388" i="41"/>
  <c r="H406" i="41"/>
  <c r="H259" i="41"/>
  <c r="J191" i="41"/>
  <c r="H371" i="41"/>
  <c r="I305" i="41"/>
  <c r="G250" i="66"/>
  <c r="N250" i="66" s="1"/>
  <c r="J451" i="58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277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H230" i="41"/>
  <c r="N58" i="66" l="1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H5" i="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C50" i="39"/>
  <c r="E97" i="38" s="1"/>
  <c r="J29" i="66" s="1"/>
  <c r="H164" i="41"/>
  <c r="K49" i="39"/>
  <c r="E147" i="38" s="1"/>
  <c r="J160" i="66" s="1"/>
  <c r="K51" i="39"/>
  <c r="E149" i="38" s="1"/>
  <c r="J185" i="66" s="1"/>
  <c r="N185" i="66" s="1"/>
  <c r="C36" i="63"/>
  <c r="C49" i="39"/>
  <c r="E96" i="38" s="1"/>
  <c r="J16" i="66" s="1"/>
  <c r="N16" i="66" s="1"/>
  <c r="N182" i="66"/>
  <c r="N38" i="66"/>
  <c r="C47" i="39"/>
  <c r="E94" i="38" s="1"/>
  <c r="J19" i="66" s="1"/>
  <c r="K48" i="39"/>
  <c r="E146" i="38" s="1"/>
  <c r="J169" i="66" s="1"/>
  <c r="N169" i="66" s="1"/>
  <c r="E401" i="38"/>
  <c r="H496" i="58" s="1"/>
  <c r="H156" i="41"/>
  <c r="C51" i="39"/>
  <c r="E98" i="38" s="1"/>
  <c r="H465" i="37" s="1"/>
  <c r="K50" i="39"/>
  <c r="E148" i="38" s="1"/>
  <c r="H464" i="58" s="1"/>
  <c r="Y161" i="66"/>
  <c r="Z161" i="66"/>
  <c r="Z17" i="66"/>
  <c r="Y17" i="66"/>
  <c r="Q143" i="66"/>
  <c r="R143" i="66" s="1"/>
  <c r="T143" i="66" s="1"/>
  <c r="J152" i="66"/>
  <c r="H471" i="58"/>
  <c r="Z177" i="66"/>
  <c r="Y177" i="66"/>
  <c r="Z33" i="66"/>
  <c r="Y33" i="66"/>
  <c r="K47" i="39"/>
  <c r="E145" i="38" s="1"/>
  <c r="C6" i="63"/>
  <c r="H152" i="41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C48" i="39"/>
  <c r="E95" i="38" s="1"/>
  <c r="E398" i="38"/>
  <c r="Z257" i="66"/>
  <c r="Z113" i="66"/>
  <c r="Y113" i="66"/>
  <c r="Y257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Z158" i="66"/>
  <c r="Y158" i="66"/>
  <c r="Y14" i="66"/>
  <c r="Z14" i="66"/>
  <c r="J56" i="66"/>
  <c r="I471" i="37"/>
  <c r="Y18" i="66"/>
  <c r="Z162" i="66"/>
  <c r="Z18" i="66"/>
  <c r="Y162" i="66"/>
  <c r="H493" i="41"/>
  <c r="F39" i="66"/>
  <c r="N39" i="66" s="1"/>
  <c r="J104" i="66"/>
  <c r="J471" i="37"/>
  <c r="Z4" i="66"/>
  <c r="Y4" i="66"/>
  <c r="Y148" i="66"/>
  <c r="Z148" i="66"/>
  <c r="I156" i="41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Q105" i="66"/>
  <c r="R105" i="66" s="1"/>
  <c r="T105" i="66" s="1"/>
  <c r="Q141" i="66"/>
  <c r="R141" i="66" s="1"/>
  <c r="T141" i="66" s="1"/>
  <c r="Z24" i="66"/>
  <c r="Y24" i="66"/>
  <c r="Y168" i="66"/>
  <c r="Z168" i="66"/>
  <c r="H494" i="41"/>
  <c r="E3" i="53"/>
  <c r="F3" i="53" s="1"/>
  <c r="H9" i="53" s="1"/>
  <c r="F40" i="66"/>
  <c r="Y202" i="66" l="1"/>
  <c r="Z202" i="66"/>
  <c r="Y58" i="66"/>
  <c r="F17" i="39"/>
  <c r="E280" i="38"/>
  <c r="E286" i="38"/>
  <c r="E292" i="38"/>
  <c r="E298" i="38"/>
  <c r="M178" i="66" s="1"/>
  <c r="I7" i="6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M9" i="41"/>
  <c r="Y106" i="66"/>
  <c r="Z106" i="66"/>
  <c r="Z250" i="66"/>
  <c r="H464" i="37"/>
  <c r="H464" i="41" s="1"/>
  <c r="D2" i="53"/>
  <c r="F2" i="53" s="1"/>
  <c r="H8" i="53" s="1"/>
  <c r="H457" i="58"/>
  <c r="H465" i="58"/>
  <c r="H465" i="41" s="1"/>
  <c r="Z182" i="66"/>
  <c r="Y38" i="66"/>
  <c r="Z38" i="66"/>
  <c r="H457" i="37"/>
  <c r="Y182" i="66"/>
  <c r="H495" i="58"/>
  <c r="C41" i="63" s="1"/>
  <c r="H455" i="37"/>
  <c r="H456" i="58"/>
  <c r="J173" i="66"/>
  <c r="N173" i="66" s="1"/>
  <c r="H471" i="41"/>
  <c r="J41" i="66"/>
  <c r="N41" i="66" s="1"/>
  <c r="O185" i="66" s="1"/>
  <c r="E30" i="39"/>
  <c r="H497" i="58"/>
  <c r="F179" i="66" s="1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N56" i="66"/>
  <c r="P56" i="66"/>
  <c r="S56" i="66"/>
  <c r="K17" i="39"/>
  <c r="M8" i="41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P185" i="66"/>
  <c r="S185" i="66"/>
  <c r="R185" i="66"/>
  <c r="R169" i="66"/>
  <c r="P169" i="66"/>
  <c r="S169" i="66"/>
  <c r="S19" i="66"/>
  <c r="E411" i="38"/>
  <c r="F180" i="66"/>
  <c r="J471" i="41"/>
  <c r="Q17" i="39"/>
  <c r="P29" i="39"/>
  <c r="Q29" i="39" s="1"/>
  <c r="Z183" i="66"/>
  <c r="Y39" i="66"/>
  <c r="Y183" i="66"/>
  <c r="Z39" i="66"/>
  <c r="G9" i="53"/>
  <c r="H3" i="53"/>
  <c r="G3" i="53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P248" i="66"/>
  <c r="S248" i="66"/>
  <c r="H497" i="37"/>
  <c r="H495" i="37"/>
  <c r="H496" i="37"/>
  <c r="D8" i="53"/>
  <c r="F8" i="53" s="1"/>
  <c r="H2" i="53" s="1"/>
  <c r="H455" i="58"/>
  <c r="J163" i="66"/>
  <c r="E291" i="38" l="1"/>
  <c r="E297" i="38"/>
  <c r="M184" i="66" s="1"/>
  <c r="E279" i="38"/>
  <c r="E285" i="38"/>
  <c r="M289" i="66"/>
  <c r="H455" i="41"/>
  <c r="Q239" i="66"/>
  <c r="R239" i="66" s="1"/>
  <c r="T239" i="66" s="1"/>
  <c r="Q95" i="66"/>
  <c r="R95" i="66" s="1"/>
  <c r="T95" i="66" s="1"/>
  <c r="Q79" i="66"/>
  <c r="R79" i="66" s="1"/>
  <c r="T79" i="66" s="1"/>
  <c r="G2" i="53"/>
  <c r="E284" i="38" s="1"/>
  <c r="R173" i="66"/>
  <c r="H497" i="41"/>
  <c r="E410" i="38"/>
  <c r="L179" i="66" s="1"/>
  <c r="H457" i="41"/>
  <c r="P173" i="66"/>
  <c r="S173" i="66"/>
  <c r="P41" i="66"/>
  <c r="O173" i="66"/>
  <c r="T185" i="66"/>
  <c r="R41" i="66"/>
  <c r="Z41" i="66"/>
  <c r="S41" i="66"/>
  <c r="Y185" i="66"/>
  <c r="Y41" i="66"/>
  <c r="O41" i="66"/>
  <c r="Z185" i="66"/>
  <c r="O200" i="66"/>
  <c r="H456" i="41"/>
  <c r="Q185" i="66"/>
  <c r="T16" i="66"/>
  <c r="T152" i="66"/>
  <c r="T169" i="66"/>
  <c r="Z160" i="66"/>
  <c r="Q160" i="66"/>
  <c r="T160" i="66"/>
  <c r="T8" i="66"/>
  <c r="O16" i="66"/>
  <c r="T29" i="66"/>
  <c r="Z248" i="66"/>
  <c r="O104" i="66"/>
  <c r="Z104" i="66"/>
  <c r="Y248" i="66"/>
  <c r="Y104" i="66"/>
  <c r="Y16" i="66"/>
  <c r="Z8" i="66"/>
  <c r="Z152" i="66"/>
  <c r="Y8" i="66"/>
  <c r="O8" i="66"/>
  <c r="Y152" i="66"/>
  <c r="M145" i="66"/>
  <c r="G8" i="53"/>
  <c r="E405" i="38"/>
  <c r="F36" i="66"/>
  <c r="H496" i="41"/>
  <c r="Z16" i="66"/>
  <c r="O248" i="66"/>
  <c r="O152" i="66"/>
  <c r="L34" i="66"/>
  <c r="Y29" i="66"/>
  <c r="Y173" i="66"/>
  <c r="Z29" i="66"/>
  <c r="Z173" i="66"/>
  <c r="O29" i="66"/>
  <c r="K29" i="39"/>
  <c r="S163" i="66"/>
  <c r="Y160" i="66"/>
  <c r="L178" i="66"/>
  <c r="M34" i="66"/>
  <c r="B18" i="8"/>
  <c r="C11" i="63"/>
  <c r="H495" i="41"/>
  <c r="L180" i="66"/>
  <c r="N180" i="66" s="1"/>
  <c r="J29" i="39"/>
  <c r="P25" i="66"/>
  <c r="R25" i="66"/>
  <c r="S25" i="66"/>
  <c r="N25" i="66"/>
  <c r="E404" i="38"/>
  <c r="F35" i="66"/>
  <c r="L29" i="39"/>
  <c r="Z56" i="66"/>
  <c r="Z200" i="66"/>
  <c r="O56" i="66"/>
  <c r="Y56" i="66"/>
  <c r="Y200" i="66"/>
  <c r="E296" i="38" l="1"/>
  <c r="M163" i="66" s="1"/>
  <c r="E290" i="38"/>
  <c r="E278" i="38"/>
  <c r="L19" i="66" s="1"/>
  <c r="M19" i="66"/>
  <c r="T173" i="66"/>
  <c r="Q41" i="66"/>
  <c r="Q173" i="66"/>
  <c r="Q200" i="66"/>
  <c r="R200" i="66" s="1"/>
  <c r="T200" i="66" s="1"/>
  <c r="T41" i="66"/>
  <c r="R179" i="66"/>
  <c r="T179" i="66" s="1"/>
  <c r="P179" i="66"/>
  <c r="V179" i="66" s="1"/>
  <c r="X179" i="66" s="1"/>
  <c r="Q152" i="66"/>
  <c r="Q104" i="66"/>
  <c r="R104" i="66" s="1"/>
  <c r="T104" i="66" s="1"/>
  <c r="Q16" i="66"/>
  <c r="R34" i="66"/>
  <c r="T34" i="66" s="1"/>
  <c r="P34" i="66"/>
  <c r="N34" i="66"/>
  <c r="M40" i="66"/>
  <c r="B17" i="8"/>
  <c r="T25" i="66"/>
  <c r="Q29" i="66"/>
  <c r="Q8" i="66"/>
  <c r="L35" i="66"/>
  <c r="N35" i="66" s="1"/>
  <c r="O25" i="66"/>
  <c r="Z25" i="66"/>
  <c r="Y25" i="66"/>
  <c r="Y169" i="66"/>
  <c r="Z169" i="66"/>
  <c r="O169" i="66"/>
  <c r="L40" i="66"/>
  <c r="R178" i="66"/>
  <c r="T178" i="66" s="1"/>
  <c r="P178" i="66"/>
  <c r="N178" i="66"/>
  <c r="L36" i="66"/>
  <c r="Q56" i="66"/>
  <c r="R56" i="66" s="1"/>
  <c r="T56" i="66" s="1"/>
  <c r="N179" i="66"/>
  <c r="P180" i="66"/>
  <c r="V180" i="66" s="1"/>
  <c r="X180" i="66" s="1"/>
  <c r="R180" i="66"/>
  <c r="T180" i="66" s="1"/>
  <c r="L184" i="66"/>
  <c r="Q248" i="66"/>
  <c r="R248" i="66" s="1"/>
  <c r="T248" i="66" s="1"/>
  <c r="O178" i="66" l="1"/>
  <c r="P40" i="66"/>
  <c r="V40" i="66" s="1"/>
  <c r="X40" i="66" s="1"/>
  <c r="R40" i="66"/>
  <c r="T40" i="66" s="1"/>
  <c r="N40" i="66"/>
  <c r="Q25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Y178" i="66"/>
  <c r="O34" i="66"/>
  <c r="Z34" i="66"/>
  <c r="Y34" i="66"/>
  <c r="Z178" i="66"/>
  <c r="Q169" i="66"/>
  <c r="B16" i="8"/>
  <c r="O179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N19" i="66"/>
  <c r="P19" i="66"/>
  <c r="R19" i="66"/>
  <c r="T19" i="66" s="1"/>
  <c r="Q178" i="66" l="1"/>
  <c r="O184" i="66"/>
  <c r="Q184" i="66" s="1"/>
  <c r="Y184" i="66"/>
  <c r="O40" i="66"/>
  <c r="Z184" i="66"/>
  <c r="Y40" i="66"/>
  <c r="Z40" i="66"/>
  <c r="R163" i="66"/>
  <c r="T163" i="66" s="1"/>
  <c r="P163" i="66"/>
  <c r="N163" i="66"/>
  <c r="O163" i="66" s="1"/>
  <c r="U35" i="66"/>
  <c r="Q35" i="66"/>
  <c r="U179" i="66"/>
  <c r="Q179" i="66"/>
  <c r="Q34" i="66"/>
  <c r="O36" i="66"/>
  <c r="Z180" i="66"/>
  <c r="Y180" i="66"/>
  <c r="Y36" i="66"/>
  <c r="Z36" i="66"/>
  <c r="O180" i="66"/>
  <c r="U184" i="66" l="1"/>
  <c r="Y19" i="66"/>
  <c r="Q163" i="66"/>
  <c r="Q36" i="66"/>
  <c r="U36" i="66"/>
  <c r="Q40" i="66"/>
  <c r="U40" i="66"/>
  <c r="Z19" i="66"/>
  <c r="U180" i="66"/>
  <c r="Q180" i="66"/>
  <c r="Y163" i="66"/>
  <c r="O19" i="66"/>
  <c r="Z163" i="66"/>
  <c r="Q19" i="66" l="1"/>
  <c r="H488" i="58" l="1"/>
  <c r="H488" i="37"/>
  <c r="H487" i="58"/>
  <c r="H487" i="37"/>
  <c r="H487" i="41" l="1"/>
  <c r="H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P214" i="66"/>
  <c r="S214" i="66"/>
  <c r="H482" i="37"/>
  <c r="H482" i="58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166" i="66"/>
  <c r="H482" i="41"/>
  <c r="Q214" i="66"/>
  <c r="R214" i="66" s="1"/>
  <c r="T214" i="66" s="1"/>
  <c r="H481" i="37"/>
  <c r="H481" i="58"/>
  <c r="J5" i="41"/>
  <c r="M52" i="39" s="1"/>
  <c r="E184" i="38" s="1"/>
  <c r="F116" i="66"/>
  <c r="E30" i="53"/>
  <c r="H483" i="37"/>
  <c r="H483" i="58"/>
  <c r="E36" i="53"/>
  <c r="F260" i="66"/>
  <c r="Q22" i="66"/>
  <c r="T22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185" i="66"/>
  <c r="U185" i="66"/>
  <c r="W41" i="66"/>
  <c r="V185" i="66"/>
  <c r="U41" i="66"/>
  <c r="V41" i="66"/>
  <c r="W16" i="66"/>
  <c r="W160" i="66"/>
  <c r="V16" i="66"/>
  <c r="V160" i="66"/>
  <c r="U160" i="66"/>
  <c r="U16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U178" i="66"/>
  <c r="U34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169" i="66"/>
  <c r="W25" i="66"/>
  <c r="V169" i="66"/>
  <c r="V25" i="66"/>
  <c r="U169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9" i="66"/>
  <c r="V29" i="66"/>
  <c r="W173" i="66"/>
  <c r="U29" i="66"/>
  <c r="V173" i="66"/>
  <c r="U173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163" i="66"/>
  <c r="V19" i="66"/>
  <c r="V163" i="66"/>
  <c r="U163" i="66"/>
  <c r="U19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160" i="66"/>
  <c r="X31" i="66"/>
  <c r="X260" i="66"/>
  <c r="X22" i="66"/>
  <c r="X196" i="66"/>
  <c r="X29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92" i="66"/>
  <c r="X175" i="66"/>
  <c r="X34" i="66"/>
  <c r="X135" i="66"/>
  <c r="X134" i="66"/>
  <c r="X168" i="66"/>
  <c r="X4" i="66"/>
  <c r="X203" i="66"/>
  <c r="X182" i="66"/>
  <c r="X16" i="66"/>
  <c r="X41" i="66"/>
  <c r="X262" i="66"/>
  <c r="X95" i="66"/>
  <c r="X201" i="66"/>
  <c r="X169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15" i="66"/>
  <c r="X24" i="66"/>
  <c r="X100" i="66"/>
  <c r="X11" i="66"/>
  <c r="X20" i="66"/>
  <c r="X166" i="66"/>
  <c r="X143" i="66"/>
  <c r="X8" i="66"/>
  <c r="X155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251" i="72"/>
  <c r="G282" i="72"/>
  <c r="G158" i="72"/>
  <c r="G127" i="72"/>
  <c r="G96" i="72"/>
  <c r="G65" i="72"/>
  <c r="G34" i="72"/>
  <c r="G3" i="72"/>
  <c r="E65" i="72" l="1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 l="1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4" i="72"/>
  <c r="F4" i="72" s="1"/>
  <c r="E221" i="72"/>
  <c r="F221" i="72" s="1"/>
  <c r="E97" i="72"/>
  <c r="F97" i="72" s="1"/>
  <c r="E128" i="72"/>
  <c r="F128" i="72" s="1"/>
  <c r="E160" i="72" l="1"/>
  <c r="F160" i="72" s="1"/>
  <c r="G161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6" i="72"/>
  <c r="F36" i="72" s="1"/>
  <c r="E253" i="72"/>
  <c r="F253" i="72" s="1"/>
  <c r="E191" i="72"/>
  <c r="F191" i="72" s="1"/>
  <c r="E67" i="72"/>
  <c r="F67" i="72" s="1"/>
  <c r="H162" i="72" l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" i="72"/>
  <c r="F5" i="72" s="1"/>
  <c r="E99" i="72" l="1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J4" i="37"/>
  <c r="J4" i="58"/>
  <c r="E68" i="72"/>
  <c r="F68" i="72" s="1"/>
  <c r="E286" i="72"/>
  <c r="F286" i="72" s="1"/>
  <c r="I4" i="37"/>
  <c r="I4" i="58"/>
  <c r="E130" i="72"/>
  <c r="F130" i="72" s="1"/>
  <c r="E254" i="72"/>
  <c r="F254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2" i="72"/>
  <c r="F192" i="72" s="1"/>
  <c r="E223" i="72"/>
  <c r="F223" i="72" s="1"/>
  <c r="E162" i="72"/>
  <c r="F162" i="72" s="1"/>
  <c r="E6" i="72" l="1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H4" i="58"/>
  <c r="H4" i="37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8" i="72"/>
  <c r="F38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F197" i="66"/>
  <c r="E25" i="53"/>
  <c r="N4" i="58"/>
  <c r="O4" i="58"/>
  <c r="E37" i="53"/>
  <c r="F245" i="66"/>
  <c r="E19" i="53"/>
  <c r="I4" i="41"/>
  <c r="D45" i="39" s="1"/>
  <c r="F53" i="66"/>
  <c r="E31" i="53"/>
  <c r="F101" i="66"/>
  <c r="J4" i="41"/>
  <c r="E45" i="39" s="1"/>
  <c r="E287" i="72" l="1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01" i="72"/>
  <c r="F101" i="72" s="1"/>
  <c r="G102" i="72" s="1"/>
  <c r="M45" i="39"/>
  <c r="E131" i="72"/>
  <c r="F131" i="72" s="1"/>
  <c r="E163" i="72"/>
  <c r="F163" i="72" s="1"/>
  <c r="E7" i="72"/>
  <c r="F7" i="72" s="1"/>
  <c r="E124" i="38"/>
  <c r="E224" i="72"/>
  <c r="F224" i="72" s="1"/>
  <c r="E7" i="53"/>
  <c r="H4" i="41"/>
  <c r="K45" i="39" s="1"/>
  <c r="F5" i="66"/>
  <c r="E107" i="38"/>
  <c r="E13" i="53"/>
  <c r="F149" i="66"/>
  <c r="M4" i="58"/>
  <c r="L45" i="39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69" i="72"/>
  <c r="F69" i="72" s="1"/>
  <c r="E193" i="72"/>
  <c r="F193" i="72" s="1"/>
  <c r="E255" i="72"/>
  <c r="F255" i="72" s="1"/>
  <c r="C45" i="39" l="1"/>
  <c r="C56" i="39" s="1"/>
  <c r="H103" i="72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58" i="38"/>
  <c r="J466" i="37"/>
  <c r="J101" i="66"/>
  <c r="D31" i="53"/>
  <c r="F31" i="53" s="1"/>
  <c r="H37" i="53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K59" i="39"/>
  <c r="K60" i="39" s="1"/>
  <c r="K56" i="39"/>
  <c r="E141" i="38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D19" i="53"/>
  <c r="F19" i="53" s="1"/>
  <c r="H25" i="53" s="1"/>
  <c r="J53" i="66"/>
  <c r="I466" i="37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75" i="38"/>
  <c r="C59" i="39" l="1"/>
  <c r="C60" i="39" s="1"/>
  <c r="E90" i="38"/>
  <c r="H466" i="37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03" i="72"/>
  <c r="F103" i="72" s="1"/>
  <c r="J149" i="66"/>
  <c r="H474" i="58"/>
  <c r="H466" i="58"/>
  <c r="D13" i="53"/>
  <c r="F13" i="53" s="1"/>
  <c r="H7" i="53" s="1"/>
  <c r="W53" i="66"/>
  <c r="S53" i="66"/>
  <c r="K58" i="39"/>
  <c r="K57" i="39"/>
  <c r="H474" i="37"/>
  <c r="J5" i="66"/>
  <c r="D7" i="53"/>
  <c r="F7" i="53" s="1"/>
  <c r="D25" i="53"/>
  <c r="F25" i="53" s="1"/>
  <c r="J197" i="66"/>
  <c r="I466" i="58"/>
  <c r="I466" i="41" s="1"/>
  <c r="C58" i="39"/>
  <c r="C57" i="39"/>
  <c r="J466" i="58"/>
  <c r="J466" i="41" s="1"/>
  <c r="D37" i="53"/>
  <c r="F37" i="53" s="1"/>
  <c r="J245" i="66"/>
  <c r="E225" i="72"/>
  <c r="F225" i="72" s="1"/>
  <c r="E164" i="72"/>
  <c r="F164" i="72" s="1"/>
  <c r="S101" i="66"/>
  <c r="W101" i="66"/>
  <c r="E256" i="72"/>
  <c r="F256" i="72" s="1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90" i="72"/>
  <c r="F290" i="72" s="1"/>
  <c r="G291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W149" i="66"/>
  <c r="S149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H474" i="41"/>
  <c r="H479" i="37"/>
  <c r="F7" i="66"/>
  <c r="H489" i="58"/>
  <c r="F150" i="66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H466" i="41"/>
  <c r="H489" i="37"/>
  <c r="F6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H479" i="58"/>
  <c r="F151" i="66"/>
  <c r="S245" i="66"/>
  <c r="W245" i="66"/>
  <c r="S197" i="66"/>
  <c r="W197" i="66"/>
  <c r="G7" i="53"/>
  <c r="H13" i="53"/>
  <c r="G13" i="53" s="1"/>
  <c r="E9" i="72"/>
  <c r="F9" i="72" s="1"/>
  <c r="G37" i="53"/>
  <c r="H31" i="53"/>
  <c r="G31" i="53" s="1"/>
  <c r="G25" i="53"/>
  <c r="H19" i="53"/>
  <c r="G19" i="53" s="1"/>
  <c r="S5" i="66"/>
  <c r="W5" i="66"/>
  <c r="H292" i="72" l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H489" i="4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354" i="38"/>
  <c r="K7" i="66" s="1"/>
  <c r="N7" i="66" s="1"/>
  <c r="H480" i="37"/>
  <c r="H479" i="41"/>
  <c r="E134" i="72"/>
  <c r="F134" i="72" s="1"/>
  <c r="L150" i="66"/>
  <c r="P150" i="66" s="1"/>
  <c r="V150" i="66" s="1"/>
  <c r="X150" i="66" s="1"/>
  <c r="E295" i="38"/>
  <c r="E301" i="38"/>
  <c r="M149" i="66" s="1"/>
  <c r="E196" i="72"/>
  <c r="F196" i="72" s="1"/>
  <c r="E289" i="38"/>
  <c r="E283" i="38"/>
  <c r="E307" i="38"/>
  <c r="E313" i="38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319" i="38"/>
  <c r="E325" i="38"/>
  <c r="M197" i="66" s="1"/>
  <c r="E42" i="72"/>
  <c r="F42" i="72" s="1"/>
  <c r="E331" i="38"/>
  <c r="E337" i="38"/>
  <c r="E372" i="38"/>
  <c r="K151" i="66" s="1"/>
  <c r="N151" i="66" s="1"/>
  <c r="H480" i="58"/>
  <c r="E373" i="38" s="1"/>
  <c r="K170" i="66" s="1"/>
  <c r="N170" i="66" s="1"/>
  <c r="E343" i="38"/>
  <c r="E349" i="38"/>
  <c r="M245" i="66" s="1"/>
  <c r="E257" i="72"/>
  <c r="F257" i="72" s="1"/>
  <c r="L6" i="66"/>
  <c r="P6" i="66" s="1"/>
  <c r="V6" i="66" s="1"/>
  <c r="X6" i="66" s="1"/>
  <c r="E72" i="72"/>
  <c r="F72" i="72" s="1"/>
  <c r="N6" i="66" l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N150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H486" i="37"/>
  <c r="L5" i="66"/>
  <c r="M5" i="66"/>
  <c r="B20" i="8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M101" i="66"/>
  <c r="G18" i="39" s="1"/>
  <c r="D20" i="8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J486" i="37"/>
  <c r="L101" i="66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0" i="72"/>
  <c r="F10" i="72" s="1"/>
  <c r="C20" i="8"/>
  <c r="M53" i="66"/>
  <c r="F18" i="39" s="1"/>
  <c r="E355" i="38"/>
  <c r="K26" i="66" s="1"/>
  <c r="N26" i="66" s="1"/>
  <c r="H480" i="41"/>
  <c r="L245" i="66"/>
  <c r="J486" i="58"/>
  <c r="L53" i="66"/>
  <c r="I486" i="37"/>
  <c r="Y7" i="66"/>
  <c r="Z151" i="66"/>
  <c r="Z7" i="66"/>
  <c r="Y151" i="66"/>
  <c r="I486" i="58"/>
  <c r="L197" i="66"/>
  <c r="H486" i="58"/>
  <c r="L149" i="66"/>
  <c r="O150" i="66" l="1"/>
  <c r="U150" i="66" s="1"/>
  <c r="Z6" i="66"/>
  <c r="Z150" i="66"/>
  <c r="O6" i="66"/>
  <c r="Q6" i="66" s="1"/>
  <c r="Y150" i="66"/>
  <c r="Y6" i="66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I486" i="4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Z170" i="66"/>
  <c r="Z26" i="66"/>
  <c r="Y170" i="66"/>
  <c r="Y26" i="66"/>
  <c r="N101" i="66"/>
  <c r="P101" i="66"/>
  <c r="J486" i="41"/>
  <c r="E73" i="72"/>
  <c r="F73" i="72" s="1"/>
  <c r="P53" i="66"/>
  <c r="N53" i="66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N5" i="66"/>
  <c r="R5" i="66"/>
  <c r="T5" i="66" s="1"/>
  <c r="P5" i="66"/>
  <c r="V5" i="66" s="1"/>
  <c r="X5" i="66" s="1"/>
  <c r="P197" i="66"/>
  <c r="N197" i="66"/>
  <c r="H486" i="41"/>
  <c r="P149" i="66"/>
  <c r="V149" i="66" s="1"/>
  <c r="X149" i="66" s="1"/>
  <c r="R149" i="66"/>
  <c r="T149" i="66" s="1"/>
  <c r="N149" i="66"/>
  <c r="N245" i="66"/>
  <c r="P245" i="66"/>
  <c r="E167" i="72"/>
  <c r="F167" i="72" s="1"/>
  <c r="E197" i="72"/>
  <c r="F197" i="72" s="1"/>
  <c r="E135" i="72"/>
  <c r="F135" i="72" s="1"/>
  <c r="Q150" i="66" l="1"/>
  <c r="U6" i="66"/>
  <c r="O245" i="66"/>
  <c r="U245" i="66" s="1"/>
  <c r="O149" i="66"/>
  <c r="U149" i="66" s="1"/>
  <c r="O197" i="66"/>
  <c r="U197" i="66" s="1"/>
  <c r="E44" i="72"/>
  <c r="F44" i="72" s="1"/>
  <c r="G4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Y5" i="66"/>
  <c r="Y149" i="66"/>
  <c r="Z5" i="66"/>
  <c r="O5" i="66"/>
  <c r="Z149" i="66"/>
  <c r="Y245" i="66"/>
  <c r="O101" i="66"/>
  <c r="Z101" i="66"/>
  <c r="Y101" i="66"/>
  <c r="Z245" i="66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7" i="72"/>
  <c r="F107" i="72" s="1"/>
  <c r="E229" i="72"/>
  <c r="F229" i="72" s="1"/>
  <c r="E11" i="72"/>
  <c r="F11" i="72" s="1"/>
  <c r="E259" i="72"/>
  <c r="F259" i="72" s="1"/>
  <c r="O53" i="66"/>
  <c r="Z197" i="66"/>
  <c r="Z53" i="66"/>
  <c r="Y197" i="66"/>
  <c r="Y53" i="66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94" i="72"/>
  <c r="F2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Q245" i="66" l="1"/>
  <c r="R245" i="66" s="1"/>
  <c r="T245" i="66" s="1"/>
  <c r="V245" i="66"/>
  <c r="X245" i="66" s="1"/>
  <c r="V197" i="66"/>
  <c r="X197" i="66" s="1"/>
  <c r="Q197" i="66"/>
  <c r="R197" i="66" s="1"/>
  <c r="T197" i="66" s="1"/>
  <c r="Q149" i="66"/>
  <c r="H46" i="72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Q5" i="66"/>
  <c r="U5" i="66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74" i="72"/>
  <c r="F7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98" i="72"/>
  <c r="F198" i="72" s="1"/>
  <c r="V53" i="66"/>
  <c r="X53" i="66" s="1"/>
  <c r="U53" i="66"/>
  <c r="Q53" i="66"/>
  <c r="R53" i="66" s="1"/>
  <c r="T53" i="66" s="1"/>
  <c r="E168" i="72"/>
  <c r="F168" i="72" s="1"/>
  <c r="Q101" i="66"/>
  <c r="R101" i="66" s="1"/>
  <c r="T101" i="66" s="1"/>
  <c r="U101" i="66"/>
  <c r="V101" i="66"/>
  <c r="X101" i="66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8" i="72"/>
  <c r="F108" i="72" s="1"/>
  <c r="G109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2" i="72"/>
  <c r="F1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6" i="72"/>
  <c r="F46" i="72" s="1"/>
  <c r="E260" i="72"/>
  <c r="F260" i="72" s="1"/>
  <c r="E137" i="72"/>
  <c r="F137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H110" i="72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6" i="72"/>
  <c r="F29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75" i="72"/>
  <c r="F75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8" i="72"/>
  <c r="F138" i="72" s="1"/>
  <c r="E170" i="72"/>
  <c r="F170" i="72" s="1"/>
  <c r="E110" i="72"/>
  <c r="F11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47" i="72"/>
  <c r="F4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" i="72"/>
  <c r="F1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62" i="72"/>
  <c r="F262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E139" i="72"/>
  <c r="F13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8" i="72"/>
  <c r="F48" i="72" s="1"/>
  <c r="E77" i="72"/>
  <c r="F7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4" i="72"/>
  <c r="F234" i="72" s="1"/>
  <c r="E111" i="72"/>
  <c r="F111" i="72" s="1"/>
  <c r="E298" i="72"/>
  <c r="F298" i="72" s="1"/>
  <c r="G78" i="72" l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2" i="72"/>
  <c r="F17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3" i="72"/>
  <c r="F263" i="72" s="1"/>
  <c r="E15" i="72"/>
  <c r="F1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9" i="72"/>
  <c r="F29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78" i="72"/>
  <c r="F78" i="72" s="1"/>
  <c r="E203" i="72"/>
  <c r="F203" i="72" s="1"/>
  <c r="E235" i="72"/>
  <c r="F235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13" i="72"/>
  <c r="F11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6" i="72"/>
  <c r="F1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1" i="72"/>
  <c r="F141" i="72" s="1"/>
  <c r="E300" i="72" l="1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36" i="72"/>
  <c r="F236" i="72" s="1"/>
  <c r="E265" i="72"/>
  <c r="F265" i="72" s="1"/>
  <c r="E204" i="72"/>
  <c r="F204" i="72" s="1"/>
  <c r="E51" i="72"/>
  <c r="F5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74" i="72"/>
  <c r="F174" i="72" s="1"/>
  <c r="E79" i="72"/>
  <c r="F79" i="72" s="1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4" i="72"/>
  <c r="F114" i="72" s="1"/>
  <c r="E17" i="72"/>
  <c r="F17" i="72" s="1"/>
  <c r="E142" i="72"/>
  <c r="F14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301" i="72"/>
  <c r="F301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66" i="72"/>
  <c r="F266" i="72" s="1"/>
  <c r="E205" i="72"/>
  <c r="F20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5" i="72"/>
  <c r="F175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7" i="72"/>
  <c r="F237" i="72" s="1"/>
  <c r="E52" i="72"/>
  <c r="F52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143" i="72"/>
  <c r="F14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1" i="72"/>
  <c r="F81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8" i="72"/>
  <c r="F18" i="72" s="1"/>
  <c r="E302" i="72"/>
  <c r="F30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38" i="72"/>
  <c r="F238" i="72" s="1"/>
  <c r="E116" i="72"/>
  <c r="F11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6" i="72"/>
  <c r="F20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6" i="72"/>
  <c r="F176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82" i="72"/>
  <c r="F82" i="72" s="1"/>
  <c r="E54" i="72"/>
  <c r="F5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3" i="72"/>
  <c r="F30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7" i="72" l="1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55" i="72"/>
  <c r="H56" i="72" s="1"/>
  <c r="I57" i="72" s="1"/>
  <c r="J58" i="72" s="1"/>
  <c r="K59" i="72" s="1"/>
  <c r="L60" i="72" s="1"/>
  <c r="M61" i="72" s="1"/>
  <c r="N62" i="72" s="1"/>
  <c r="O63" i="72" s="1"/>
  <c r="G304" i="72"/>
  <c r="H305" i="72" s="1"/>
  <c r="I306" i="72" s="1"/>
  <c r="J307" i="72" s="1"/>
  <c r="K308" i="72" s="1"/>
  <c r="L309" i="72" s="1"/>
  <c r="M310" i="72" s="1"/>
  <c r="N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7" i="72"/>
  <c r="F207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83" i="72"/>
  <c r="F83" i="72" s="1"/>
  <c r="E55" i="72"/>
  <c r="F55" i="72" s="1"/>
  <c r="E118" i="72"/>
  <c r="F118" i="72" s="1"/>
  <c r="E240" i="72"/>
  <c r="F24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304" i="72"/>
  <c r="F304" i="72" s="1"/>
  <c r="E178" i="72"/>
  <c r="F178" i="72" s="1"/>
  <c r="E21" i="72"/>
  <c r="F21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5" i="72"/>
  <c r="H306" i="72" s="1"/>
  <c r="I307" i="72" s="1"/>
  <c r="J308" i="72" s="1"/>
  <c r="K309" i="72" s="1"/>
  <c r="L310" i="72" s="1"/>
  <c r="M311" i="72" s="1"/>
  <c r="G119" i="72"/>
  <c r="H120" i="72" s="1"/>
  <c r="I121" i="72" s="1"/>
  <c r="J122" i="72" s="1"/>
  <c r="K123" i="72" s="1"/>
  <c r="L124" i="72" s="1"/>
  <c r="M125" i="72" s="1"/>
  <c r="E208" i="72"/>
  <c r="F208" i="72" s="1"/>
  <c r="G56" i="72"/>
  <c r="H57" i="72" s="1"/>
  <c r="I58" i="72" s="1"/>
  <c r="J59" i="72" s="1"/>
  <c r="K60" i="72" s="1"/>
  <c r="L61" i="72" s="1"/>
  <c r="M62" i="72" s="1"/>
  <c r="N63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56" i="72"/>
  <c r="F56" i="72" s="1"/>
  <c r="G57" i="72" s="1"/>
  <c r="H58" i="72" s="1"/>
  <c r="I59" i="72" s="1"/>
  <c r="J60" i="72" s="1"/>
  <c r="K61" i="72" s="1"/>
  <c r="L62" i="72" s="1"/>
  <c r="M63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9" i="72"/>
  <c r="F119" i="72" s="1"/>
  <c r="G120" i="72" s="1"/>
  <c r="H121" i="72" s="1"/>
  <c r="I122" i="72" s="1"/>
  <c r="J123" i="72" s="1"/>
  <c r="K124" i="72" s="1"/>
  <c r="L125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305" i="72"/>
  <c r="F305" i="72" s="1"/>
  <c r="G306" i="72" s="1"/>
  <c r="H307" i="72" s="1"/>
  <c r="I308" i="72" s="1"/>
  <c r="J309" i="72" s="1"/>
  <c r="K310" i="72" s="1"/>
  <c r="L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79" i="72"/>
  <c r="F179" i="72" s="1"/>
  <c r="E22" i="72"/>
  <c r="F22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306" i="72"/>
  <c r="F306" i="72" s="1"/>
  <c r="G307" i="72" s="1"/>
  <c r="H308" i="72" s="1"/>
  <c r="I309" i="72" s="1"/>
  <c r="J310" i="72" s="1"/>
  <c r="K311" i="72" s="1"/>
  <c r="E57" i="72"/>
  <c r="F57" i="72" s="1"/>
  <c r="G58" i="72" s="1"/>
  <c r="E120" i="72"/>
  <c r="F120" i="72" s="1"/>
  <c r="G121" i="72" s="1"/>
  <c r="H122" i="72" s="1"/>
  <c r="I123" i="72" s="1"/>
  <c r="J124" i="72" s="1"/>
  <c r="K125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242" i="72"/>
  <c r="F242" i="72" s="1"/>
  <c r="G180" i="72"/>
  <c r="H181" i="72" s="1"/>
  <c r="I182" i="72" s="1"/>
  <c r="J183" i="72" s="1"/>
  <c r="K184" i="72" s="1"/>
  <c r="L185" i="72" s="1"/>
  <c r="M186" i="72" s="1"/>
  <c r="N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H59" i="72"/>
  <c r="I60" i="72" s="1"/>
  <c r="J61" i="72" s="1"/>
  <c r="K62" i="72" s="1"/>
  <c r="L63" i="72" s="1"/>
  <c r="E58" i="72"/>
  <c r="F58" i="72" s="1"/>
  <c r="G59" i="72" s="1"/>
  <c r="H60" i="72" s="1"/>
  <c r="I61" i="72" s="1"/>
  <c r="J62" i="72" s="1"/>
  <c r="K63" i="72" s="1"/>
  <c r="E150" i="72"/>
  <c r="F150" i="72" s="1"/>
  <c r="G151" i="72" s="1"/>
  <c r="H152" i="72" s="1"/>
  <c r="I153" i="72" s="1"/>
  <c r="J154" i="72" s="1"/>
  <c r="K155" i="72" s="1"/>
  <c r="L156" i="72" s="1"/>
  <c r="E274" i="72"/>
  <c r="F274" i="72" s="1"/>
  <c r="G275" i="72" s="1"/>
  <c r="H276" i="72" s="1"/>
  <c r="I277" i="72" s="1"/>
  <c r="J278" i="72" s="1"/>
  <c r="K279" i="72" s="1"/>
  <c r="L280" i="72" s="1"/>
  <c r="E121" i="72"/>
  <c r="F121" i="72" s="1"/>
  <c r="G122" i="72" s="1"/>
  <c r="H123" i="72" s="1"/>
  <c r="I124" i="72" s="1"/>
  <c r="J125" i="72" s="1"/>
  <c r="E307" i="72"/>
  <c r="F307" i="72" s="1"/>
  <c r="G308" i="72" s="1"/>
  <c r="H309" i="72" s="1"/>
  <c r="I310" i="72" s="1"/>
  <c r="J311" i="72" s="1"/>
  <c r="G243" i="72"/>
  <c r="H244" i="72" s="1"/>
  <c r="I245" i="72" s="1"/>
  <c r="J246" i="72" s="1"/>
  <c r="K247" i="72" s="1"/>
  <c r="L248" i="72" s="1"/>
  <c r="M249" i="72" s="1"/>
  <c r="E180" i="72"/>
  <c r="F180" i="72" s="1"/>
  <c r="E210" i="72"/>
  <c r="F210" i="72" s="1"/>
  <c r="E86" i="72"/>
  <c r="F86" i="72" s="1"/>
  <c r="E59" i="72" l="1"/>
  <c r="F59" i="72" s="1"/>
  <c r="G60" i="72" s="1"/>
  <c r="H61" i="72" s="1"/>
  <c r="I62" i="72" s="1"/>
  <c r="J63" i="72" s="1"/>
  <c r="E308" i="72"/>
  <c r="F308" i="72" s="1"/>
  <c r="G309" i="72" s="1"/>
  <c r="H310" i="72" s="1"/>
  <c r="I311" i="72" s="1"/>
  <c r="E243" i="72"/>
  <c r="F243" i="72" s="1"/>
  <c r="G211" i="72"/>
  <c r="H212" i="72" s="1"/>
  <c r="I213" i="72" s="1"/>
  <c r="J214" i="72" s="1"/>
  <c r="K215" i="72" s="1"/>
  <c r="L216" i="72" s="1"/>
  <c r="M217" i="72" s="1"/>
  <c r="N218" i="72" s="1"/>
  <c r="G87" i="72"/>
  <c r="H88" i="72" s="1"/>
  <c r="I89" i="72" s="1"/>
  <c r="J90" i="72" s="1"/>
  <c r="K91" i="72" s="1"/>
  <c r="L92" i="72" s="1"/>
  <c r="M93" i="72" s="1"/>
  <c r="N94" i="72" s="1"/>
  <c r="E275" i="72"/>
  <c r="F275" i="72" s="1"/>
  <c r="E24" i="72"/>
  <c r="F24" i="72" s="1"/>
  <c r="E122" i="72"/>
  <c r="F122" i="72" s="1"/>
  <c r="G181" i="72"/>
  <c r="H182" i="72" s="1"/>
  <c r="I183" i="72" s="1"/>
  <c r="J184" i="72" s="1"/>
  <c r="K185" i="72" s="1"/>
  <c r="L186" i="72" s="1"/>
  <c r="M187" i="72" s="1"/>
  <c r="E151" i="72"/>
  <c r="F151" i="72" s="1"/>
  <c r="E181" i="72" l="1"/>
  <c r="F181" i="72" s="1"/>
  <c r="G182" i="72" s="1"/>
  <c r="H183" i="72" s="1"/>
  <c r="I184" i="72" s="1"/>
  <c r="J185" i="72" s="1"/>
  <c r="K186" i="72" s="1"/>
  <c r="L187" i="72" s="1"/>
  <c r="E60" i="72"/>
  <c r="F60" i="72" s="1"/>
  <c r="G61" i="72" s="1"/>
  <c r="H62" i="72" s="1"/>
  <c r="I63" i="72" s="1"/>
  <c r="G276" i="72"/>
  <c r="H277" i="72" s="1"/>
  <c r="I278" i="72" s="1"/>
  <c r="J279" i="72" s="1"/>
  <c r="K280" i="72" s="1"/>
  <c r="G152" i="72"/>
  <c r="H153" i="72" s="1"/>
  <c r="I154" i="72" s="1"/>
  <c r="J155" i="72" s="1"/>
  <c r="K156" i="72" s="1"/>
  <c r="E87" i="72"/>
  <c r="F87" i="72" s="1"/>
  <c r="E211" i="72"/>
  <c r="F211" i="72" s="1"/>
  <c r="G123" i="72"/>
  <c r="H124" i="72" s="1"/>
  <c r="I125" i="72" s="1"/>
  <c r="G25" i="72"/>
  <c r="H26" i="72" s="1"/>
  <c r="I27" i="72" s="1"/>
  <c r="J28" i="72" s="1"/>
  <c r="K29" i="72" s="1"/>
  <c r="L30" i="72" s="1"/>
  <c r="M31" i="72" s="1"/>
  <c r="N32" i="72" s="1"/>
  <c r="G244" i="72"/>
  <c r="H245" i="72" s="1"/>
  <c r="I246" i="72" s="1"/>
  <c r="J247" i="72" s="1"/>
  <c r="K248" i="72" s="1"/>
  <c r="L249" i="72" s="1"/>
  <c r="E309" i="72"/>
  <c r="F309" i="72" s="1"/>
  <c r="E244" i="72" l="1"/>
  <c r="F244" i="72" s="1"/>
  <c r="G245" i="72" s="1"/>
  <c r="H246" i="72" s="1"/>
  <c r="I247" i="72" s="1"/>
  <c r="J248" i="72" s="1"/>
  <c r="K249" i="72" s="1"/>
  <c r="E276" i="72"/>
  <c r="F276" i="72" s="1"/>
  <c r="G277" i="72" s="1"/>
  <c r="H278" i="72" s="1"/>
  <c r="I279" i="72" s="1"/>
  <c r="J280" i="72" s="1"/>
  <c r="E25" i="72"/>
  <c r="F25" i="72" s="1"/>
  <c r="G26" i="72" s="1"/>
  <c r="H27" i="72" s="1"/>
  <c r="I28" i="72" s="1"/>
  <c r="J29" i="72" s="1"/>
  <c r="K30" i="72" s="1"/>
  <c r="L31" i="72" s="1"/>
  <c r="M32" i="72" s="1"/>
  <c r="E123" i="72"/>
  <c r="F123" i="72" s="1"/>
  <c r="G310" i="72"/>
  <c r="H311" i="72" s="1"/>
  <c r="E61" i="72"/>
  <c r="F61" i="72" s="1"/>
  <c r="G212" i="72"/>
  <c r="H213" i="72" s="1"/>
  <c r="I214" i="72" s="1"/>
  <c r="J215" i="72" s="1"/>
  <c r="K216" i="72" s="1"/>
  <c r="L217" i="72" s="1"/>
  <c r="M218" i="72" s="1"/>
  <c r="G88" i="72"/>
  <c r="H89" i="72" s="1"/>
  <c r="I90" i="72" s="1"/>
  <c r="J91" i="72" s="1"/>
  <c r="K92" i="72" s="1"/>
  <c r="L93" i="72" s="1"/>
  <c r="M94" i="72" s="1"/>
  <c r="E152" i="72"/>
  <c r="F152" i="72" s="1"/>
  <c r="E182" i="72"/>
  <c r="F182" i="72" s="1"/>
  <c r="E277" i="72" l="1"/>
  <c r="F277" i="72" s="1"/>
  <c r="G278" i="72" s="1"/>
  <c r="H279" i="72" s="1"/>
  <c r="I280" i="72" s="1"/>
  <c r="E26" i="72"/>
  <c r="F26" i="72" s="1"/>
  <c r="G27" i="72" s="1"/>
  <c r="H28" i="72" s="1"/>
  <c r="I29" i="72" s="1"/>
  <c r="J30" i="72" s="1"/>
  <c r="K31" i="72" s="1"/>
  <c r="L32" i="72" s="1"/>
  <c r="E310" i="72"/>
  <c r="F310" i="72" s="1"/>
  <c r="G311" i="72" s="1"/>
  <c r="E311" i="72" s="1"/>
  <c r="F311" i="72" s="1"/>
  <c r="E212" i="72"/>
  <c r="F212" i="72" s="1"/>
  <c r="G213" i="72" s="1"/>
  <c r="H214" i="72" s="1"/>
  <c r="I215" i="72" s="1"/>
  <c r="J216" i="72" s="1"/>
  <c r="K217" i="72" s="1"/>
  <c r="L218" i="72" s="1"/>
  <c r="G62" i="72"/>
  <c r="H63" i="72" s="1"/>
  <c r="E245" i="72"/>
  <c r="F245" i="72" s="1"/>
  <c r="G183" i="72"/>
  <c r="H184" i="72" s="1"/>
  <c r="I185" i="72" s="1"/>
  <c r="J186" i="72" s="1"/>
  <c r="K187" i="72" s="1"/>
  <c r="G153" i="72"/>
  <c r="H154" i="72" s="1"/>
  <c r="I155" i="72" s="1"/>
  <c r="J156" i="72" s="1"/>
  <c r="E88" i="72"/>
  <c r="F88" i="72" s="1"/>
  <c r="G124" i="72"/>
  <c r="H125" i="72" s="1"/>
  <c r="E124" i="72" l="1"/>
  <c r="F124" i="72" s="1"/>
  <c r="G125" i="72" s="1"/>
  <c r="E125" i="72" s="1"/>
  <c r="F125" i="72" s="1"/>
  <c r="E213" i="72"/>
  <c r="F213" i="72" s="1"/>
  <c r="G214" i="72" s="1"/>
  <c r="H215" i="72" s="1"/>
  <c r="I216" i="72" s="1"/>
  <c r="J217" i="72" s="1"/>
  <c r="K218" i="72" s="1"/>
  <c r="E62" i="72"/>
  <c r="F62" i="72" s="1"/>
  <c r="G63" i="72" s="1"/>
  <c r="E63" i="72" s="1"/>
  <c r="F63" i="72" s="1"/>
  <c r="AL63" i="72" s="1"/>
  <c r="E183" i="72"/>
  <c r="F183" i="72" s="1"/>
  <c r="G184" i="72" s="1"/>
  <c r="H185" i="72" s="1"/>
  <c r="I186" i="72" s="1"/>
  <c r="J187" i="72" s="1"/>
  <c r="E153" i="72"/>
  <c r="F153" i="72" s="1"/>
  <c r="E27" i="72"/>
  <c r="F27" i="72" s="1"/>
  <c r="G246" i="72"/>
  <c r="H247" i="72" s="1"/>
  <c r="I248" i="72" s="1"/>
  <c r="J249" i="72" s="1"/>
  <c r="G89" i="72"/>
  <c r="H90" i="72" s="1"/>
  <c r="I91" i="72" s="1"/>
  <c r="J92" i="72" s="1"/>
  <c r="K93" i="72" s="1"/>
  <c r="L94" i="72" s="1"/>
  <c r="E278" i="72"/>
  <c r="F278" i="72" s="1"/>
  <c r="AL125" i="72" l="1"/>
  <c r="G28" i="72"/>
  <c r="H29" i="72" s="1"/>
  <c r="I30" i="72" s="1"/>
  <c r="J31" i="72" s="1"/>
  <c r="K32" i="72" s="1"/>
  <c r="G154" i="72"/>
  <c r="H155" i="72" s="1"/>
  <c r="I156" i="72" s="1"/>
  <c r="E184" i="72"/>
  <c r="F184" i="72" s="1"/>
  <c r="G279" i="72"/>
  <c r="H280" i="72" s="1"/>
  <c r="E89" i="72"/>
  <c r="F89" i="72" s="1"/>
  <c r="E246" i="72"/>
  <c r="F246" i="72" s="1"/>
  <c r="E214" i="72"/>
  <c r="F214" i="72" s="1"/>
  <c r="E279" i="72" l="1"/>
  <c r="F279" i="72" s="1"/>
  <c r="G280" i="72" s="1"/>
  <c r="E280" i="72" s="1"/>
  <c r="F280" i="72" s="1"/>
  <c r="G185" i="72"/>
  <c r="H186" i="72" s="1"/>
  <c r="I187" i="72" s="1"/>
  <c r="E28" i="72"/>
  <c r="F28" i="72" s="1"/>
  <c r="G215" i="72"/>
  <c r="H216" i="72" s="1"/>
  <c r="I217" i="72" s="1"/>
  <c r="J218" i="72" s="1"/>
  <c r="G247" i="72"/>
  <c r="H248" i="72" s="1"/>
  <c r="I249" i="72" s="1"/>
  <c r="G90" i="72"/>
  <c r="H91" i="72" s="1"/>
  <c r="I92" i="72" s="1"/>
  <c r="J93" i="72" s="1"/>
  <c r="K94" i="72" s="1"/>
  <c r="E154" i="72"/>
  <c r="F154" i="72" s="1"/>
  <c r="E247" i="72" l="1"/>
  <c r="F247" i="72" s="1"/>
  <c r="G248" i="72" s="1"/>
  <c r="H249" i="72" s="1"/>
  <c r="E215" i="72"/>
  <c r="F215" i="72" s="1"/>
  <c r="G216" i="72" s="1"/>
  <c r="H217" i="72" s="1"/>
  <c r="I218" i="72" s="1"/>
  <c r="E185" i="72"/>
  <c r="F185" i="72" s="1"/>
  <c r="G186" i="72" s="1"/>
  <c r="H187" i="72" s="1"/>
  <c r="E90" i="72"/>
  <c r="F90" i="72" s="1"/>
  <c r="G91" i="72" s="1"/>
  <c r="H92" i="72" s="1"/>
  <c r="I93" i="72" s="1"/>
  <c r="J94" i="72" s="1"/>
  <c r="G155" i="72"/>
  <c r="H156" i="72" s="1"/>
  <c r="G29" i="72"/>
  <c r="H30" i="72" s="1"/>
  <c r="I31" i="72" s="1"/>
  <c r="J32" i="72" s="1"/>
  <c r="E248" i="72" l="1"/>
  <c r="F248" i="72" s="1"/>
  <c r="G249" i="72" s="1"/>
  <c r="E249" i="72" s="1"/>
  <c r="F249" i="72" s="1"/>
  <c r="E216" i="72"/>
  <c r="F216" i="72" s="1"/>
  <c r="G217" i="72" s="1"/>
  <c r="H218" i="72" s="1"/>
  <c r="E91" i="72"/>
  <c r="F91" i="72" s="1"/>
  <c r="E186" i="72"/>
  <c r="F186" i="72" s="1"/>
  <c r="G187" i="72" s="1"/>
  <c r="E187" i="72" s="1"/>
  <c r="F187" i="72" s="1"/>
  <c r="E29" i="72"/>
  <c r="F29" i="72" s="1"/>
  <c r="E155" i="72"/>
  <c r="F155" i="72" s="1"/>
  <c r="G156" i="72" s="1"/>
  <c r="E156" i="72" s="1"/>
  <c r="F156" i="72" s="1"/>
  <c r="E217" i="72" l="1"/>
  <c r="F217" i="72" s="1"/>
  <c r="G218" i="72" s="1"/>
  <c r="E218" i="72" s="1"/>
  <c r="F218" i="72" s="1"/>
  <c r="G30" i="72"/>
  <c r="H31" i="72" s="1"/>
  <c r="I32" i="72" s="1"/>
  <c r="G92" i="72"/>
  <c r="H93" i="72" s="1"/>
  <c r="I94" i="72" s="1"/>
  <c r="E30" i="72" l="1"/>
  <c r="F30" i="72" s="1"/>
  <c r="E92" i="72"/>
  <c r="F92" i="72" s="1"/>
  <c r="G93" i="72" l="1"/>
  <c r="H94" i="72" s="1"/>
  <c r="G31" i="72"/>
  <c r="H32" i="72" s="1"/>
  <c r="E31" i="72" l="1"/>
  <c r="F31" i="72" s="1"/>
  <c r="E93" i="72"/>
  <c r="F93" i="72" s="1"/>
  <c r="G94" i="72" s="1"/>
  <c r="E94" i="72" l="1"/>
  <c r="F94" i="72" s="1"/>
  <c r="AL94" i="72" s="1"/>
  <c r="AL127" i="72" s="1"/>
  <c r="G32" i="72"/>
  <c r="E32" i="72" s="1"/>
  <c r="F32" i="72" s="1"/>
  <c r="AL32" i="72" s="1"/>
  <c r="H40" i="26" l="1" a="1"/>
  <c r="H40" i="26" s="1"/>
  <c r="I224" i="35" s="1"/>
  <c r="G42" i="26" a="1"/>
  <c r="G42" i="26" s="1"/>
  <c r="H226" i="35" s="1"/>
  <c r="I93" i="58" s="1"/>
  <c r="E35" i="26" a="1"/>
  <c r="E35" i="26" s="1"/>
  <c r="G39" i="26" a="1"/>
  <c r="G39" i="26" s="1"/>
  <c r="H223" i="35" s="1"/>
  <c r="F25" i="26" a="1"/>
  <c r="F25" i="26" s="1"/>
  <c r="G209" i="35" s="1"/>
  <c r="H23" i="58" s="1"/>
  <c r="H23" i="41" s="1"/>
  <c r="F42" i="26" a="1"/>
  <c r="F42" i="26" s="1"/>
  <c r="G226" i="35" s="1"/>
  <c r="H93" i="58" s="1"/>
  <c r="H93" i="41" s="1"/>
  <c r="E34" i="26" a="1"/>
  <c r="E34" i="26" s="1"/>
  <c r="I197" i="35" s="1"/>
  <c r="E24" i="26" a="1"/>
  <c r="E24" i="26" s="1"/>
  <c r="I187" i="35" s="1"/>
  <c r="J20" i="37" s="1"/>
  <c r="D34" i="26" a="1"/>
  <c r="D34" i="26" s="1"/>
  <c r="H197" i="35" s="1"/>
  <c r="I62" i="37" s="1"/>
  <c r="E25" i="26" a="1"/>
  <c r="E25" i="26" s="1"/>
  <c r="I188" i="35" s="1"/>
  <c r="J23" i="37" s="1"/>
  <c r="F28" i="26" a="1"/>
  <c r="F28" i="26" s="1"/>
  <c r="G212" i="35" s="1"/>
  <c r="H36" i="58" s="1"/>
  <c r="H36" i="41" s="1"/>
  <c r="F41" i="26" a="1"/>
  <c r="F41" i="26" s="1"/>
  <c r="G225" i="35" s="1"/>
  <c r="H89" i="58" s="1"/>
  <c r="H89" i="41" s="1"/>
  <c r="D32" i="26" a="1"/>
  <c r="D32" i="26" s="1"/>
  <c r="H195" i="35" s="1"/>
  <c r="I54" i="37" s="1"/>
  <c r="G37" i="26" a="1"/>
  <c r="G37" i="26" s="1"/>
  <c r="H221" i="35" s="1"/>
  <c r="I72" i="58" s="1"/>
  <c r="D42" i="26" a="1"/>
  <c r="D42" i="26" s="1"/>
  <c r="H205" i="35" s="1"/>
  <c r="E32" i="26" a="1"/>
  <c r="E32" i="26" s="1"/>
  <c r="I195" i="35" s="1"/>
  <c r="J53" i="37" s="1"/>
  <c r="F38" i="26" a="1"/>
  <c r="F38" i="26" s="1"/>
  <c r="G222" i="35" s="1"/>
  <c r="H76" i="58" s="1"/>
  <c r="H76" i="41" s="1"/>
  <c r="G26" i="26" a="1"/>
  <c r="G26" i="26" s="1"/>
  <c r="H210" i="35" s="1"/>
  <c r="I27" i="58" s="1"/>
  <c r="H38" i="26" a="1"/>
  <c r="H38" i="26" s="1"/>
  <c r="I222" i="35" s="1"/>
  <c r="J75" i="58" s="1"/>
  <c r="G40" i="26" a="1"/>
  <c r="G40" i="26" s="1"/>
  <c r="H224" i="35" s="1"/>
  <c r="I85" i="58" s="1"/>
  <c r="H29" i="26" a="1"/>
  <c r="H29" i="26" s="1"/>
  <c r="I213" i="35" s="1"/>
  <c r="J39" i="58" s="1"/>
  <c r="D26" i="26" a="1"/>
  <c r="D26" i="26" s="1"/>
  <c r="H189" i="35" s="1"/>
  <c r="I30" i="37" s="1"/>
  <c r="E23" i="26" a="1"/>
  <c r="E23" i="26" s="1"/>
  <c r="I186" i="35" s="1"/>
  <c r="H23" i="26" a="1"/>
  <c r="H23" i="26" s="1"/>
  <c r="I207" i="35" s="1"/>
  <c r="D27" i="26" a="1"/>
  <c r="D27" i="26" s="1"/>
  <c r="H190" i="35" s="1"/>
  <c r="E30" i="26" a="1"/>
  <c r="E30" i="26" s="1"/>
  <c r="I193" i="35" s="1"/>
  <c r="J44" i="37" s="1"/>
  <c r="F40" i="26" a="1"/>
  <c r="F40" i="26" s="1"/>
  <c r="G224" i="35" s="1"/>
  <c r="H84" i="58" s="1"/>
  <c r="H84" i="41" s="1"/>
  <c r="G33" i="26" a="1"/>
  <c r="G33" i="26" s="1"/>
  <c r="H217" i="35" s="1"/>
  <c r="I58" i="58" s="1"/>
  <c r="F34" i="26" a="1"/>
  <c r="F34" i="26" s="1"/>
  <c r="G218" i="35" s="1"/>
  <c r="H62" i="58" s="1"/>
  <c r="H62" i="41" s="1"/>
  <c r="E29" i="26" a="1"/>
  <c r="E29" i="26" s="1"/>
  <c r="I192" i="35" s="1"/>
  <c r="J40" i="37" s="1"/>
  <c r="H37" i="26" a="1"/>
  <c r="H37" i="26" s="1"/>
  <c r="I221" i="35" s="1"/>
  <c r="J74" i="58" s="1"/>
  <c r="G34" i="26" a="1"/>
  <c r="G34" i="26" s="1"/>
  <c r="H218" i="35" s="1"/>
  <c r="I60" i="58" s="1"/>
  <c r="D37" i="26" a="1"/>
  <c r="D37" i="26" s="1"/>
  <c r="H200" i="35" s="1"/>
  <c r="I71" i="37" s="1"/>
  <c r="D25" i="26" a="1"/>
  <c r="D25" i="26" s="1"/>
  <c r="H188" i="35" s="1"/>
  <c r="I26" i="37" s="1"/>
  <c r="G28" i="26" a="1"/>
  <c r="G28" i="26" s="1"/>
  <c r="H212" i="35" s="1"/>
  <c r="I35" i="58" s="1"/>
  <c r="D29" i="26" a="1"/>
  <c r="D29" i="26" s="1"/>
  <c r="H192" i="35" s="1"/>
  <c r="I39" i="37" s="1"/>
  <c r="E39" i="26" a="1"/>
  <c r="E39" i="26" s="1"/>
  <c r="I202" i="35" s="1"/>
  <c r="D33" i="26" a="1"/>
  <c r="D33" i="26" s="1"/>
  <c r="H196" i="35" s="1"/>
  <c r="I55" i="37" s="1"/>
  <c r="G23" i="26" a="1"/>
  <c r="G23" i="26" s="1"/>
  <c r="H207" i="35" s="1"/>
  <c r="E27" i="26" a="1"/>
  <c r="E27" i="26" s="1"/>
  <c r="I190" i="35" s="1"/>
  <c r="F36" i="26" a="1"/>
  <c r="F36" i="26" s="1"/>
  <c r="G220" i="35" s="1"/>
  <c r="H69" i="58" s="1"/>
  <c r="H69" i="41" s="1"/>
  <c r="H39" i="26" a="1"/>
  <c r="H39" i="26" s="1"/>
  <c r="I223" i="35" s="1"/>
  <c r="D30" i="26" a="1"/>
  <c r="D30" i="26" s="1"/>
  <c r="H193" i="35" s="1"/>
  <c r="I44" i="37" s="1"/>
  <c r="F29" i="26" a="1"/>
  <c r="F29" i="26" s="1"/>
  <c r="G213" i="35" s="1"/>
  <c r="H42" i="58" s="1"/>
  <c r="H42" i="41" s="1"/>
  <c r="F31" i="26" a="1"/>
  <c r="F31" i="26" s="1"/>
  <c r="G215" i="35" s="1"/>
  <c r="F39" i="26" a="1"/>
  <c r="F39" i="26" s="1"/>
  <c r="G223" i="35" s="1"/>
  <c r="H30" i="26" a="1"/>
  <c r="H30" i="26" s="1"/>
  <c r="I214" i="35" s="1"/>
  <c r="J45" i="58" s="1"/>
  <c r="H32" i="26" a="1"/>
  <c r="H32" i="26" s="1"/>
  <c r="I216" i="35" s="1"/>
  <c r="J51" i="58" s="1"/>
  <c r="H24" i="26" a="1"/>
  <c r="H24" i="26" s="1"/>
  <c r="I208" i="35" s="1"/>
  <c r="J20" i="58" s="1"/>
  <c r="G24" i="26" a="1"/>
  <c r="G24" i="26" s="1"/>
  <c r="H208" i="35" s="1"/>
  <c r="I22" i="58" s="1"/>
  <c r="F26" i="26" a="1"/>
  <c r="F26" i="26" s="1"/>
  <c r="G210" i="35" s="1"/>
  <c r="H30" i="58" s="1"/>
  <c r="H30" i="41" s="1"/>
  <c r="F30" i="26" a="1"/>
  <c r="F30" i="26" s="1"/>
  <c r="G214" i="35" s="1"/>
  <c r="H45" i="58" s="1"/>
  <c r="H45" i="41" s="1"/>
  <c r="G35" i="26" a="1"/>
  <c r="G35" i="26" s="1"/>
  <c r="H219" i="35" s="1"/>
  <c r="F24" i="26" a="1"/>
  <c r="F24" i="26" s="1"/>
  <c r="G208" i="35" s="1"/>
  <c r="H19" i="58" s="1"/>
  <c r="H19" i="41" s="1"/>
  <c r="F27" i="26" a="1"/>
  <c r="F27" i="26" s="1"/>
  <c r="G211" i="35" s="1"/>
  <c r="G29" i="26" a="1"/>
  <c r="G29" i="26" s="1"/>
  <c r="H213" i="35" s="1"/>
  <c r="I40" i="58" s="1"/>
  <c r="E41" i="26" a="1"/>
  <c r="E41" i="26" s="1"/>
  <c r="I204" i="35" s="1"/>
  <c r="J88" i="37" s="1"/>
  <c r="H25" i="26" a="1"/>
  <c r="H25" i="26" s="1"/>
  <c r="I209" i="35" s="1"/>
  <c r="J24" i="58" s="1"/>
  <c r="H34" i="26" a="1"/>
  <c r="H34" i="26" s="1"/>
  <c r="I218" i="35" s="1"/>
  <c r="J59" i="58" s="1"/>
  <c r="F33" i="26" a="1"/>
  <c r="F33" i="26" s="1"/>
  <c r="G217" i="35" s="1"/>
  <c r="H57" i="58" s="1"/>
  <c r="H57" i="41" s="1"/>
  <c r="E42" i="26" a="1"/>
  <c r="E42" i="26" s="1"/>
  <c r="I205" i="35" s="1"/>
  <c r="J91" i="37" s="1"/>
  <c r="D36" i="26" a="1"/>
  <c r="D36" i="26" s="1"/>
  <c r="H199" i="35" s="1"/>
  <c r="I70" i="37" s="1"/>
  <c r="D38" i="26" a="1"/>
  <c r="D38" i="26" s="1"/>
  <c r="H201" i="35" s="1"/>
  <c r="I77" i="37" s="1"/>
  <c r="D24" i="26" a="1"/>
  <c r="D24" i="26" s="1"/>
  <c r="H187" i="35" s="1"/>
  <c r="I21" i="37" s="1"/>
  <c r="G30" i="26" a="1"/>
  <c r="G30" i="26" s="1"/>
  <c r="H214" i="35" s="1"/>
  <c r="I45" i="58" s="1"/>
  <c r="H31" i="26" a="1"/>
  <c r="H31" i="26" s="1"/>
  <c r="I215" i="35" s="1"/>
  <c r="D39" i="26" a="1"/>
  <c r="D39" i="26" s="1"/>
  <c r="H202" i="35" s="1"/>
  <c r="D23" i="26" a="1"/>
  <c r="D23" i="26" s="1"/>
  <c r="H186" i="35" s="1"/>
  <c r="G36" i="26" a="1"/>
  <c r="G36" i="26" s="1"/>
  <c r="H220" i="35" s="1"/>
  <c r="I70" i="58" s="1"/>
  <c r="H26" i="26" a="1"/>
  <c r="H26" i="26" s="1"/>
  <c r="I210" i="35" s="1"/>
  <c r="J27" i="58" s="1"/>
  <c r="D35" i="26" a="1"/>
  <c r="D35" i="26" s="1"/>
  <c r="H198" i="35" s="1"/>
  <c r="F35" i="26" a="1"/>
  <c r="F35" i="26" s="1"/>
  <c r="G219" i="35" s="1"/>
  <c r="E38" i="26" a="1"/>
  <c r="E38" i="26" s="1"/>
  <c r="I201" i="35" s="1"/>
  <c r="J75" i="37" s="1"/>
  <c r="G31" i="26" a="1"/>
  <c r="G31" i="26" s="1"/>
  <c r="H215" i="35" s="1"/>
  <c r="E26" i="26" a="1"/>
  <c r="E26" i="26" s="1"/>
  <c r="I189" i="35" s="1"/>
  <c r="J28" i="37" s="1"/>
  <c r="H33" i="26" a="1"/>
  <c r="H33" i="26" s="1"/>
  <c r="I217" i="35" s="1"/>
  <c r="J58" i="58" s="1"/>
  <c r="H35" i="26" a="1"/>
  <c r="H35" i="26" s="1"/>
  <c r="I219" i="35" s="1"/>
  <c r="F23" i="26" a="1"/>
  <c r="F23" i="26" s="1"/>
  <c r="G207" i="35" s="1"/>
  <c r="E33" i="26" a="1"/>
  <c r="E33" i="26" s="1"/>
  <c r="I196" i="35" s="1"/>
  <c r="J58" i="37" s="1"/>
  <c r="G27" i="26" a="1"/>
  <c r="G27" i="26" s="1"/>
  <c r="H211" i="35" s="1"/>
  <c r="E36" i="26" a="1"/>
  <c r="E36" i="26" s="1"/>
  <c r="I199" i="35" s="1"/>
  <c r="J69" i="37" s="1"/>
  <c r="H28" i="26" a="1"/>
  <c r="H28" i="26" s="1"/>
  <c r="I212" i="35" s="1"/>
  <c r="J36" i="58" s="1"/>
  <c r="H36" i="26" a="1"/>
  <c r="H36" i="26" s="1"/>
  <c r="I220" i="35" s="1"/>
  <c r="J70" i="58" s="1"/>
  <c r="D41" i="26" a="1"/>
  <c r="D41" i="26" s="1"/>
  <c r="H204" i="35" s="1"/>
  <c r="I89" i="37" s="1"/>
  <c r="E40" i="26" a="1"/>
  <c r="E40" i="26" s="1"/>
  <c r="I203" i="35" s="1"/>
  <c r="J83" i="37" s="1"/>
  <c r="G41" i="26" a="1"/>
  <c r="G41" i="26" s="1"/>
  <c r="H225" i="35" s="1"/>
  <c r="I87" i="58" s="1"/>
  <c r="E28" i="26" a="1"/>
  <c r="E28" i="26" s="1"/>
  <c r="I191" i="35" s="1"/>
  <c r="J38" i="37" s="1"/>
  <c r="G25" i="26" a="1"/>
  <c r="G25" i="26" s="1"/>
  <c r="H209" i="35" s="1"/>
  <c r="I23" i="58" s="1"/>
  <c r="E37" i="26" a="1"/>
  <c r="E37" i="26" s="1"/>
  <c r="I200" i="35" s="1"/>
  <c r="J73" i="37" s="1"/>
  <c r="E31" i="26" a="1"/>
  <c r="E31" i="26" s="1"/>
  <c r="I194" i="35" s="1"/>
  <c r="D28" i="26" a="1"/>
  <c r="D28" i="26" s="1"/>
  <c r="H191" i="35" s="1"/>
  <c r="I38" i="37" s="1"/>
  <c r="H41" i="26" a="1"/>
  <c r="H41" i="26" s="1"/>
  <c r="I225" i="35" s="1"/>
  <c r="J90" i="58" s="1"/>
  <c r="H42" i="26" a="1"/>
  <c r="H42" i="26" s="1"/>
  <c r="I226" i="35" s="1"/>
  <c r="J94" i="58" s="1"/>
  <c r="H27" i="26" a="1"/>
  <c r="H27" i="26" s="1"/>
  <c r="I211" i="35" s="1"/>
  <c r="D40" i="26" a="1"/>
  <c r="D40" i="26" s="1"/>
  <c r="H203" i="35" s="1"/>
  <c r="I83" i="37" s="1"/>
  <c r="G32" i="26" a="1"/>
  <c r="G32" i="26" s="1"/>
  <c r="H216" i="35" s="1"/>
  <c r="I51" i="58" s="1"/>
  <c r="F32" i="26" a="1"/>
  <c r="F32" i="26" s="1"/>
  <c r="G216" i="35" s="1"/>
  <c r="H51" i="58" s="1"/>
  <c r="H51" i="41" s="1"/>
  <c r="F37" i="26" a="1"/>
  <c r="F37" i="26" s="1"/>
  <c r="G221" i="35" s="1"/>
  <c r="H71" i="58" s="1"/>
  <c r="H71" i="41" s="1"/>
  <c r="G38" i="26" a="1"/>
  <c r="G38" i="26" s="1"/>
  <c r="H222" i="35" s="1"/>
  <c r="I78" i="58" s="1"/>
  <c r="D31" i="26" a="1"/>
  <c r="D31" i="26" s="1"/>
  <c r="H194" i="35" s="1"/>
  <c r="J83" i="58"/>
  <c r="J85" i="58"/>
  <c r="J84" i="58"/>
  <c r="J86" i="58"/>
  <c r="J60" i="37"/>
  <c r="J59" i="37"/>
  <c r="J61" i="37"/>
  <c r="J62" i="37"/>
  <c r="I91" i="58"/>
  <c r="I92" i="37"/>
  <c r="I91" i="37"/>
  <c r="I94" i="37"/>
  <c r="I93" i="37"/>
  <c r="I198" i="35"/>
  <c r="J42" i="37"/>
  <c r="J54" i="37" l="1"/>
  <c r="J25" i="37"/>
  <c r="J26" i="37"/>
  <c r="J24" i="37"/>
  <c r="J24" i="41" s="1"/>
  <c r="J46" i="37"/>
  <c r="I58" i="37"/>
  <c r="I58" i="41" s="1"/>
  <c r="I56" i="37"/>
  <c r="I57" i="37"/>
  <c r="J28" i="58"/>
  <c r="J28" i="41" s="1"/>
  <c r="J29" i="58"/>
  <c r="J35" i="58"/>
  <c r="J38" i="58"/>
  <c r="J38" i="41" s="1"/>
  <c r="J43" i="58"/>
  <c r="J44" i="58"/>
  <c r="J44" i="41" s="1"/>
  <c r="I36" i="58"/>
  <c r="I29" i="58"/>
  <c r="I28" i="58"/>
  <c r="I30" i="58"/>
  <c r="I30" i="41" s="1"/>
  <c r="J41" i="37"/>
  <c r="J39" i="37"/>
  <c r="H20" i="58"/>
  <c r="H20" i="41" s="1"/>
  <c r="H22" i="58"/>
  <c r="H22" i="41" s="1"/>
  <c r="J22" i="37"/>
  <c r="J19" i="37"/>
  <c r="J21" i="37"/>
  <c r="I73" i="37"/>
  <c r="I74" i="37"/>
  <c r="I72" i="37"/>
  <c r="H87" i="58"/>
  <c r="H87" i="41" s="1"/>
  <c r="H88" i="58"/>
  <c r="H88" i="41" s="1"/>
  <c r="I22" i="37"/>
  <c r="I22" i="41" s="1"/>
  <c r="I94" i="58"/>
  <c r="I92" i="58"/>
  <c r="I92" i="41" s="1"/>
  <c r="H21" i="58"/>
  <c r="H21" i="41" s="1"/>
  <c r="H56" i="58"/>
  <c r="H56" i="41" s="1"/>
  <c r="J71" i="58"/>
  <c r="J52" i="37"/>
  <c r="H55" i="58"/>
  <c r="H55" i="41" s="1"/>
  <c r="J73" i="58"/>
  <c r="J73" i="41" s="1"/>
  <c r="J51" i="37"/>
  <c r="J51" i="41" s="1"/>
  <c r="H58" i="58"/>
  <c r="H58" i="41" s="1"/>
  <c r="J46" i="58"/>
  <c r="J72" i="58"/>
  <c r="I21" i="58"/>
  <c r="I46" i="37"/>
  <c r="I37" i="58"/>
  <c r="I84" i="58"/>
  <c r="J26" i="58"/>
  <c r="J26" i="41" s="1"/>
  <c r="I19" i="58"/>
  <c r="I38" i="58"/>
  <c r="I38" i="41" s="1"/>
  <c r="I83" i="58"/>
  <c r="I83" i="41" s="1"/>
  <c r="I86" i="58"/>
  <c r="J25" i="58"/>
  <c r="H90" i="58"/>
  <c r="H90" i="41" s="1"/>
  <c r="I43" i="37"/>
  <c r="I19" i="37"/>
  <c r="J56" i="58"/>
  <c r="J57" i="58"/>
  <c r="J55" i="58"/>
  <c r="I87" i="37"/>
  <c r="I87" i="41" s="1"/>
  <c r="I90" i="37"/>
  <c r="I41" i="37"/>
  <c r="J42" i="58"/>
  <c r="J42" i="41" s="1"/>
  <c r="H25" i="58"/>
  <c r="H25" i="41" s="1"/>
  <c r="H28" i="58"/>
  <c r="H28" i="41" s="1"/>
  <c r="H24" i="58"/>
  <c r="H24" i="41" s="1"/>
  <c r="H26" i="58"/>
  <c r="H26" i="41" s="1"/>
  <c r="I57" i="58"/>
  <c r="I57" i="41" s="1"/>
  <c r="H59" i="58"/>
  <c r="H59" i="41" s="1"/>
  <c r="I28" i="37"/>
  <c r="J35" i="37"/>
  <c r="J35" i="41" s="1"/>
  <c r="I74" i="58"/>
  <c r="J85" i="37"/>
  <c r="J85" i="41" s="1"/>
  <c r="H43" i="58"/>
  <c r="H43" i="41" s="1"/>
  <c r="H44" i="58"/>
  <c r="H44" i="41" s="1"/>
  <c r="H61" i="58"/>
  <c r="H61" i="41" s="1"/>
  <c r="I29" i="37"/>
  <c r="I71" i="58"/>
  <c r="I71" i="41" s="1"/>
  <c r="I27" i="37"/>
  <c r="I27" i="41" s="1"/>
  <c r="H94" i="58"/>
  <c r="H94" i="41" s="1"/>
  <c r="H92" i="58"/>
  <c r="H92" i="41" s="1"/>
  <c r="E54" i="26"/>
  <c r="H54" i="26" s="1"/>
  <c r="H91" i="58"/>
  <c r="H91" i="41" s="1"/>
  <c r="H46" i="58"/>
  <c r="H46" i="41" s="1"/>
  <c r="H60" i="58"/>
  <c r="H60" i="41" s="1"/>
  <c r="I73" i="58"/>
  <c r="I73" i="41" s="1"/>
  <c r="J62" i="58"/>
  <c r="J62" i="41" s="1"/>
  <c r="J27" i="37"/>
  <c r="J27" i="41" s="1"/>
  <c r="J29" i="37"/>
  <c r="J60" i="58"/>
  <c r="J60" i="41" s="1"/>
  <c r="J30" i="37"/>
  <c r="J61" i="58"/>
  <c r="J61" i="41" s="1"/>
  <c r="D50" i="26"/>
  <c r="J37" i="58"/>
  <c r="I20" i="58"/>
  <c r="J23" i="58"/>
  <c r="J23" i="41" s="1"/>
  <c r="I25" i="58"/>
  <c r="I20" i="37"/>
  <c r="I45" i="37"/>
  <c r="I45" i="41" s="1"/>
  <c r="J86" i="37"/>
  <c r="J86" i="41" s="1"/>
  <c r="I44" i="58"/>
  <c r="I44" i="41" s="1"/>
  <c r="J56" i="37"/>
  <c r="J77" i="37"/>
  <c r="H41" i="58"/>
  <c r="H41" i="41" s="1"/>
  <c r="I52" i="37"/>
  <c r="H29" i="58"/>
  <c r="H29" i="41" s="1"/>
  <c r="H39" i="58"/>
  <c r="H39" i="41" s="1"/>
  <c r="J57" i="37"/>
  <c r="I42" i="37"/>
  <c r="E50" i="26"/>
  <c r="H50" i="26" s="1"/>
  <c r="I53" i="37"/>
  <c r="I43" i="58"/>
  <c r="I55" i="58"/>
  <c r="I55" i="41" s="1"/>
  <c r="I46" i="58"/>
  <c r="I56" i="58"/>
  <c r="H40" i="58"/>
  <c r="H40" i="41" s="1"/>
  <c r="I40" i="37"/>
  <c r="I40" i="41" s="1"/>
  <c r="J76" i="37"/>
  <c r="H27" i="58"/>
  <c r="H27" i="41" s="1"/>
  <c r="J55" i="37"/>
  <c r="I51" i="37"/>
  <c r="I51" i="41" s="1"/>
  <c r="J41" i="58"/>
  <c r="J68" i="37"/>
  <c r="J40" i="58"/>
  <c r="J40" i="41" s="1"/>
  <c r="J78" i="37"/>
  <c r="J67" i="37"/>
  <c r="F51" i="26"/>
  <c r="J70" i="37"/>
  <c r="J70" i="41" s="1"/>
  <c r="J37" i="37"/>
  <c r="J72" i="37"/>
  <c r="D51" i="26"/>
  <c r="J36" i="37"/>
  <c r="J36" i="41" s="1"/>
  <c r="J84" i="37"/>
  <c r="J84" i="41" s="1"/>
  <c r="F50" i="26"/>
  <c r="I68" i="58"/>
  <c r="H75" i="58"/>
  <c r="H75" i="41" s="1"/>
  <c r="I61" i="58"/>
  <c r="I24" i="58"/>
  <c r="G52" i="26"/>
  <c r="J92" i="37"/>
  <c r="J54" i="58"/>
  <c r="J54" i="41" s="1"/>
  <c r="J93" i="37"/>
  <c r="J74" i="37"/>
  <c r="J74" i="41" s="1"/>
  <c r="I69" i="58"/>
  <c r="I59" i="58"/>
  <c r="H77" i="58"/>
  <c r="H77" i="41" s="1"/>
  <c r="J52" i="58"/>
  <c r="I67" i="58"/>
  <c r="H78" i="58"/>
  <c r="H78" i="41" s="1"/>
  <c r="J53" i="58"/>
  <c r="J53" i="41" s="1"/>
  <c r="J94" i="37"/>
  <c r="J94" i="41" s="1"/>
  <c r="D53" i="26"/>
  <c r="H52" i="58"/>
  <c r="H52" i="41" s="1"/>
  <c r="I59" i="37"/>
  <c r="F54" i="26"/>
  <c r="I60" i="37"/>
  <c r="I60" i="41" s="1"/>
  <c r="J71" i="37"/>
  <c r="I62" i="58"/>
  <c r="I62" i="41" s="1"/>
  <c r="I61" i="37"/>
  <c r="I26" i="58"/>
  <c r="I26" i="41" s="1"/>
  <c r="J30" i="58"/>
  <c r="I75" i="37"/>
  <c r="D54" i="26"/>
  <c r="I76" i="37"/>
  <c r="J90" i="37"/>
  <c r="J90" i="41" s="1"/>
  <c r="J78" i="58"/>
  <c r="J21" i="58"/>
  <c r="J89" i="37"/>
  <c r="J87" i="37"/>
  <c r="G50" i="26"/>
  <c r="J77" i="58"/>
  <c r="H86" i="58"/>
  <c r="H86" i="41" s="1"/>
  <c r="H67" i="58"/>
  <c r="H67" i="41" s="1"/>
  <c r="J88" i="58"/>
  <c r="J88" i="41" s="1"/>
  <c r="J76" i="58"/>
  <c r="J22" i="58"/>
  <c r="H35" i="58"/>
  <c r="H35" i="41" s="1"/>
  <c r="C53" i="26"/>
  <c r="I68" i="37"/>
  <c r="H83" i="58"/>
  <c r="H83" i="41" s="1"/>
  <c r="I41" i="58"/>
  <c r="H70" i="58"/>
  <c r="H70" i="41" s="1"/>
  <c r="I23" i="37"/>
  <c r="I23" i="41" s="1"/>
  <c r="J87" i="58"/>
  <c r="J45" i="37"/>
  <c r="J45" i="41" s="1"/>
  <c r="J19" i="58"/>
  <c r="H37" i="58"/>
  <c r="H37" i="41" s="1"/>
  <c r="I78" i="37"/>
  <c r="I78" i="41" s="1"/>
  <c r="I67" i="37"/>
  <c r="I42" i="58"/>
  <c r="I25" i="37"/>
  <c r="I69" i="37"/>
  <c r="H85" i="58"/>
  <c r="H85" i="41" s="1"/>
  <c r="I39" i="58"/>
  <c r="I39" i="41" s="1"/>
  <c r="H68" i="58"/>
  <c r="H68" i="41" s="1"/>
  <c r="I24" i="37"/>
  <c r="J89" i="58"/>
  <c r="J43" i="37"/>
  <c r="H38" i="58"/>
  <c r="H38" i="41" s="1"/>
  <c r="E51" i="26"/>
  <c r="H51" i="26" s="1"/>
  <c r="C50" i="26"/>
  <c r="H72" i="58"/>
  <c r="H72" i="41" s="1"/>
  <c r="J83" i="41"/>
  <c r="G53" i="26"/>
  <c r="I89" i="58"/>
  <c r="I89" i="41" s="1"/>
  <c r="J67" i="58"/>
  <c r="J68" i="58"/>
  <c r="J69" i="58"/>
  <c r="J69" i="41" s="1"/>
  <c r="I88" i="37"/>
  <c r="J91" i="58"/>
  <c r="J91" i="41" s="1"/>
  <c r="I90" i="58"/>
  <c r="G54" i="26"/>
  <c r="J92" i="58"/>
  <c r="I88" i="58"/>
  <c r="C52" i="26"/>
  <c r="J93" i="58"/>
  <c r="C51" i="26"/>
  <c r="I93" i="41"/>
  <c r="D52" i="26"/>
  <c r="I72" i="41"/>
  <c r="I94" i="41"/>
  <c r="I37" i="37"/>
  <c r="J75" i="41"/>
  <c r="H74" i="58"/>
  <c r="H74" i="41" s="1"/>
  <c r="I77" i="58"/>
  <c r="I77" i="41" s="1"/>
  <c r="G51" i="26"/>
  <c r="F53" i="26"/>
  <c r="I36" i="37"/>
  <c r="E53" i="26"/>
  <c r="H53" i="26" s="1"/>
  <c r="I75" i="58"/>
  <c r="I35" i="37"/>
  <c r="I35" i="41" s="1"/>
  <c r="C54" i="26"/>
  <c r="H53" i="58"/>
  <c r="H53" i="41" s="1"/>
  <c r="J39" i="41"/>
  <c r="I54" i="58"/>
  <c r="I54" i="41" s="1"/>
  <c r="H73" i="58"/>
  <c r="H73" i="41" s="1"/>
  <c r="H54" i="58"/>
  <c r="H54" i="41" s="1"/>
  <c r="E52" i="26"/>
  <c r="H52" i="26" s="1"/>
  <c r="I84" i="37"/>
  <c r="I53" i="58"/>
  <c r="I76" i="58"/>
  <c r="F52" i="26"/>
  <c r="I86" i="37"/>
  <c r="I85" i="37"/>
  <c r="I85" i="41" s="1"/>
  <c r="I52" i="58"/>
  <c r="J59" i="41"/>
  <c r="I21" i="41"/>
  <c r="I91" i="41"/>
  <c r="J79" i="37"/>
  <c r="J80" i="37"/>
  <c r="J82" i="37"/>
  <c r="J81" i="37"/>
  <c r="J79" i="58"/>
  <c r="J80" i="58"/>
  <c r="J82" i="58"/>
  <c r="J81" i="58"/>
  <c r="I16" i="58"/>
  <c r="I18" i="58"/>
  <c r="I15" i="58"/>
  <c r="I17" i="58"/>
  <c r="I32" i="37"/>
  <c r="I33" i="37"/>
  <c r="I34" i="37"/>
  <c r="I31" i="37"/>
  <c r="J20" i="41"/>
  <c r="I48" i="37"/>
  <c r="I47" i="37"/>
  <c r="I50" i="37"/>
  <c r="I49" i="37"/>
  <c r="I82" i="37"/>
  <c r="I79" i="37"/>
  <c r="I81" i="37"/>
  <c r="I80" i="37"/>
  <c r="J34" i="58"/>
  <c r="J32" i="58"/>
  <c r="J31" i="58"/>
  <c r="J33" i="58"/>
  <c r="I66" i="58"/>
  <c r="I64" i="58"/>
  <c r="I65" i="58"/>
  <c r="I63" i="58"/>
  <c r="H18" i="58"/>
  <c r="H18" i="41" s="1"/>
  <c r="H16" i="58"/>
  <c r="H17" i="58"/>
  <c r="H15" i="58"/>
  <c r="J18" i="58"/>
  <c r="J16" i="58"/>
  <c r="J15" i="58"/>
  <c r="J17" i="58"/>
  <c r="J65" i="37"/>
  <c r="J63" i="37"/>
  <c r="J64" i="37"/>
  <c r="J66" i="37"/>
  <c r="H80" i="58"/>
  <c r="H80" i="41" s="1"/>
  <c r="H79" i="58"/>
  <c r="H79" i="41" s="1"/>
  <c r="H81" i="58"/>
  <c r="H81" i="41" s="1"/>
  <c r="H82" i="58"/>
  <c r="H82" i="41" s="1"/>
  <c r="J58" i="41"/>
  <c r="J63" i="58"/>
  <c r="J65" i="58"/>
  <c r="J66" i="58"/>
  <c r="J64" i="58"/>
  <c r="H66" i="58"/>
  <c r="H66" i="41" s="1"/>
  <c r="H64" i="58"/>
  <c r="H64" i="41" s="1"/>
  <c r="H65" i="58"/>
  <c r="H65" i="41" s="1"/>
  <c r="H63" i="58"/>
  <c r="H63" i="41" s="1"/>
  <c r="J50" i="58"/>
  <c r="J49" i="58"/>
  <c r="J47" i="58"/>
  <c r="J48" i="58"/>
  <c r="I70" i="41"/>
  <c r="H32" i="58"/>
  <c r="H32" i="41" s="1"/>
  <c r="H31" i="58"/>
  <c r="H31" i="41" s="1"/>
  <c r="H34" i="58"/>
  <c r="H34" i="41" s="1"/>
  <c r="H33" i="58"/>
  <c r="H33" i="41" s="1"/>
  <c r="I18" i="37"/>
  <c r="I17" i="37"/>
  <c r="I16" i="37"/>
  <c r="I15" i="37"/>
  <c r="J17" i="37"/>
  <c r="J15" i="37"/>
  <c r="J18" i="37"/>
  <c r="J16" i="37"/>
  <c r="J50" i="37"/>
  <c r="J47" i="37"/>
  <c r="J48" i="37"/>
  <c r="J49" i="37"/>
  <c r="I48" i="58"/>
  <c r="I47" i="58"/>
  <c r="I50" i="58"/>
  <c r="I49" i="58"/>
  <c r="I66" i="37"/>
  <c r="I64" i="37"/>
  <c r="I65" i="37"/>
  <c r="I63" i="37"/>
  <c r="I34" i="58"/>
  <c r="I32" i="58"/>
  <c r="I31" i="58"/>
  <c r="I33" i="58"/>
  <c r="H50" i="58"/>
  <c r="H50" i="41" s="1"/>
  <c r="H49" i="58"/>
  <c r="H49" i="41" s="1"/>
  <c r="H47" i="58"/>
  <c r="H47" i="41" s="1"/>
  <c r="H48" i="58"/>
  <c r="H48" i="41" s="1"/>
  <c r="J32" i="37"/>
  <c r="J31" i="37"/>
  <c r="J33" i="37"/>
  <c r="J34" i="37"/>
  <c r="I82" i="58"/>
  <c r="I79" i="58"/>
  <c r="I81" i="58"/>
  <c r="I80" i="58"/>
  <c r="J25" i="41" l="1"/>
  <c r="I56" i="41"/>
  <c r="J29" i="41"/>
  <c r="J19" i="41"/>
  <c r="J46" i="41"/>
  <c r="I86" i="41"/>
  <c r="I29" i="41"/>
  <c r="I36" i="41"/>
  <c r="J43" i="41"/>
  <c r="I28" i="41"/>
  <c r="J41" i="41"/>
  <c r="J72" i="41"/>
  <c r="J22" i="41"/>
  <c r="J21" i="41"/>
  <c r="I74" i="41"/>
  <c r="J71" i="41"/>
  <c r="J55" i="41"/>
  <c r="I42" i="41"/>
  <c r="J52" i="41"/>
  <c r="I37" i="41"/>
  <c r="I46" i="41"/>
  <c r="I19" i="41"/>
  <c r="I84" i="41"/>
  <c r="I43" i="41"/>
  <c r="I90" i="41"/>
  <c r="I53" i="41"/>
  <c r="I68" i="41"/>
  <c r="J77" i="41"/>
  <c r="I20" i="41"/>
  <c r="J30" i="41"/>
  <c r="J51" i="26"/>
  <c r="I41" i="41"/>
  <c r="J68" i="41"/>
  <c r="J57" i="41"/>
  <c r="J56" i="41"/>
  <c r="J50" i="26"/>
  <c r="I51" i="26"/>
  <c r="I75" i="41"/>
  <c r="J87" i="41"/>
  <c r="J93" i="41"/>
  <c r="I67" i="41"/>
  <c r="J54" i="26"/>
  <c r="J31" i="41"/>
  <c r="J52" i="26"/>
  <c r="I76" i="41"/>
  <c r="I25" i="41"/>
  <c r="J37" i="41"/>
  <c r="I52" i="41"/>
  <c r="I53" i="26"/>
  <c r="J89" i="41"/>
  <c r="J76" i="41"/>
  <c r="I54" i="26"/>
  <c r="J92" i="41"/>
  <c r="J67" i="41"/>
  <c r="I50" i="26"/>
  <c r="J78" i="41"/>
  <c r="I61" i="41"/>
  <c r="J53" i="26"/>
  <c r="I69" i="41"/>
  <c r="I24" i="41"/>
  <c r="I59" i="41"/>
  <c r="I88" i="41"/>
  <c r="J34" i="41"/>
  <c r="J18" i="41"/>
  <c r="I52" i="26"/>
  <c r="I66" i="41"/>
  <c r="J49" i="41"/>
  <c r="J82" i="41"/>
  <c r="I65" i="41"/>
  <c r="J47" i="41"/>
  <c r="I64" i="41"/>
  <c r="I63" i="41"/>
  <c r="J33" i="41"/>
  <c r="J423" i="58"/>
  <c r="E347" i="38" s="1"/>
  <c r="M290" i="66" s="1"/>
  <c r="I18" i="41"/>
  <c r="C58" i="63"/>
  <c r="J32" i="41"/>
  <c r="J80" i="41"/>
  <c r="I16" i="41"/>
  <c r="J48" i="41"/>
  <c r="J64" i="41"/>
  <c r="H17" i="41"/>
  <c r="C38" i="63"/>
  <c r="I80" i="41"/>
  <c r="J15" i="41"/>
  <c r="J423" i="37"/>
  <c r="J424" i="37"/>
  <c r="F145" i="66" s="1"/>
  <c r="C18" i="63"/>
  <c r="I17" i="41"/>
  <c r="J63" i="41"/>
  <c r="H16" i="41"/>
  <c r="I81" i="41"/>
  <c r="C48" i="63"/>
  <c r="J17" i="41"/>
  <c r="C28" i="63"/>
  <c r="J65" i="41"/>
  <c r="I79" i="41"/>
  <c r="I423" i="58"/>
  <c r="I424" i="58"/>
  <c r="F241" i="66" s="1"/>
  <c r="J81" i="41"/>
  <c r="J50" i="41"/>
  <c r="I82" i="41"/>
  <c r="J424" i="58"/>
  <c r="E35" i="53" s="1"/>
  <c r="F35" i="53" s="1"/>
  <c r="H29" i="53" s="1"/>
  <c r="I49" i="41"/>
  <c r="I31" i="41"/>
  <c r="I50" i="41"/>
  <c r="I34" i="41"/>
  <c r="J79" i="41"/>
  <c r="I47" i="41"/>
  <c r="I33" i="41"/>
  <c r="J16" i="41"/>
  <c r="I424" i="37"/>
  <c r="E17" i="53" s="1"/>
  <c r="F17" i="53" s="1"/>
  <c r="I423" i="37"/>
  <c r="I15" i="41"/>
  <c r="J66" i="41"/>
  <c r="H15" i="41"/>
  <c r="H423" i="58"/>
  <c r="H424" i="58"/>
  <c r="H424" i="41" s="1"/>
  <c r="I48" i="41"/>
  <c r="I32" i="41"/>
  <c r="F290" i="66" l="1"/>
  <c r="N290" i="66" s="1"/>
  <c r="F289" i="66"/>
  <c r="E29" i="53"/>
  <c r="F29" i="53" s="1"/>
  <c r="G29" i="53" s="1"/>
  <c r="E329" i="38" s="1"/>
  <c r="E23" i="53"/>
  <c r="F23" i="53" s="1"/>
  <c r="H17" i="53" s="1"/>
  <c r="G17" i="53" s="1"/>
  <c r="E305" i="38" s="1"/>
  <c r="H23" i="53"/>
  <c r="E299" i="38"/>
  <c r="M194" i="66" s="1"/>
  <c r="F194" i="66"/>
  <c r="H423" i="41"/>
  <c r="H425" i="58"/>
  <c r="E323" i="38"/>
  <c r="M242" i="66" s="1"/>
  <c r="F242" i="66"/>
  <c r="I425" i="58"/>
  <c r="E11" i="53"/>
  <c r="F11" i="53" s="1"/>
  <c r="F193" i="66"/>
  <c r="J424" i="41"/>
  <c r="F97" i="66"/>
  <c r="I423" i="41"/>
  <c r="E311" i="38"/>
  <c r="M98" i="66" s="1"/>
  <c r="I425" i="37"/>
  <c r="F98" i="66"/>
  <c r="J423" i="41"/>
  <c r="J425" i="37"/>
  <c r="F146" i="66"/>
  <c r="E335" i="38"/>
  <c r="M146" i="66" s="1"/>
  <c r="I424" i="41"/>
  <c r="J425" i="58"/>
  <c r="G23" i="53" l="1"/>
  <c r="E317" i="38" s="1"/>
  <c r="L241" i="66" s="1"/>
  <c r="H35" i="53"/>
  <c r="G35" i="53" s="1"/>
  <c r="E341" i="38" s="1"/>
  <c r="J484" i="58" s="1"/>
  <c r="H5" i="53"/>
  <c r="G5" i="53" s="1"/>
  <c r="E281" i="38" s="1"/>
  <c r="G11" i="53"/>
  <c r="E293" i="38" s="1"/>
  <c r="N98" i="66"/>
  <c r="C49" i="63"/>
  <c r="I425" i="41"/>
  <c r="C19" i="63"/>
  <c r="N242" i="66"/>
  <c r="C59" i="63"/>
  <c r="C32" i="63"/>
  <c r="C39" i="63"/>
  <c r="H425" i="41"/>
  <c r="M3" i="41" s="1"/>
  <c r="J484" i="37"/>
  <c r="L145" i="66"/>
  <c r="N146" i="66"/>
  <c r="N194" i="66"/>
  <c r="L97" i="66"/>
  <c r="P97" i="66" s="1"/>
  <c r="I484" i="37"/>
  <c r="J425" i="41"/>
  <c r="C29" i="63"/>
  <c r="L289" i="66" l="1"/>
  <c r="P289" i="66" s="1"/>
  <c r="I484" i="58"/>
  <c r="I484" i="41" s="1"/>
  <c r="J484" i="41"/>
  <c r="P241" i="66"/>
  <c r="N241" i="66"/>
  <c r="Y194" i="66"/>
  <c r="Z194" i="66"/>
  <c r="Z50" i="66"/>
  <c r="Y50" i="66"/>
  <c r="Y290" i="66"/>
  <c r="Z146" i="66"/>
  <c r="Y146" i="66"/>
  <c r="Z290" i="66"/>
  <c r="P145" i="66"/>
  <c r="N145" i="66"/>
  <c r="Z98" i="66"/>
  <c r="Y98" i="66"/>
  <c r="Y242" i="66"/>
  <c r="Z242" i="66"/>
  <c r="H484" i="58"/>
  <c r="L193" i="66"/>
  <c r="N97" i="66"/>
  <c r="H484" i="37"/>
  <c r="L49" i="66"/>
  <c r="N289" i="66" l="1"/>
  <c r="O145" i="66" s="1"/>
  <c r="H484" i="41"/>
  <c r="N49" i="66"/>
  <c r="R49" i="66"/>
  <c r="T49" i="66" s="1"/>
  <c r="P49" i="66"/>
  <c r="V49" i="66" s="1"/>
  <c r="X49" i="66" s="1"/>
  <c r="Z241" i="66"/>
  <c r="Z97" i="66"/>
  <c r="Y97" i="66"/>
  <c r="O97" i="66"/>
  <c r="Y241" i="66"/>
  <c r="R193" i="66"/>
  <c r="T193" i="66" s="1"/>
  <c r="P193" i="66"/>
  <c r="V193" i="66" s="1"/>
  <c r="X193" i="66" s="1"/>
  <c r="N193" i="66"/>
  <c r="O241" i="66"/>
  <c r="Y289" i="66" l="1"/>
  <c r="O289" i="66"/>
  <c r="V289" i="66" s="1"/>
  <c r="X289" i="66" s="1"/>
  <c r="Z145" i="66"/>
  <c r="Y145" i="66"/>
  <c r="Z289" i="66"/>
  <c r="O193" i="66"/>
  <c r="U193" i="66" s="1"/>
  <c r="Q97" i="66"/>
  <c r="R97" i="66" s="1"/>
  <c r="T97" i="66" s="1"/>
  <c r="U97" i="66"/>
  <c r="V97" i="66"/>
  <c r="X97" i="66" s="1"/>
  <c r="Q145" i="66"/>
  <c r="R145" i="66" s="1"/>
  <c r="T145" i="66" s="1"/>
  <c r="U145" i="66"/>
  <c r="V145" i="66"/>
  <c r="X145" i="66" s="1"/>
  <c r="Q241" i="66"/>
  <c r="R241" i="66" s="1"/>
  <c r="T241" i="66" s="1"/>
  <c r="U241" i="66"/>
  <c r="V241" i="66"/>
  <c r="X241" i="66" s="1"/>
  <c r="Y49" i="66"/>
  <c r="Z193" i="66"/>
  <c r="O49" i="66"/>
  <c r="Z49" i="66"/>
  <c r="Y193" i="66"/>
  <c r="U289" i="66" l="1"/>
  <c r="Q289" i="66"/>
  <c r="R289" i="66" s="1"/>
  <c r="T289" i="66" s="1"/>
  <c r="Q193" i="66"/>
  <c r="U49" i="66"/>
  <c r="Q49" i="66"/>
  <c r="O26" i="9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8" i="41" s="1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7" i="41" s="1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5" i="41" s="1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2" i="41" s="1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4" i="41" s="1"/>
  <c r="I236" i="37"/>
  <c r="I236" i="41" s="1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2" i="41" s="1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421" i="41" l="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4" i="41" s="1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0" i="41" s="1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2" i="41" s="1"/>
  <c r="J300" i="37"/>
  <c r="J301" i="37"/>
  <c r="J301" i="41" s="1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F264" i="66" s="1"/>
  <c r="N264" i="66" s="1"/>
  <c r="J197" i="58"/>
  <c r="J353" i="58"/>
  <c r="F253" i="66" s="1"/>
  <c r="N253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222" i="41" s="1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D78" i="57"/>
  <c r="F263" i="66"/>
  <c r="N263" i="66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F254" i="66" s="1"/>
  <c r="N254" i="66" s="1"/>
  <c r="I197" i="41"/>
  <c r="H456" i="18"/>
  <c r="I456" i="18"/>
  <c r="J412" i="58"/>
  <c r="J413" i="58"/>
  <c r="J411" i="58"/>
  <c r="F256" i="66" s="1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3" i="41" s="1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F269" i="66" l="1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F281" i="66"/>
  <c r="F274" i="66"/>
  <c r="J206" i="41"/>
  <c r="F244" i="66"/>
  <c r="N244" i="66" s="1"/>
  <c r="J395" i="41"/>
  <c r="O3" i="58"/>
  <c r="F273" i="66"/>
  <c r="N273" i="66" s="1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F259" i="66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F258" i="66"/>
  <c r="N258" i="66" s="1"/>
  <c r="F112" i="66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400" i="41" s="1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F129" i="66"/>
  <c r="N129" i="66" s="1"/>
  <c r="J288" i="41"/>
  <c r="D37" i="57"/>
  <c r="J161" i="41"/>
  <c r="F119" i="66"/>
  <c r="N119" i="66" s="1"/>
  <c r="J372" i="41"/>
  <c r="D39" i="57"/>
  <c r="H356" i="18"/>
  <c r="I356" i="18"/>
  <c r="I100" i="18"/>
  <c r="H100" i="18"/>
  <c r="I107" i="18"/>
  <c r="H107" i="18"/>
  <c r="I373" i="37"/>
  <c r="I373" i="41" s="1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F137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F134" i="66"/>
  <c r="J494" i="37"/>
  <c r="J493" i="37"/>
  <c r="J325" i="41"/>
  <c r="D30" i="57"/>
  <c r="E394" i="38"/>
  <c r="M134" i="66" s="1"/>
  <c r="F114" i="66"/>
  <c r="N114" i="66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F125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E32" i="53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F121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F110" i="66"/>
  <c r="N110" i="66" s="1"/>
  <c r="J270" i="41"/>
  <c r="D36" i="57"/>
  <c r="J282" i="41"/>
  <c r="J463" i="18"/>
  <c r="F463" i="18"/>
  <c r="F114" i="18"/>
  <c r="J114" i="18"/>
  <c r="E26" i="53"/>
  <c r="F115" i="66"/>
  <c r="J146" i="41"/>
  <c r="I150" i="18"/>
  <c r="H150" i="18"/>
  <c r="I221" i="37"/>
  <c r="I219" i="37"/>
  <c r="I220" i="37"/>
  <c r="F158" i="18"/>
  <c r="J158" i="18"/>
  <c r="J192" i="41"/>
  <c r="D33" i="57"/>
  <c r="F120" i="66"/>
  <c r="N120" i="66" s="1"/>
  <c r="D67" i="57"/>
  <c r="J171" i="41"/>
  <c r="J119" i="18"/>
  <c r="F119" i="18"/>
  <c r="J292" i="41"/>
  <c r="F127" i="18"/>
  <c r="J127" i="18"/>
  <c r="J493" i="58"/>
  <c r="F279" i="66" s="1"/>
  <c r="N279" i="66" s="1"/>
  <c r="J375" i="41"/>
  <c r="J368" i="41"/>
  <c r="F100" i="66"/>
  <c r="N100" i="66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F265" i="66"/>
  <c r="J172" i="41"/>
  <c r="F504" i="18"/>
  <c r="J504" i="18"/>
  <c r="F206" i="18"/>
  <c r="J206" i="18"/>
  <c r="F500" i="18"/>
  <c r="J500" i="18"/>
  <c r="J293" i="41"/>
  <c r="E397" i="38"/>
  <c r="M278" i="66" s="1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F109" i="66"/>
  <c r="N109" i="66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194" i="41" s="1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2" i="41" s="1"/>
  <c r="I363" i="37"/>
  <c r="I361" i="37"/>
  <c r="I361" i="41" s="1"/>
  <c r="I364" i="37"/>
  <c r="I364" i="41" s="1"/>
  <c r="F161" i="18"/>
  <c r="J161" i="18"/>
  <c r="F204" i="18"/>
  <c r="J204" i="18"/>
  <c r="J246" i="18"/>
  <c r="F246" i="18"/>
  <c r="F503" i="18"/>
  <c r="J503" i="18"/>
  <c r="F278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I254" i="41" s="1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I338" i="41" s="1"/>
  <c r="F164" i="18"/>
  <c r="J164" i="18"/>
  <c r="F124" i="18"/>
  <c r="J124" i="18"/>
  <c r="F130" i="66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I363" i="41" l="1"/>
  <c r="I399" i="41"/>
  <c r="E48" i="39"/>
  <c r="M49" i="39"/>
  <c r="E181" i="38" s="1"/>
  <c r="J457" i="58" s="1"/>
  <c r="E49" i="39"/>
  <c r="E130" i="38" s="1"/>
  <c r="J112" i="66" s="1"/>
  <c r="I401" i="41"/>
  <c r="I157" i="41"/>
  <c r="I253" i="41"/>
  <c r="N278" i="66"/>
  <c r="I160" i="41"/>
  <c r="C44" i="63"/>
  <c r="E400" i="38"/>
  <c r="J495" i="37" s="1"/>
  <c r="I340" i="41"/>
  <c r="E50" i="39"/>
  <c r="E131" i="38" s="1"/>
  <c r="I374" i="41"/>
  <c r="I272" i="41"/>
  <c r="N134" i="66"/>
  <c r="Z278" i="66" s="1"/>
  <c r="M51" i="39"/>
  <c r="E183" i="38" s="1"/>
  <c r="J281" i="66" s="1"/>
  <c r="E403" i="38"/>
  <c r="J495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J497" i="58"/>
  <c r="F89" i="66"/>
  <c r="N3" i="37"/>
  <c r="D21" i="57"/>
  <c r="I252" i="41"/>
  <c r="F196" i="66"/>
  <c r="N196" i="66" s="1"/>
  <c r="D55" i="57"/>
  <c r="I352" i="41"/>
  <c r="I230" i="41"/>
  <c r="J359" i="18"/>
  <c r="F359" i="18"/>
  <c r="I317" i="41"/>
  <c r="I183" i="41"/>
  <c r="J464" i="58"/>
  <c r="J269" i="66"/>
  <c r="J399" i="18"/>
  <c r="F399" i="18"/>
  <c r="J465" i="5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M47" i="39"/>
  <c r="E51" i="39"/>
  <c r="E132" i="38" s="1"/>
  <c r="J105" i="18"/>
  <c r="F105" i="18"/>
  <c r="H34" i="53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F81" i="66"/>
  <c r="N81" i="66" s="1"/>
  <c r="D24" i="57"/>
  <c r="I288" i="41"/>
  <c r="Z258" i="66"/>
  <c r="Z114" i="66"/>
  <c r="Y114" i="66"/>
  <c r="Y258" i="66"/>
  <c r="F361" i="18"/>
  <c r="J361" i="18"/>
  <c r="I243" i="41"/>
  <c r="F206" i="66"/>
  <c r="N206" i="66" s="1"/>
  <c r="D62" i="57"/>
  <c r="D64" i="57"/>
  <c r="F205" i="66"/>
  <c r="N205" i="66" s="1"/>
  <c r="I219" i="41"/>
  <c r="F154" i="18"/>
  <c r="J154" i="18"/>
  <c r="F395" i="18"/>
  <c r="J395" i="18"/>
  <c r="I383" i="41"/>
  <c r="J112" i="18"/>
  <c r="F112" i="18"/>
  <c r="I178" i="41"/>
  <c r="J125" i="66"/>
  <c r="G23" i="39" s="1"/>
  <c r="J464" i="37"/>
  <c r="F233" i="66"/>
  <c r="D60" i="57"/>
  <c r="N3" i="58"/>
  <c r="I262" i="41"/>
  <c r="F216" i="66"/>
  <c r="N216" i="66" s="1"/>
  <c r="D59" i="57"/>
  <c r="I241" i="41"/>
  <c r="I408" i="41"/>
  <c r="D58" i="57"/>
  <c r="F210" i="66"/>
  <c r="N210" i="66" s="1"/>
  <c r="F355" i="18"/>
  <c r="J355" i="18"/>
  <c r="I280" i="41"/>
  <c r="J401" i="18"/>
  <c r="F401" i="18"/>
  <c r="F217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Y119" i="66"/>
  <c r="Z119" i="66"/>
  <c r="Z263" i="66"/>
  <c r="Y263" i="66"/>
  <c r="J407" i="18"/>
  <c r="F407" i="18"/>
  <c r="I244" i="41"/>
  <c r="I410" i="41"/>
  <c r="J354" i="18"/>
  <c r="F354" i="18"/>
  <c r="F215" i="66"/>
  <c r="N215" i="66" s="1"/>
  <c r="D65" i="57"/>
  <c r="F72" i="66"/>
  <c r="N72" i="66" s="1"/>
  <c r="D20" i="57"/>
  <c r="I192" i="41"/>
  <c r="Y109" i="66"/>
  <c r="Z109" i="66"/>
  <c r="Y253" i="66"/>
  <c r="Z253" i="66"/>
  <c r="F362" i="18"/>
  <c r="J362" i="18"/>
  <c r="F110" i="18"/>
  <c r="J110" i="18"/>
  <c r="I494" i="58"/>
  <c r="I493" i="58"/>
  <c r="F231" i="66" s="1"/>
  <c r="N231" i="66" s="1"/>
  <c r="F230" i="66"/>
  <c r="D56" i="57"/>
  <c r="E396" i="38"/>
  <c r="M230" i="66" s="1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F62" i="66"/>
  <c r="N62" i="66" s="1"/>
  <c r="D23" i="57"/>
  <c r="I270" i="41"/>
  <c r="F64" i="66"/>
  <c r="D18" i="57"/>
  <c r="I210" i="41"/>
  <c r="D63" i="57"/>
  <c r="F225" i="66"/>
  <c r="N225" i="66" s="1"/>
  <c r="F226" i="66"/>
  <c r="E22" i="53"/>
  <c r="F22" i="53" s="1"/>
  <c r="D66" i="57"/>
  <c r="I187" i="41"/>
  <c r="F113" i="18"/>
  <c r="J113" i="18"/>
  <c r="F135" i="66"/>
  <c r="N135" i="66" s="1"/>
  <c r="J493" i="41"/>
  <c r="F71" i="66"/>
  <c r="N71" i="66" s="1"/>
  <c r="D26" i="57"/>
  <c r="I372" i="41"/>
  <c r="I419" i="41"/>
  <c r="I147" i="41"/>
  <c r="J398" i="18"/>
  <c r="F398" i="18"/>
  <c r="J149" i="18"/>
  <c r="F149" i="18"/>
  <c r="F104" i="18"/>
  <c r="J104" i="18"/>
  <c r="F280" i="66"/>
  <c r="E33" i="53"/>
  <c r="F33" i="53" s="1"/>
  <c r="E20" i="53"/>
  <c r="F211" i="66"/>
  <c r="J144" i="18"/>
  <c r="F144" i="18"/>
  <c r="J396" i="18"/>
  <c r="F396" i="18"/>
  <c r="F221" i="66"/>
  <c r="D61" i="57"/>
  <c r="Z254" i="66"/>
  <c r="Z110" i="66"/>
  <c r="Y110" i="66"/>
  <c r="Y254" i="66"/>
  <c r="I212" i="41"/>
  <c r="F82" i="66"/>
  <c r="E16" i="53"/>
  <c r="F16" i="53" s="1"/>
  <c r="D27" i="57"/>
  <c r="I390" i="41"/>
  <c r="J364" i="18"/>
  <c r="F364" i="18"/>
  <c r="I188" i="41"/>
  <c r="F101" i="18"/>
  <c r="J101" i="18"/>
  <c r="F136" i="66"/>
  <c r="J494" i="41"/>
  <c r="E27" i="53"/>
  <c r="F27" i="53" s="1"/>
  <c r="F147" i="18"/>
  <c r="J147" i="18"/>
  <c r="I417" i="41"/>
  <c r="F67" i="66"/>
  <c r="E14" i="53"/>
  <c r="I146" i="41"/>
  <c r="E47" i="39"/>
  <c r="F106" i="18"/>
  <c r="J106" i="18"/>
  <c r="E129" i="38"/>
  <c r="J365" i="18"/>
  <c r="F365" i="18"/>
  <c r="I179" i="41"/>
  <c r="Y278" i="66"/>
  <c r="Y134" i="66"/>
  <c r="Z134" i="66"/>
  <c r="Z129" i="66"/>
  <c r="Y273" i="66"/>
  <c r="Y129" i="66"/>
  <c r="Z273" i="66"/>
  <c r="F73" i="66"/>
  <c r="D15" i="57"/>
  <c r="I145" i="41"/>
  <c r="L48" i="39" s="1"/>
  <c r="F155" i="18"/>
  <c r="J155" i="18"/>
  <c r="I326" i="41"/>
  <c r="I203" i="41"/>
  <c r="F404" i="18"/>
  <c r="J404" i="18"/>
  <c r="F61" i="66"/>
  <c r="N61" i="66" s="1"/>
  <c r="I349" i="41"/>
  <c r="D25" i="57"/>
  <c r="Z264" i="66"/>
  <c r="Z120" i="66"/>
  <c r="Y264" i="66"/>
  <c r="Y120" i="66"/>
  <c r="I231" i="41"/>
  <c r="F357" i="18"/>
  <c r="J357" i="18"/>
  <c r="I184" i="41"/>
  <c r="F146" i="18"/>
  <c r="J146" i="18"/>
  <c r="J107" i="18"/>
  <c r="F107" i="18"/>
  <c r="G34" i="53"/>
  <c r="H28" i="53"/>
  <c r="G28" i="53" s="1"/>
  <c r="I148" i="41"/>
  <c r="C15" i="63"/>
  <c r="I493" i="37"/>
  <c r="F86" i="66"/>
  <c r="I494" i="37"/>
  <c r="I325" i="41"/>
  <c r="E393" i="38"/>
  <c r="M86" i="66" s="1"/>
  <c r="D17" i="57"/>
  <c r="I202" i="41"/>
  <c r="I307" i="41"/>
  <c r="J145" i="18"/>
  <c r="F145" i="18"/>
  <c r="I351" i="41"/>
  <c r="Z100" i="66"/>
  <c r="Y244" i="66"/>
  <c r="J5" i="6"/>
  <c r="Y100" i="66"/>
  <c r="Z244" i="66"/>
  <c r="F208" i="66"/>
  <c r="D57" i="57"/>
  <c r="F52" i="66"/>
  <c r="N52" i="66" s="1"/>
  <c r="I229" i="41"/>
  <c r="D16" i="57"/>
  <c r="F353" i="18"/>
  <c r="J353" i="18"/>
  <c r="F66" i="66"/>
  <c r="N66" i="66" s="1"/>
  <c r="D19" i="57"/>
  <c r="I168" i="41"/>
  <c r="F406" i="18"/>
  <c r="J406" i="18"/>
  <c r="J143" i="18"/>
  <c r="F143" i="18"/>
  <c r="J109" i="18"/>
  <c r="F109" i="18"/>
  <c r="I327" i="41"/>
  <c r="I201" i="41"/>
  <c r="F77" i="66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J256" i="66" l="1"/>
  <c r="J496" i="58"/>
  <c r="N112" i="66"/>
  <c r="G22" i="39"/>
  <c r="J457" i="37"/>
  <c r="L49" i="39"/>
  <c r="E164" i="38" s="1"/>
  <c r="J208" i="66" s="1"/>
  <c r="J464" i="41"/>
  <c r="J497" i="37"/>
  <c r="J496" i="37"/>
  <c r="D50" i="39"/>
  <c r="E114" i="38" s="1"/>
  <c r="D51" i="39"/>
  <c r="E115" i="38" s="1"/>
  <c r="I465" i="37" s="1"/>
  <c r="D49" i="39"/>
  <c r="E113" i="38" s="1"/>
  <c r="I457" i="37" s="1"/>
  <c r="L47" i="39"/>
  <c r="E162" i="38" s="1"/>
  <c r="E402" i="38"/>
  <c r="I496" i="58" s="1"/>
  <c r="N230" i="66"/>
  <c r="L51" i="39"/>
  <c r="E166" i="38" s="1"/>
  <c r="I465" i="58" s="1"/>
  <c r="E163" i="38"/>
  <c r="E328" i="38"/>
  <c r="E334" i="38"/>
  <c r="I464" i="58"/>
  <c r="J221" i="66"/>
  <c r="J89" i="66"/>
  <c r="N89" i="66" s="1"/>
  <c r="F88" i="66"/>
  <c r="E15" i="53"/>
  <c r="F15" i="53" s="1"/>
  <c r="I494" i="41"/>
  <c r="D47" i="39"/>
  <c r="E399" i="38"/>
  <c r="J465" i="37"/>
  <c r="J465" i="41" s="1"/>
  <c r="J137" i="66"/>
  <c r="N8" i="41"/>
  <c r="H27" i="53"/>
  <c r="G27" i="53" s="1"/>
  <c r="M56" i="39"/>
  <c r="M58" i="39" s="1"/>
  <c r="E179" i="38"/>
  <c r="M59" i="39"/>
  <c r="M60" i="39" s="1"/>
  <c r="J457" i="41"/>
  <c r="I457" i="58"/>
  <c r="Z215" i="66"/>
  <c r="Z71" i="66"/>
  <c r="Y215" i="66"/>
  <c r="Y71" i="66"/>
  <c r="W112" i="66"/>
  <c r="P112" i="66"/>
  <c r="S112" i="66"/>
  <c r="Z52" i="66"/>
  <c r="Y52" i="66"/>
  <c r="I5" i="6"/>
  <c r="Y196" i="66"/>
  <c r="Z196" i="66"/>
  <c r="E346" i="38"/>
  <c r="M274" i="66" s="1"/>
  <c r="E340" i="38"/>
  <c r="J265" i="66"/>
  <c r="J456" i="58"/>
  <c r="D48" i="39"/>
  <c r="H22" i="53"/>
  <c r="G22" i="53" s="1"/>
  <c r="Z135" i="66"/>
  <c r="Y135" i="66"/>
  <c r="Y279" i="66"/>
  <c r="Z279" i="66"/>
  <c r="W125" i="66"/>
  <c r="P125" i="66"/>
  <c r="S125" i="66"/>
  <c r="W256" i="66"/>
  <c r="P256" i="66"/>
  <c r="S256" i="66"/>
  <c r="N256" i="66"/>
  <c r="O256" i="66" s="1"/>
  <c r="Z225" i="66"/>
  <c r="Y81" i="66"/>
  <c r="Y225" i="66"/>
  <c r="Z81" i="66"/>
  <c r="E409" i="38"/>
  <c r="F132" i="66"/>
  <c r="J496" i="41"/>
  <c r="Z205" i="66"/>
  <c r="Y61" i="66"/>
  <c r="Z61" i="66"/>
  <c r="Y205" i="66"/>
  <c r="H33" i="53"/>
  <c r="G33" i="53" s="1"/>
  <c r="Y216" i="66"/>
  <c r="Z216" i="66"/>
  <c r="Z72" i="66"/>
  <c r="Y72" i="66"/>
  <c r="N125" i="66"/>
  <c r="W281" i="66"/>
  <c r="S281" i="66"/>
  <c r="P281" i="66"/>
  <c r="N281" i="66"/>
  <c r="F131" i="66"/>
  <c r="E408" i="38"/>
  <c r="J497" i="41"/>
  <c r="F232" i="66"/>
  <c r="E21" i="53"/>
  <c r="F21" i="53" s="1"/>
  <c r="J495" i="41"/>
  <c r="O3" i="41" s="1"/>
  <c r="C31" i="63"/>
  <c r="C22" i="63"/>
  <c r="E128" i="38"/>
  <c r="E59" i="39"/>
  <c r="E60" i="39" s="1"/>
  <c r="E56" i="39"/>
  <c r="E58" i="39" s="1"/>
  <c r="Y206" i="66"/>
  <c r="Z206" i="66"/>
  <c r="Z62" i="66"/>
  <c r="Y62" i="66"/>
  <c r="C61" i="63"/>
  <c r="C52" i="63"/>
  <c r="I464" i="37"/>
  <c r="I464" i="41" s="1"/>
  <c r="J77" i="66"/>
  <c r="N77" i="66" s="1"/>
  <c r="N86" i="66"/>
  <c r="N7" i="41"/>
  <c r="N9" i="41"/>
  <c r="F276" i="66"/>
  <c r="E415" i="38"/>
  <c r="J121" i="66"/>
  <c r="J456" i="37"/>
  <c r="Z66" i="66"/>
  <c r="Y66" i="66"/>
  <c r="Y210" i="66"/>
  <c r="Z210" i="66"/>
  <c r="F87" i="66"/>
  <c r="N87" i="66" s="1"/>
  <c r="I493" i="41"/>
  <c r="H16" i="53"/>
  <c r="G16" i="53" s="1"/>
  <c r="W269" i="66"/>
  <c r="S269" i="66"/>
  <c r="P269" i="66"/>
  <c r="N269" i="66"/>
  <c r="F275" i="66"/>
  <c r="E414" i="38"/>
  <c r="J64" i="66" l="1"/>
  <c r="F22" i="39" s="1"/>
  <c r="I457" i="41"/>
  <c r="O269" i="66"/>
  <c r="U269" i="66" s="1"/>
  <c r="L59" i="39"/>
  <c r="L60" i="39" s="1"/>
  <c r="I495" i="58"/>
  <c r="C51" i="63" s="1"/>
  <c r="I497" i="58"/>
  <c r="J456" i="41"/>
  <c r="L56" i="39"/>
  <c r="L58" i="39" s="1"/>
  <c r="J233" i="66"/>
  <c r="P233" i="66" s="1"/>
  <c r="I465" i="41"/>
  <c r="F23" i="39"/>
  <c r="E304" i="38"/>
  <c r="E310" i="38"/>
  <c r="E345" i="38"/>
  <c r="M280" i="66" s="1"/>
  <c r="E339" i="38"/>
  <c r="J487" i="37"/>
  <c r="L132" i="66"/>
  <c r="N132" i="66" s="1"/>
  <c r="E112" i="38"/>
  <c r="Y256" i="66"/>
  <c r="D32" i="53"/>
  <c r="F32" i="53" s="1"/>
  <c r="J259" i="66"/>
  <c r="J455" i="58"/>
  <c r="J474" i="58"/>
  <c r="I496" i="37"/>
  <c r="I497" i="37"/>
  <c r="I495" i="37"/>
  <c r="P121" i="66"/>
  <c r="W121" i="66"/>
  <c r="S121" i="66"/>
  <c r="N121" i="66"/>
  <c r="G21" i="39"/>
  <c r="L276" i="66"/>
  <c r="J487" i="58"/>
  <c r="H15" i="53"/>
  <c r="G15" i="53" s="1"/>
  <c r="W221" i="66"/>
  <c r="S221" i="66"/>
  <c r="P221" i="66"/>
  <c r="W265" i="66"/>
  <c r="S265" i="66"/>
  <c r="P265" i="66"/>
  <c r="N265" i="66"/>
  <c r="E111" i="38"/>
  <c r="D59" i="39"/>
  <c r="D60" i="39" s="1"/>
  <c r="D56" i="39"/>
  <c r="D58" i="39" s="1"/>
  <c r="D18" i="8"/>
  <c r="M130" i="66"/>
  <c r="L131" i="66"/>
  <c r="N131" i="66" s="1"/>
  <c r="J488" i="37"/>
  <c r="N221" i="66"/>
  <c r="O221" i="66" s="1"/>
  <c r="J483" i="37"/>
  <c r="L130" i="66"/>
  <c r="E333" i="38"/>
  <c r="E327" i="38"/>
  <c r="H21" i="53"/>
  <c r="G21" i="53" s="1"/>
  <c r="Y231" i="66"/>
  <c r="Y87" i="66"/>
  <c r="Z87" i="66"/>
  <c r="Z231" i="66"/>
  <c r="W64" i="66"/>
  <c r="S64" i="66"/>
  <c r="E412" i="38"/>
  <c r="F227" i="66"/>
  <c r="W89" i="66"/>
  <c r="P89" i="66"/>
  <c r="S89" i="66"/>
  <c r="E413" i="38"/>
  <c r="F228" i="66"/>
  <c r="U256" i="66"/>
  <c r="V256" i="66"/>
  <c r="X256" i="66" s="1"/>
  <c r="Q256" i="66"/>
  <c r="R256" i="66" s="1"/>
  <c r="T256" i="66" s="1"/>
  <c r="E57" i="39"/>
  <c r="O112" i="66"/>
  <c r="E316" i="38"/>
  <c r="E322" i="38"/>
  <c r="M226" i="66" s="1"/>
  <c r="J488" i="58"/>
  <c r="L275" i="66"/>
  <c r="N275" i="66" s="1"/>
  <c r="S208" i="66"/>
  <c r="W208" i="66"/>
  <c r="P208" i="66"/>
  <c r="P77" i="66"/>
  <c r="W77" i="66"/>
  <c r="S77" i="66"/>
  <c r="J115" i="66"/>
  <c r="D26" i="53"/>
  <c r="F26" i="53" s="1"/>
  <c r="J455" i="37"/>
  <c r="J474" i="37"/>
  <c r="Z256" i="66"/>
  <c r="S137" i="66"/>
  <c r="W137" i="66"/>
  <c r="P137" i="66"/>
  <c r="N137" i="66"/>
  <c r="O281" i="66" s="1"/>
  <c r="G24" i="39"/>
  <c r="L274" i="66"/>
  <c r="J483" i="58"/>
  <c r="Y230" i="66"/>
  <c r="Z230" i="66"/>
  <c r="Z86" i="66"/>
  <c r="Y86" i="66"/>
  <c r="N208" i="66"/>
  <c r="V269" i="66"/>
  <c r="X269" i="66" s="1"/>
  <c r="Q269" i="66"/>
  <c r="R269" i="66" s="1"/>
  <c r="T269" i="66" s="1"/>
  <c r="Z112" i="66"/>
  <c r="J217" i="66"/>
  <c r="I456" i="58"/>
  <c r="Y269" i="66"/>
  <c r="Z269" i="66"/>
  <c r="Y125" i="66"/>
  <c r="Z125" i="66"/>
  <c r="O125" i="66"/>
  <c r="Y112" i="66"/>
  <c r="M57" i="39"/>
  <c r="I455" i="58"/>
  <c r="J211" i="66"/>
  <c r="D20" i="53"/>
  <c r="F20" i="53" s="1"/>
  <c r="I474" i="58"/>
  <c r="C42" i="63" l="1"/>
  <c r="W233" i="66"/>
  <c r="P64" i="66"/>
  <c r="S233" i="66"/>
  <c r="N64" i="66"/>
  <c r="O208" i="66" s="1"/>
  <c r="L57" i="39"/>
  <c r="D57" i="39"/>
  <c r="N233" i="66"/>
  <c r="F24" i="39"/>
  <c r="Y275" i="66"/>
  <c r="Z131" i="66"/>
  <c r="Y131" i="66"/>
  <c r="Z275" i="66"/>
  <c r="O131" i="66"/>
  <c r="E303" i="38"/>
  <c r="E309" i="38"/>
  <c r="E321" i="38"/>
  <c r="M232" i="66" s="1"/>
  <c r="E315" i="38"/>
  <c r="F102" i="66"/>
  <c r="J455" i="41"/>
  <c r="J489" i="37"/>
  <c r="S115" i="66"/>
  <c r="W115" i="66"/>
  <c r="Q221" i="66"/>
  <c r="R221" i="66" s="1"/>
  <c r="T221" i="66" s="1"/>
  <c r="V221" i="66"/>
  <c r="X221" i="66" s="1"/>
  <c r="U221" i="66"/>
  <c r="W211" i="66"/>
  <c r="S211" i="66"/>
  <c r="J73" i="66"/>
  <c r="I456" i="37"/>
  <c r="I456" i="41" s="1"/>
  <c r="W217" i="66"/>
  <c r="P217" i="66"/>
  <c r="S217" i="66"/>
  <c r="N217" i="66"/>
  <c r="F198" i="66"/>
  <c r="I489" i="58"/>
  <c r="Y208" i="66"/>
  <c r="P132" i="66"/>
  <c r="I488" i="58"/>
  <c r="L227" i="66"/>
  <c r="Z64" i="66"/>
  <c r="J487" i="41"/>
  <c r="Q125" i="66"/>
  <c r="R125" i="66" s="1"/>
  <c r="T125" i="66" s="1"/>
  <c r="U125" i="66"/>
  <c r="V125" i="66"/>
  <c r="X125" i="66" s="1"/>
  <c r="O64" i="66"/>
  <c r="J482" i="37"/>
  <c r="L136" i="66"/>
  <c r="C21" i="63"/>
  <c r="I495" i="41"/>
  <c r="N3" i="41" s="1"/>
  <c r="C12" i="63"/>
  <c r="J482" i="58"/>
  <c r="L280" i="66"/>
  <c r="I479" i="58"/>
  <c r="F199" i="66"/>
  <c r="O275" i="66"/>
  <c r="Z208" i="66"/>
  <c r="D17" i="8"/>
  <c r="M136" i="66"/>
  <c r="I474" i="37"/>
  <c r="D14" i="53"/>
  <c r="F14" i="53" s="1"/>
  <c r="I455" i="37"/>
  <c r="J67" i="66"/>
  <c r="F83" i="66"/>
  <c r="E406" i="38"/>
  <c r="I497" i="41"/>
  <c r="F103" i="66"/>
  <c r="J479" i="37"/>
  <c r="J474" i="41"/>
  <c r="P275" i="66"/>
  <c r="O265" i="66"/>
  <c r="F84" i="66"/>
  <c r="I496" i="41"/>
  <c r="E407" i="38"/>
  <c r="O77" i="66"/>
  <c r="V112" i="66"/>
  <c r="X112" i="66" s="1"/>
  <c r="U112" i="66"/>
  <c r="Q112" i="66"/>
  <c r="R112" i="66" s="1"/>
  <c r="T112" i="66" s="1"/>
  <c r="I487" i="58"/>
  <c r="L228" i="66"/>
  <c r="Q281" i="66"/>
  <c r="R281" i="66" s="1"/>
  <c r="T281" i="66" s="1"/>
  <c r="U281" i="66"/>
  <c r="V281" i="66"/>
  <c r="X281" i="66" s="1"/>
  <c r="P130" i="66"/>
  <c r="N130" i="66"/>
  <c r="F247" i="66"/>
  <c r="J479" i="58"/>
  <c r="Z221" i="66"/>
  <c r="H32" i="53"/>
  <c r="G32" i="53" s="1"/>
  <c r="J483" i="41"/>
  <c r="P276" i="66"/>
  <c r="F246" i="66"/>
  <c r="J489" i="58"/>
  <c r="Y221" i="66"/>
  <c r="W259" i="66"/>
  <c r="S259" i="66"/>
  <c r="Y77" i="66"/>
  <c r="L226" i="66"/>
  <c r="I483" i="58"/>
  <c r="P274" i="66"/>
  <c r="N274" i="66"/>
  <c r="J488" i="41"/>
  <c r="O121" i="66"/>
  <c r="Y265" i="66"/>
  <c r="Z265" i="66"/>
  <c r="Y121" i="66"/>
  <c r="Z121" i="66"/>
  <c r="H26" i="53"/>
  <c r="G26" i="53" s="1"/>
  <c r="Z77" i="66"/>
  <c r="P131" i="66"/>
  <c r="M82" i="66"/>
  <c r="C18" i="8"/>
  <c r="H14" i="53"/>
  <c r="O137" i="66"/>
  <c r="Y281" i="66"/>
  <c r="Z281" i="66"/>
  <c r="Y137" i="66"/>
  <c r="Z137" i="66"/>
  <c r="N227" i="66"/>
  <c r="N276" i="66"/>
  <c r="O276" i="66" s="1"/>
  <c r="L82" i="66"/>
  <c r="I483" i="37"/>
  <c r="Y64" i="66" l="1"/>
  <c r="I483" i="41"/>
  <c r="V208" i="66"/>
  <c r="X208" i="66" s="1"/>
  <c r="Q208" i="66"/>
  <c r="R208" i="66" s="1"/>
  <c r="T208" i="66" s="1"/>
  <c r="U208" i="66"/>
  <c r="Z276" i="66"/>
  <c r="O89" i="66"/>
  <c r="Z233" i="66"/>
  <c r="Y233" i="66"/>
  <c r="O233" i="66"/>
  <c r="Z89" i="66"/>
  <c r="Y89" i="66"/>
  <c r="J482" i="41"/>
  <c r="E326" i="38"/>
  <c r="E332" i="38"/>
  <c r="P228" i="66"/>
  <c r="Y132" i="66"/>
  <c r="J489" i="41"/>
  <c r="E344" i="38"/>
  <c r="M259" i="66" s="1"/>
  <c r="E338" i="38"/>
  <c r="P136" i="66"/>
  <c r="N136" i="66"/>
  <c r="O132" i="66"/>
  <c r="P82" i="66"/>
  <c r="N82" i="66"/>
  <c r="J479" i="41"/>
  <c r="E366" i="38"/>
  <c r="K103" i="66" s="1"/>
  <c r="N103" i="66" s="1"/>
  <c r="J480" i="37"/>
  <c r="L198" i="66"/>
  <c r="P198" i="66" s="1"/>
  <c r="L102" i="66"/>
  <c r="P102" i="66" s="1"/>
  <c r="Q64" i="66"/>
  <c r="R64" i="66" s="1"/>
  <c r="T64" i="66" s="1"/>
  <c r="V64" i="66"/>
  <c r="X64" i="66" s="1"/>
  <c r="U64" i="66"/>
  <c r="Z132" i="66"/>
  <c r="I482" i="58"/>
  <c r="L232" i="66"/>
  <c r="U121" i="66"/>
  <c r="V121" i="66"/>
  <c r="X121" i="66" s="1"/>
  <c r="Q121" i="66"/>
  <c r="R121" i="66" s="1"/>
  <c r="T121" i="66" s="1"/>
  <c r="P226" i="66"/>
  <c r="N226" i="66"/>
  <c r="V137" i="66"/>
  <c r="X137" i="66" s="1"/>
  <c r="Q137" i="66"/>
  <c r="R137" i="66" s="1"/>
  <c r="T137" i="66" s="1"/>
  <c r="U137" i="66"/>
  <c r="E384" i="38"/>
  <c r="K247" i="66" s="1"/>
  <c r="N247" i="66" s="1"/>
  <c r="J480" i="58"/>
  <c r="E385" i="38" s="1"/>
  <c r="K266" i="66" s="1"/>
  <c r="N266" i="66" s="1"/>
  <c r="Y276" i="66"/>
  <c r="V77" i="66"/>
  <c r="X77" i="66" s="1"/>
  <c r="U77" i="66"/>
  <c r="Q77" i="66"/>
  <c r="R77" i="66" s="1"/>
  <c r="T77" i="66" s="1"/>
  <c r="L83" i="66"/>
  <c r="I488" i="37"/>
  <c r="I488" i="41" s="1"/>
  <c r="Q275" i="66"/>
  <c r="R275" i="66" s="1"/>
  <c r="T275" i="66" s="1"/>
  <c r="V275" i="66"/>
  <c r="X275" i="66" s="1"/>
  <c r="U275" i="66"/>
  <c r="P227" i="66"/>
  <c r="C17" i="8"/>
  <c r="M88" i="66"/>
  <c r="I482" i="37"/>
  <c r="L88" i="66"/>
  <c r="W67" i="66"/>
  <c r="S67" i="66"/>
  <c r="E378" i="38"/>
  <c r="K199" i="66" s="1"/>
  <c r="N199" i="66" s="1"/>
  <c r="I480" i="58"/>
  <c r="E379" i="38" s="1"/>
  <c r="K218" i="66" s="1"/>
  <c r="N218" i="66" s="1"/>
  <c r="Q131" i="66"/>
  <c r="R131" i="66" s="1"/>
  <c r="T131" i="66" s="1"/>
  <c r="V131" i="66"/>
  <c r="X131" i="66" s="1"/>
  <c r="U131" i="66"/>
  <c r="O130" i="66"/>
  <c r="Y274" i="66"/>
  <c r="Z274" i="66"/>
  <c r="Y130" i="66"/>
  <c r="Z130" i="66"/>
  <c r="O274" i="66"/>
  <c r="I489" i="37"/>
  <c r="I489" i="41" s="1"/>
  <c r="I455" i="41"/>
  <c r="F54" i="66"/>
  <c r="P280" i="66"/>
  <c r="N280" i="66"/>
  <c r="L246" i="66"/>
  <c r="P246" i="66" s="1"/>
  <c r="G14" i="53"/>
  <c r="H20" i="53"/>
  <c r="G20" i="53" s="1"/>
  <c r="W73" i="66"/>
  <c r="P73" i="66"/>
  <c r="S73" i="66"/>
  <c r="N73" i="66"/>
  <c r="O217" i="66" s="1"/>
  <c r="F21" i="39"/>
  <c r="U265" i="66"/>
  <c r="Q265" i="66"/>
  <c r="R265" i="66" s="1"/>
  <c r="T265" i="66" s="1"/>
  <c r="V265" i="66"/>
  <c r="X265" i="66" s="1"/>
  <c r="Q276" i="66"/>
  <c r="R276" i="66" s="1"/>
  <c r="T276" i="66" s="1"/>
  <c r="V276" i="66"/>
  <c r="X276" i="66" s="1"/>
  <c r="U276" i="66"/>
  <c r="N228" i="66"/>
  <c r="I479" i="37"/>
  <c r="I474" i="41"/>
  <c r="F55" i="66"/>
  <c r="I487" i="37"/>
  <c r="I487" i="41" s="1"/>
  <c r="L84" i="66"/>
  <c r="N102" i="66" l="1"/>
  <c r="O280" i="66"/>
  <c r="V280" i="66" s="1"/>
  <c r="X280" i="66" s="1"/>
  <c r="Q233" i="66"/>
  <c r="R233" i="66" s="1"/>
  <c r="T233" i="66" s="1"/>
  <c r="V233" i="66"/>
  <c r="X233" i="66" s="1"/>
  <c r="U233" i="66"/>
  <c r="N246" i="66"/>
  <c r="Q89" i="66"/>
  <c r="R89" i="66" s="1"/>
  <c r="T89" i="66" s="1"/>
  <c r="V89" i="66"/>
  <c r="X89" i="66" s="1"/>
  <c r="U89" i="66"/>
  <c r="Y247" i="66"/>
  <c r="Y103" i="66"/>
  <c r="Z247" i="66"/>
  <c r="Z103" i="66"/>
  <c r="Q130" i="66"/>
  <c r="R130" i="66" s="1"/>
  <c r="T130" i="66" s="1"/>
  <c r="V130" i="66"/>
  <c r="X130" i="66" s="1"/>
  <c r="U130" i="66"/>
  <c r="P83" i="66"/>
  <c r="U132" i="66"/>
  <c r="V132" i="66"/>
  <c r="X132" i="66" s="1"/>
  <c r="Q132" i="66"/>
  <c r="R132" i="66" s="1"/>
  <c r="T132" i="66" s="1"/>
  <c r="V217" i="66"/>
  <c r="X217" i="66" s="1"/>
  <c r="Q217" i="66"/>
  <c r="R217" i="66" s="1"/>
  <c r="T217" i="66" s="1"/>
  <c r="U217" i="66"/>
  <c r="P88" i="66"/>
  <c r="N88" i="66"/>
  <c r="Z280" i="66"/>
  <c r="Y136" i="66"/>
  <c r="O136" i="66"/>
  <c r="Z136" i="66"/>
  <c r="Y280" i="66"/>
  <c r="I482" i="41"/>
  <c r="P84" i="66"/>
  <c r="Z217" i="66"/>
  <c r="O73" i="66"/>
  <c r="Z73" i="66"/>
  <c r="Y217" i="66"/>
  <c r="Y73" i="66"/>
  <c r="L54" i="66"/>
  <c r="P54" i="66" s="1"/>
  <c r="N83" i="66"/>
  <c r="N198" i="66"/>
  <c r="J481" i="58"/>
  <c r="L259" i="66"/>
  <c r="P232" i="66"/>
  <c r="N232" i="66"/>
  <c r="I479" i="41"/>
  <c r="E360" i="38"/>
  <c r="K55" i="66" s="1"/>
  <c r="N55" i="66" s="1"/>
  <c r="I480" i="37"/>
  <c r="N84" i="66"/>
  <c r="E367" i="38"/>
  <c r="K122" i="66" s="1"/>
  <c r="N122" i="66" s="1"/>
  <c r="J480" i="41"/>
  <c r="E314" i="38"/>
  <c r="E320" i="38"/>
  <c r="M211" i="66" s="1"/>
  <c r="E302" i="38"/>
  <c r="E308" i="38"/>
  <c r="O82" i="66"/>
  <c r="Z82" i="66"/>
  <c r="Y82" i="66"/>
  <c r="Z226" i="66"/>
  <c r="Y226" i="66"/>
  <c r="Q274" i="66"/>
  <c r="R274" i="66" s="1"/>
  <c r="T274" i="66" s="1"/>
  <c r="U274" i="66"/>
  <c r="V274" i="66"/>
  <c r="X274" i="66" s="1"/>
  <c r="D16" i="8"/>
  <c r="M115" i="66"/>
  <c r="G20" i="39" s="1"/>
  <c r="O226" i="66"/>
  <c r="L115" i="66"/>
  <c r="J481" i="37"/>
  <c r="Q280" i="66" l="1"/>
  <c r="R280" i="66" s="1"/>
  <c r="T280" i="66" s="1"/>
  <c r="O232" i="66"/>
  <c r="Q232" i="66" s="1"/>
  <c r="R232" i="66" s="1"/>
  <c r="T232" i="66" s="1"/>
  <c r="Y246" i="66"/>
  <c r="Z246" i="66"/>
  <c r="O102" i="66"/>
  <c r="U102" i="66" s="1"/>
  <c r="Y102" i="66"/>
  <c r="Z102" i="66"/>
  <c r="J481" i="41"/>
  <c r="U280" i="66"/>
  <c r="O246" i="66"/>
  <c r="Z55" i="66"/>
  <c r="Y55" i="66"/>
  <c r="Z199" i="66"/>
  <c r="Y199" i="66"/>
  <c r="Q82" i="66"/>
  <c r="R82" i="66" s="1"/>
  <c r="T82" i="66" s="1"/>
  <c r="V82" i="66"/>
  <c r="X82" i="66" s="1"/>
  <c r="U82" i="66"/>
  <c r="Q226" i="66"/>
  <c r="R226" i="66" s="1"/>
  <c r="T226" i="66" s="1"/>
  <c r="V226" i="66"/>
  <c r="X226" i="66" s="1"/>
  <c r="U226" i="66"/>
  <c r="C16" i="8"/>
  <c r="M67" i="66"/>
  <c r="F20" i="39" s="1"/>
  <c r="P259" i="66"/>
  <c r="N259" i="66"/>
  <c r="O88" i="66"/>
  <c r="Y232" i="66"/>
  <c r="Z232" i="66"/>
  <c r="Y88" i="66"/>
  <c r="Z88" i="66"/>
  <c r="P115" i="66"/>
  <c r="N115" i="66"/>
  <c r="I481" i="37"/>
  <c r="L67" i="66"/>
  <c r="I481" i="58"/>
  <c r="L211" i="66"/>
  <c r="Y227" i="66"/>
  <c r="O83" i="66"/>
  <c r="Z83" i="66"/>
  <c r="Z227" i="66"/>
  <c r="Y83" i="66"/>
  <c r="O227" i="66"/>
  <c r="Z122" i="66"/>
  <c r="Y122" i="66"/>
  <c r="Y266" i="66"/>
  <c r="Z266" i="66"/>
  <c r="N54" i="66"/>
  <c r="O84" i="66"/>
  <c r="Y84" i="66"/>
  <c r="Y228" i="66"/>
  <c r="Z228" i="66"/>
  <c r="Z84" i="66"/>
  <c r="O228" i="66"/>
  <c r="E361" i="38"/>
  <c r="K74" i="66" s="1"/>
  <c r="N74" i="66" s="1"/>
  <c r="I480" i="41"/>
  <c r="U73" i="66"/>
  <c r="Q73" i="66"/>
  <c r="R73" i="66" s="1"/>
  <c r="T73" i="66" s="1"/>
  <c r="V73" i="66"/>
  <c r="X73" i="66" s="1"/>
  <c r="Q136" i="66"/>
  <c r="R136" i="66" s="1"/>
  <c r="T136" i="66" s="1"/>
  <c r="V136" i="66"/>
  <c r="X136" i="66" s="1"/>
  <c r="U136" i="66"/>
  <c r="U232" i="66" l="1"/>
  <c r="V232" i="66"/>
  <c r="X232" i="66" s="1"/>
  <c r="Q102" i="66"/>
  <c r="V102" i="66"/>
  <c r="X102" i="66" s="1"/>
  <c r="O259" i="66"/>
  <c r="Q259" i="66" s="1"/>
  <c r="R259" i="66" s="1"/>
  <c r="T259" i="66" s="1"/>
  <c r="U246" i="66"/>
  <c r="V246" i="66"/>
  <c r="X246" i="66" s="1"/>
  <c r="Q246" i="66"/>
  <c r="Y218" i="66"/>
  <c r="Y74" i="66"/>
  <c r="Z74" i="66"/>
  <c r="Z218" i="66"/>
  <c r="I481" i="41"/>
  <c r="Y259" i="66"/>
  <c r="Z115" i="66"/>
  <c r="O115" i="66"/>
  <c r="Z259" i="66"/>
  <c r="Y115" i="66"/>
  <c r="U83" i="66"/>
  <c r="Q83" i="66"/>
  <c r="R83" i="66" s="1"/>
  <c r="T83" i="66" s="1"/>
  <c r="V83" i="66"/>
  <c r="X83" i="66" s="1"/>
  <c r="V84" i="66"/>
  <c r="X84" i="66" s="1"/>
  <c r="U84" i="66"/>
  <c r="Q84" i="66"/>
  <c r="R84" i="66" s="1"/>
  <c r="T84" i="66" s="1"/>
  <c r="N211" i="66"/>
  <c r="P211" i="66"/>
  <c r="Q88" i="66"/>
  <c r="R88" i="66" s="1"/>
  <c r="T88" i="66" s="1"/>
  <c r="U88" i="66"/>
  <c r="V88" i="66"/>
  <c r="X88" i="66" s="1"/>
  <c r="Y198" i="66"/>
  <c r="Z54" i="66"/>
  <c r="Y54" i="66"/>
  <c r="O54" i="66"/>
  <c r="Z198" i="66"/>
  <c r="O198" i="66"/>
  <c r="N67" i="66"/>
  <c r="P67" i="66"/>
  <c r="U228" i="66"/>
  <c r="Q228" i="66"/>
  <c r="R228" i="66" s="1"/>
  <c r="T228" i="66" s="1"/>
  <c r="V228" i="66"/>
  <c r="X228" i="66" s="1"/>
  <c r="U227" i="66"/>
  <c r="V227" i="66"/>
  <c r="X227" i="66" s="1"/>
  <c r="Q227" i="66"/>
  <c r="R227" i="66" s="1"/>
  <c r="T227" i="66" s="1"/>
  <c r="V259" i="66" l="1"/>
  <c r="X259" i="66" s="1"/>
  <c r="U259" i="66"/>
  <c r="O211" i="66"/>
  <c r="V211" i="66" s="1"/>
  <c r="X211" i="66" s="1"/>
  <c r="Z67" i="66"/>
  <c r="O67" i="66"/>
  <c r="Y67" i="66"/>
  <c r="Z211" i="66"/>
  <c r="Y211" i="66"/>
  <c r="V115" i="66"/>
  <c r="X115" i="66" s="1"/>
  <c r="U115" i="66"/>
  <c r="Q115" i="66"/>
  <c r="R115" i="66" s="1"/>
  <c r="T115" i="66" s="1"/>
  <c r="V54" i="66"/>
  <c r="X54" i="66" s="1"/>
  <c r="Q54" i="66"/>
  <c r="U54" i="66"/>
  <c r="Q198" i="66"/>
  <c r="V198" i="66"/>
  <c r="X198" i="66" s="1"/>
  <c r="U198" i="66"/>
  <c r="U211" i="66" l="1"/>
  <c r="Q211" i="66"/>
  <c r="R211" i="66" s="1"/>
  <c r="T211" i="66" s="1"/>
  <c r="Q67" i="66"/>
  <c r="R67" i="66" s="1"/>
  <c r="T67" i="66" s="1"/>
  <c r="V67" i="66"/>
  <c r="X67" i="66" s="1"/>
  <c r="U67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<sst xmlns="http://schemas.openxmlformats.org/spreadsheetml/2006/main" count="4745" uniqueCount="338">
  <si>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</si>
  <si>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</si>
  <si>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</si>
  <si>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</si>
  <si>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</si>
  <si>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</si>
  <si>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</si>
  <si>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</si>
  <si>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</si>
  <si>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</si>
  <si>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</si>
  <si>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</si>
  <si>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</si>
  <si>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</si>
  <si>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</si>
  <si>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</si>
  <si>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</si>
  <si>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</si>
  <si>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</si>
  <si>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</si>
  <si>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</si>
  <si>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</si>
  <si>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</si>
  <si>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</si>
  <si>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</si>
  <si>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</si>
  <si>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</si>
  <si>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</si>
  <si>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</si>
  <si>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</si>
  <si>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</si>
  <si>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</si>
  <si>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</si>
  <si>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</si>
  <si>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</si>
  <si>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</si>
  <si>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</si>
  <si>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</si>
  <si>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</si>
  <si>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</si>
  <si>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</si>
  <si>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</si>
  <si>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</si>
  <si>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</si>
  <si>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</si>
  <si>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</si>
  <si>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</si>
  <si>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</si>
  <si>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</si>
  <si>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</si>
  <si>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</si>
  <si>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</si>
  <si>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</si>
  <si>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</si>
  <si>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</si>
  <si>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</si>
  <si>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</si>
  <si>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</si>
  <si>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</si>
  <si>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</si>
  <si>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</si>
  <si>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</si>
  <si>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</si>
  <si>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</si>
  <si>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</si>
  <si>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</si>
  <si>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</si>
  <si>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</si>
  <si>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</si>
  <si>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</si>
  <si>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</si>
  <si>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</si>
  <si>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</si>
  <si>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</si>
  <si>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</si>
  <si>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</si>
  <si>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</si>
  <si>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</si>
  <si>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</si>
  <si>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</si>
  <si>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</si>
  <si>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</si>
  <si>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</si>
  <si>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</si>
  <si>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</si>
  <si>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</si>
  <si>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</si>
  <si>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</si>
  <si>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</si>
  <si>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</si>
  <si>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</si>
  <si>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</si>
  <si>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</si>
  <si>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</si>
  <si>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</si>
  <si>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</si>
  <si>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</si>
  <si>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</si>
  <si>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</si>
  <si>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</si>
  <si>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</si>
  <si>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</si>
  <si>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</si>
  <si>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</si>
  <si>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</si>
  <si>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</si>
  <si>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</si>
  <si>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</si>
  <si>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</si>
  <si>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</si>
  <si>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</si>
  <si>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</si>
  <si>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</si>
  <si>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</si>
  <si>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</si>
  <si>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</si>
  <si>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</si>
  <si>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</si>
  <si>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</si>
  <si>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</si>
  <si>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</si>
  <si>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</si>
  <si>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</si>
  <si>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</si>
  <si>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</si>
  <si>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</si>
  <si>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</si>
  <si>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</si>
  <si>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</si>
  <si>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</si>
  <si>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</si>
  <si>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</si>
  <si>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</si>
  <si>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</si>
  <si>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</si>
  <si>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</si>
  <si>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</si>
  <si>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</si>
  <si>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</si>
  <si>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</si>
  <si>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</si>
  <si>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</si>
  <si>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</si>
  <si>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</si>
  <si>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</si>
  <si>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</si>
  <si>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</si>
  <si>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</si>
  <si>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</si>
  <si>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</si>
  <si>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</si>
  <si>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</si>
  <si>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</si>
  <si>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</si>
  <si>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</si>
  <si>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</si>
  <si>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</si>
  <si>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</si>
  <si>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</si>
  <si>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</si>
  <si>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</si>
  <si>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</si>
  <si>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</si>
  <si>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</si>
  <si>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</si>
  <si>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</si>
  <si>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</si>
  <si>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</si>
  <si>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</si>
  <si>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</si>
  <si>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</si>
  <si>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</si>
  <si>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</si>
  <si>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</si>
  <si>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</si>
  <si>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</si>
  <si>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</si>
  <si>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</si>
  <si>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</si>
  <si>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</si>
  <si>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</si>
  <si>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</si>
  <si>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</si>
  <si>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</si>
  <si>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</si>
  <si>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</si>
  <si>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</si>
  <si>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</si>
  <si>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</si>
  <si>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</si>
  <si>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</si>
  <si>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</si>
  <si>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</si>
  <si>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</si>
  <si>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</si>
  <si>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</si>
  <si>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</si>
  <si>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</si>
  <si>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</si>
  <si>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</si>
  <si>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</si>
  <si>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</si>
  <si>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</si>
  <si>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</si>
  <si>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</si>
  <si>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</si>
  <si>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</si>
  <si>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</si>
  <si>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</si>
  <si>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</si>
  <si>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</si>
  <si>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</si>
  <si>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</si>
  <si>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</si>
  <si>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</si>
  <si>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</si>
  <si>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</si>
  <si>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</si>
  <si>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</si>
  <si>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</si>
  <si>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</si>
  <si>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</si>
  <si>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</si>
  <si>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</si>
  <si>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</si>
  <si>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</si>
  <si>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</si>
  <si>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</si>
  <si>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</si>
  <si>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</si>
  <si>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</si>
  <si>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</si>
  <si>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</si>
  <si>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</si>
  <si>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</si>
  <si>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</si>
  <si>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</si>
  <si>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</si>
  <si>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</si>
  <si>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</si>
  <si>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</si>
  <si>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</si>
  <si>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</si>
  <si>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</si>
  <si>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</si>
  <si>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</si>
  <si>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</si>
  <si>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</si>
  <si>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</si>
  <si>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</si>
  <si>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</si>
  <si>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</si>
  <si>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</si>
  <si>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</si>
  <si>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</si>
  <si>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</si>
  <si>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</si>
  <si>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</si>
  <si>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</si>
  <si>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</si>
  <si>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</si>
  <si>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</si>
  <si>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</si>
  <si>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</si>
  <si>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</si>
  <si>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</si>
  <si>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</si>
  <si>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</si>
  <si>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</si>
  <si>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</si>
  <si>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</si>
  <si>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</si>
  <si>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</si>
  <si>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</si>
  <si>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</si>
  <si>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</si>
  <si>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</si>
  <si>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</si>
  <si>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</si>
  <si>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</si>
  <si>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</si>
  <si>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</si>
  <si>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</si>
  <si>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</si>
  <si>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</si>
  <si>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</si>
  <si>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</si>
  <si>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</si>
  <si>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</si>
  <si>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</si>
  <si>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</si>
  <si>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</si>
  <si>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</si>
  <si>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</si>
  <si>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</si>
  <si>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</si>
  <si>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</si>
  <si>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</si>
  <si>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</si>
  <si>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</si>
  <si>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</si>
  <si>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</si>
  <si>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</si>
  <si>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</si>
  <si>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</si>
  <si>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</si>
  <si>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</si>
  <si>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</si>
  <si>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</si>
  <si>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</si>
  <si>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</si>
  <si>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</si>
  <si>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</si>
  <si>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</si>
  <si>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</si>
  <si>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</si>
  <si>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</si>
  <si>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</si>
  <si>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</si>
  <si>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</si>
  <si>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</si>
  <si>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</si>
  <si>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</si>
  <si>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</si>
  <si>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</si>
  <si>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</si>
  <si>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</si>
  <si>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</si>
  <si>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</si>
  <si>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</si>
  <si>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</si>
  <si>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</si>
  <si>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</si>
  <si>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</si>
  <si>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</si>
  <si>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</si>
  <si>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Rapskager</t>
  </si>
  <si>
    <t>Fremtidsbillede 1: Optimering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</si>
</sst>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3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2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74465.960662957616</c:v>
                </c:pt>
                <c:pt idx="2">
                  <c:v>67401.823042054006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4965.7278060180488</c:v>
                </c:pt>
                <c:pt idx="2">
                  <c:v>4544.0123810345967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274118.94849419035</c:v>
                </c:pt>
                <c:pt idx="2">
                  <c:v>232820.24745657752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12403.430241602413</c:v>
                </c:pt>
                <c:pt idx="2">
                  <c:v>11446.944760904047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18343.468531193015</c:v>
                </c:pt>
                <c:pt idx="2">
                  <c:v>16591.471711632348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53126.188735828859</c:v>
                </c:pt>
                <c:pt idx="2">
                  <c:v>47414.837867163187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1297917.718029706</c:v>
                </c:pt>
                <c:pt idx="2">
                  <c:v>1183051.5320061678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174456.26406747426</c:v>
                </c:pt>
                <c:pt idx="2">
                  <c:v>157504.132423776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67756.15488584133</c:v>
                </c:pt>
                <c:pt idx="2">
                  <c:v>61408.179534528455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156813.07759481133</c:v>
                </c:pt>
                <c:pt idx="2">
                  <c:v>143705.68991029685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33091.703230921303</c:v>
                </c:pt>
                <c:pt idx="2">
                  <c:v>31310.50853367247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207998.55904521749</c:v>
                </c:pt>
                <c:pt idx="2">
                  <c:v>171131.79922201723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8158.5416009002738</c:v>
                </c:pt>
                <c:pt idx="2">
                  <c:v>6935.410038090351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104313.51633259642</c:v>
                </c:pt>
                <c:pt idx="2">
                  <c:v>93403.411112084825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140682.1084576633</c:v>
                </c:pt>
                <c:pt idx="2">
                  <c:v>41874.515539294342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1339779.2458014791</c:v>
                </c:pt>
                <c:pt idx="2">
                  <c:v>1238640.5497274031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140682.1084576633</c:v>
                </c:pt>
                <c:pt idx="2">
                  <c:v>41874.515539294342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1339779.2458014791</c:v>
                </c:pt>
                <c:pt idx="2">
                  <c:v>1238640.5497274031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140682.1084576633</c:v>
                </c:pt>
                <c:pt idx="2">
                  <c:v>41874.515539294342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1339779.2458014791</c:v>
                </c:pt>
                <c:pt idx="2">
                  <c:v>1238640.5497274031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140682.1084576633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41874.515539294342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140682.1084576633</c:v>
                </c:pt>
                <c:pt idx="2">
                  <c:v>41874.515539294342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1339779.2458014791</c:v>
                </c:pt>
                <c:pt idx="2">
                  <c:v>1238640.5497274031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1386"/>
          <a:ext cx="1469736" cy="39196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9305" y="3673288"/>
          <a:ext cx="1485580" cy="347703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0312" y="179294"/>
          <a:ext cx="1283447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3301"/>
          <a:ext cx="1306605" cy="36251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4459" y="207469"/>
          <a:ext cx="1316851" cy="37011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82536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38657404" createdVersion="6" refreshedVersion="8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3935185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39467589" createdVersion="7" refreshedVersion="8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39930558" createdVersion="7" refreshedVersion="8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40162036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409787.8886368591"/>
    </cacheField>
    <cacheField name="Halmudbytte" numFmtId="0">
      <sharedItems containsSemiMixedTypes="0" containsString="0" containsNumber="1" minValue="0" maxValue="2806351.2692099959"/>
    </cacheField>
    <cacheField name="Potentielt til bioenergi" numFmtId="1">
      <sharedItems containsSemiMixedTypes="0" containsString="0" containsNumber="1" minValue="0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4039352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9668.3371752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40509259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12440740743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10883.072868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64281.48271181755"/>
    <n v="62908.541627737373"/>
    <n v="0"/>
    <n v="43439.71273733316"/>
    <n v="0"/>
    <n v="0"/>
    <n v="0"/>
    <n v="0"/>
    <n v="157933.22834674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</r>
  <r>
    <x v="4"/>
    <x v="1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</r>
  <r>
    <x v="11"/>
    <x v="10"/>
    <n v="0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</r>
  <r>
    <x v="16"/>
    <x v="5"/>
    <n v="1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</r>
  <r>
    <x v="19"/>
    <x v="1"/>
    <n v="1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</r>
  <r>
    <x v="20"/>
    <x v="1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</r>
  <r>
    <x v="21"/>
    <x v="10"/>
    <n v="0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</r>
  <r>
    <x v="22"/>
    <x v="5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</r>
  <r>
    <x v="23"/>
    <x v="1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</r>
  <r>
    <x v="26"/>
    <x v="4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</r>
  <r>
    <x v="31"/>
    <x v="7"/>
    <n v="1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</r>
  <r>
    <x v="37"/>
    <x v="9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</r>
  <r>
    <x v="38"/>
    <x v="4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</r>
  <r>
    <x v="39"/>
    <x v="1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</r>
  <r>
    <x v="40"/>
    <x v="1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</r>
  <r>
    <x v="43"/>
    <x v="10"/>
    <n v="0"/>
    <x v="1"/>
    <s v="Vestdanmark"/>
    <n v="1329115.7893830882"/>
    <n v="0"/>
    <n v="0"/>
    <n v="97500.435238944279"/>
    <n v="0"/>
    <n v="0"/>
    <n v="0"/>
    <n v="0"/>
    <n v="1231615.3541441439"/>
    <n v="0"/>
    <n v="0"/>
    <n v="0"/>
    <n v="0"/>
    <n v="0"/>
    <n v="0"/>
    <n v="0"/>
    <n v="0"/>
    <n v="0"/>
    <n v="0"/>
  </r>
  <r>
    <x v="44"/>
    <x v="6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50215.04217969507"/>
    <n v="60017.752814183521"/>
    <n v="0"/>
    <n v="90266.583697186172"/>
    <n v="0"/>
    <n v="0"/>
    <n v="0"/>
    <n v="0"/>
    <n v="99930.7056683253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</r>
  <r>
    <x v="4"/>
    <x v="1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</r>
  <r>
    <x v="11"/>
    <x v="10"/>
    <n v="0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</r>
  <r>
    <x v="16"/>
    <x v="5"/>
    <n v="1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</r>
  <r>
    <x v="19"/>
    <x v="1"/>
    <n v="1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</r>
  <r>
    <x v="20"/>
    <x v="1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</r>
  <r>
    <x v="21"/>
    <x v="10"/>
    <n v="0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</r>
  <r>
    <x v="22"/>
    <x v="5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</r>
  <r>
    <x v="23"/>
    <x v="1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</r>
  <r>
    <x v="26"/>
    <x v="4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</r>
  <r>
    <x v="31"/>
    <x v="7"/>
    <n v="1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</r>
  <r>
    <x v="37"/>
    <x v="9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</r>
  <r>
    <x v="38"/>
    <x v="4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</r>
  <r>
    <x v="39"/>
    <x v="1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</r>
  <r>
    <x v="40"/>
    <x v="1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</r>
  <r>
    <x v="43"/>
    <x v="10"/>
    <n v="0"/>
    <x v="2"/>
    <s v="Vestdanmark"/>
    <n v="1206135.7873952007"/>
    <n v="0"/>
    <n v="0"/>
    <n v="75976.255165625393"/>
    <n v="0"/>
    <n v="0"/>
    <n v="0"/>
    <n v="0"/>
    <n v="1130159.5322295753"/>
    <n v="0"/>
    <n v="0"/>
    <n v="0"/>
    <n v="0"/>
    <n v="0"/>
    <n v="0"/>
    <n v="0"/>
    <n v="0"/>
    <n v="0"/>
    <n v="0"/>
  </r>
  <r>
    <x v="44"/>
    <x v="6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047.573536439377"/>
    <n v="7686.2399260183547"/>
    <n v="0"/>
    <n v="37612.453499504722"/>
    <n v="0"/>
    <n v="0"/>
    <n v="0"/>
    <n v="0"/>
    <n v="-17251.11988908369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</r>
  <r>
    <x v="4"/>
    <x v="1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</r>
  <r>
    <x v="11"/>
    <x v="10"/>
    <n v="0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</r>
  <r>
    <x v="16"/>
    <x v="5"/>
    <n v="1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</r>
  <r>
    <x v="19"/>
    <x v="1"/>
    <n v="1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</r>
  <r>
    <x v="20"/>
    <x v="1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</r>
  <r>
    <x v="21"/>
    <x v="10"/>
    <n v="0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</r>
  <r>
    <x v="22"/>
    <x v="5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</r>
  <r>
    <x v="23"/>
    <x v="1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</r>
  <r>
    <x v="26"/>
    <x v="4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</r>
  <r>
    <x v="31"/>
    <x v="7"/>
    <n v="1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</r>
  <r>
    <x v="37"/>
    <x v="9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</r>
  <r>
    <x v="38"/>
    <x v="4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</r>
  <r>
    <x v="39"/>
    <x v="1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</r>
  <r>
    <x v="40"/>
    <x v="1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</r>
  <r>
    <x v="43"/>
    <x v="10"/>
    <n v="0"/>
    <x v="1"/>
    <s v="Østdanmark"/>
    <n v="192585.04353697354"/>
    <n v="0"/>
    <n v="0"/>
    <n v="84421.151879638346"/>
    <n v="0"/>
    <n v="0"/>
    <n v="0"/>
    <n v="0"/>
    <n v="108163.89165733519"/>
    <n v="0"/>
    <n v="0"/>
    <n v="0"/>
    <n v="0"/>
    <n v="0"/>
    <n v="0"/>
    <n v="0"/>
    <n v="0"/>
    <n v="0"/>
    <n v="0"/>
  </r>
  <r>
    <x v="44"/>
    <x v="6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963.188224431749"/>
    <n v="7267.3729665242781"/>
    <n v="0"/>
    <n v="78752.00538693853"/>
    <n v="0"/>
    <n v="0"/>
    <n v="0"/>
    <n v="0"/>
    <n v="-58056.190129031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</r>
  <r>
    <x v="4"/>
    <x v="1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</r>
  <r>
    <x v="11"/>
    <x v="10"/>
    <n v="0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</r>
  <r>
    <x v="16"/>
    <x v="5"/>
    <n v="1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</r>
  <r>
    <x v="19"/>
    <x v="1"/>
    <n v="1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</r>
  <r>
    <x v="20"/>
    <x v="1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</r>
  <r>
    <x v="21"/>
    <x v="10"/>
    <n v="0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</r>
  <r>
    <x v="22"/>
    <x v="5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</r>
  <r>
    <x v="23"/>
    <x v="1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</r>
  <r>
    <x v="26"/>
    <x v="4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</r>
  <r>
    <x v="31"/>
    <x v="7"/>
    <n v="1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</r>
  <r>
    <x v="37"/>
    <x v="9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</r>
  <r>
    <x v="38"/>
    <x v="4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</r>
  <r>
    <x v="39"/>
    <x v="1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</r>
  <r>
    <x v="40"/>
    <x v="1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</r>
  <r>
    <x v="43"/>
    <x v="10"/>
    <n v="0"/>
    <x v="2"/>
    <s v="Østdanmark"/>
    <n v="174765.59603194657"/>
    <n v="0"/>
    <n v="0"/>
    <n v="66284.578534118831"/>
    <n v="0"/>
    <n v="0"/>
    <n v="0"/>
    <n v="0"/>
    <n v="108481.01749782774"/>
    <n v="0"/>
    <n v="0"/>
    <n v="0"/>
    <n v="0"/>
    <n v="0"/>
    <n v="0"/>
    <n v="0"/>
    <n v="0"/>
    <n v="0"/>
    <n v="0"/>
  </r>
  <r>
    <x v="44"/>
    <x v="6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973918.4318741746"/>
    <s v="CO2 - atmosfære"/>
    <x v="0"/>
  </r>
  <r>
    <s v="Vestdanmark"/>
    <x v="1"/>
    <n v="5015258.8213962922"/>
    <s v="Landbrug"/>
    <x v="1"/>
  </r>
  <r>
    <s v="Vestdanmark"/>
    <x v="1"/>
    <n v="4043577.2436277913"/>
    <s v="Landbrug"/>
    <x v="2"/>
  </r>
  <r>
    <s v="Vestdanmark"/>
    <x v="1"/>
    <n v="1202420.0951645882"/>
    <s v="Landbrug"/>
    <x v="2"/>
  </r>
  <r>
    <s v="Vestdanmark"/>
    <x v="1"/>
    <n v="1839084.341942520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425336.4474026151"/>
    <s v="Biogasanlæg"/>
    <x v="6"/>
  </r>
  <r>
    <s v="Vestdanmark"/>
    <x v="1"/>
    <n v="0"/>
    <s v="Pyrolyseproces"/>
    <x v="7"/>
  </r>
  <r>
    <s v="Vestdanmark"/>
    <x v="2"/>
    <n v="5105512.731170225"/>
    <s v="CO2 - atmosfære"/>
    <x v="0"/>
  </r>
  <r>
    <s v="Vestdanmark"/>
    <x v="2"/>
    <n v="4915706.8925452614"/>
    <s v="Landbrug"/>
    <x v="1"/>
  </r>
  <r>
    <s v="Vestdanmark"/>
    <x v="2"/>
    <n v="3681930.3741319757"/>
    <s v="Landbrug"/>
    <x v="2"/>
  </r>
  <r>
    <s v="Vestdanmark"/>
    <x v="2"/>
    <n v="998027.58022386348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486068.56486325985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2041.497231198"/>
    <s v="CO2 - atmosfære"/>
    <x v="0"/>
  </r>
  <r>
    <s v="Østdanmark"/>
    <x v="1"/>
    <n v="442867.88660548098"/>
    <s v="Landbrug"/>
    <x v="1"/>
  </r>
  <r>
    <s v="Østdanmark"/>
    <x v="1"/>
    <n v="1211586.3086878173"/>
    <s v="Landbrug"/>
    <x v="2"/>
  </r>
  <r>
    <s v="Østdanmark"/>
    <x v="1"/>
    <n v="182621.4030189176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40476.549679451244"/>
    <s v="Biogasanlæg"/>
    <x v="6"/>
  </r>
  <r>
    <s v="Østdanmark"/>
    <x v="1"/>
    <n v="0"/>
    <s v="Pyrolyseproces"/>
    <x v="7"/>
  </r>
  <r>
    <s v="Østdanmark"/>
    <x v="2"/>
    <n v="876792.29648718657"/>
    <s v="CO2 - atmosfære"/>
    <x v="0"/>
  </r>
  <r>
    <s v="Østdanmark"/>
    <x v="2"/>
    <n v="430346.04833642254"/>
    <s v="Landbrug"/>
    <x v="1"/>
  </r>
  <r>
    <s v="Østdanmark"/>
    <x v="2"/>
    <n v="1156544.5871639531"/>
    <s v="Landbrug"/>
    <x v="2"/>
  </r>
  <r>
    <s v="Østdanmark"/>
    <x v="2"/>
    <n v="151578.63519164603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45530.807140277917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64281.48271181755"/>
    <n v="62908.541627737373"/>
    <n v="0"/>
    <n v="43439.71273733316"/>
    <n v="0"/>
    <n v="0"/>
    <n v="0"/>
    <n v="0"/>
    <n v="157933.22834674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n v="0"/>
    <x v="1"/>
  </r>
  <r>
    <x v="4"/>
    <s v="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n v="0"/>
    <x v="0"/>
  </r>
  <r>
    <x v="20"/>
    <s v="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n v="0"/>
    <x v="0"/>
  </r>
  <r>
    <x v="23"/>
    <s v="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n v="0"/>
    <x v="1"/>
  </r>
  <r>
    <x v="38"/>
    <s v="Græs og urter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n v="0"/>
    <x v="1"/>
  </r>
  <r>
    <x v="43"/>
    <s v=""/>
    <n v="0"/>
    <x v="1"/>
    <s v="Vestdanmark"/>
    <n v="1329115.7893830882"/>
    <n v="0"/>
    <n v="0"/>
    <n v="97500.435238944279"/>
    <n v="0"/>
    <n v="0"/>
    <n v="0"/>
    <n v="0"/>
    <n v="1231615.354144143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50215.04217969507"/>
    <n v="60017.752814183521"/>
    <n v="0"/>
    <n v="90266.583697186172"/>
    <n v="0"/>
    <n v="0"/>
    <n v="0"/>
    <n v="0"/>
    <n v="99930.7056683253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n v="0"/>
    <x v="1"/>
  </r>
  <r>
    <x v="4"/>
    <s v="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n v="0"/>
    <x v="0"/>
  </r>
  <r>
    <x v="20"/>
    <s v="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n v="0"/>
    <x v="0"/>
  </r>
  <r>
    <x v="23"/>
    <s v="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n v="0"/>
    <x v="1"/>
  </r>
  <r>
    <x v="38"/>
    <s v="Græs og urter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n v="0"/>
    <x v="1"/>
  </r>
  <r>
    <x v="43"/>
    <s v=""/>
    <n v="0"/>
    <x v="2"/>
    <s v="Vestdanmark"/>
    <n v="1206135.7873952007"/>
    <n v="0"/>
    <n v="0"/>
    <n v="75976.255165625393"/>
    <n v="0"/>
    <n v="0"/>
    <n v="0"/>
    <n v="0"/>
    <n v="1130159.532229575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047.573536439377"/>
    <n v="7686.2399260183547"/>
    <n v="0"/>
    <n v="37612.453499504722"/>
    <n v="0"/>
    <n v="0"/>
    <n v="0"/>
    <n v="0"/>
    <n v="-17251.11988908369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n v="0"/>
    <x v="1"/>
  </r>
  <r>
    <x v="4"/>
    <s v="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n v="0"/>
    <x v="0"/>
  </r>
  <r>
    <x v="20"/>
    <s v="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n v="0"/>
    <x v="0"/>
  </r>
  <r>
    <x v="23"/>
    <s v="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n v="0"/>
    <x v="1"/>
  </r>
  <r>
    <x v="38"/>
    <s v="Græs og urter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n v="0"/>
    <x v="0"/>
  </r>
  <r>
    <x v="39"/>
    <s v="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n v="0"/>
    <x v="1"/>
  </r>
  <r>
    <x v="43"/>
    <s v=""/>
    <n v="0"/>
    <x v="1"/>
    <s v="Østdanmark"/>
    <n v="192585.04353697354"/>
    <n v="0"/>
    <n v="0"/>
    <n v="84421.151879638346"/>
    <n v="0"/>
    <n v="0"/>
    <n v="0"/>
    <n v="0"/>
    <n v="108163.8916573351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963.188224431749"/>
    <n v="7267.3729665242781"/>
    <n v="0"/>
    <n v="78752.00538693853"/>
    <n v="0"/>
    <n v="0"/>
    <n v="0"/>
    <n v="0"/>
    <n v="-58056.190129031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n v="0"/>
    <x v="1"/>
  </r>
  <r>
    <x v="4"/>
    <s v="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n v="0"/>
    <x v="0"/>
  </r>
  <r>
    <x v="20"/>
    <s v="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n v="0"/>
    <x v="0"/>
  </r>
  <r>
    <x v="23"/>
    <s v="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n v="0"/>
    <x v="1"/>
  </r>
  <r>
    <x v="38"/>
    <s v="Græs og urter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n v="0"/>
    <x v="0"/>
  </r>
  <r>
    <x v="39"/>
    <s v="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n v="0"/>
    <x v="1"/>
  </r>
  <r>
    <x v="43"/>
    <s v=""/>
    <n v="0"/>
    <x v="2"/>
    <s v="Østdanmark"/>
    <n v="174765.59603194657"/>
    <n v="0"/>
    <n v="0"/>
    <n v="66284.578534118831"/>
    <n v="0"/>
    <n v="0"/>
    <n v="0"/>
    <n v="0"/>
    <n v="108481.01749782774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64281.48271181755"/>
    <n v="62908.541627737373"/>
    <n v="0"/>
    <n v="43439.71273733316"/>
    <n v="0"/>
    <n v="0"/>
    <n v="0"/>
    <n v="0"/>
    <n v="157933.22834674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x v="0"/>
  </r>
  <r>
    <x v="4"/>
    <s v="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x v="0"/>
  </r>
  <r>
    <x v="11"/>
    <s v=""/>
    <n v="0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x v="0"/>
  </r>
  <r>
    <x v="20"/>
    <s v="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x v="0"/>
  </r>
  <r>
    <x v="21"/>
    <s v=""/>
    <n v="0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x v="0"/>
  </r>
  <r>
    <x v="23"/>
    <s v="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x v="0"/>
  </r>
  <r>
    <x v="38"/>
    <s v="Græs og urter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x v="0"/>
  </r>
  <r>
    <x v="39"/>
    <s v="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x v="0"/>
  </r>
  <r>
    <x v="40"/>
    <s v="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x v="0"/>
  </r>
  <r>
    <x v="43"/>
    <s v=""/>
    <n v="0"/>
    <x v="1"/>
    <s v="Vestdanmark"/>
    <n v="1329115.7893830882"/>
    <n v="0"/>
    <n v="0"/>
    <n v="97500.435238944279"/>
    <n v="0"/>
    <n v="0"/>
    <n v="0"/>
    <n v="0"/>
    <n v="1231615.354144143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50215.04217969507"/>
    <n v="60017.752814183521"/>
    <n v="0"/>
    <n v="90266.583697186172"/>
    <n v="0"/>
    <n v="0"/>
    <n v="0"/>
    <n v="0"/>
    <n v="99930.7056683253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x v="0"/>
  </r>
  <r>
    <x v="4"/>
    <s v="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x v="0"/>
  </r>
  <r>
    <x v="11"/>
    <s v=""/>
    <n v="0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x v="0"/>
  </r>
  <r>
    <x v="20"/>
    <s v="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x v="0"/>
  </r>
  <r>
    <x v="23"/>
    <s v="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x v="0"/>
  </r>
  <r>
    <x v="38"/>
    <s v="Græs og urter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x v="0"/>
  </r>
  <r>
    <x v="39"/>
    <s v="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x v="0"/>
  </r>
  <r>
    <x v="40"/>
    <s v="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x v="0"/>
  </r>
  <r>
    <x v="43"/>
    <s v=""/>
    <n v="0"/>
    <x v="2"/>
    <s v="Vestdanmark"/>
    <n v="1206135.7873952007"/>
    <n v="0"/>
    <n v="0"/>
    <n v="75976.255165625393"/>
    <n v="0"/>
    <n v="0"/>
    <n v="0"/>
    <n v="0"/>
    <n v="1130159.532229575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047.573536439377"/>
    <n v="7686.2399260183547"/>
    <n v="0"/>
    <n v="37612.453499504722"/>
    <n v="0"/>
    <n v="0"/>
    <n v="0"/>
    <n v="0"/>
    <n v="-17251.11988908369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x v="0"/>
  </r>
  <r>
    <x v="4"/>
    <s v="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x v="0"/>
  </r>
  <r>
    <x v="11"/>
    <s v=""/>
    <n v="0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x v="0"/>
  </r>
  <r>
    <x v="20"/>
    <s v="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x v="0"/>
  </r>
  <r>
    <x v="21"/>
    <s v=""/>
    <n v="0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x v="0"/>
  </r>
  <r>
    <x v="23"/>
    <s v="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x v="0"/>
  </r>
  <r>
    <x v="38"/>
    <s v="Græs og urter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x v="0"/>
  </r>
  <r>
    <x v="39"/>
    <s v="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x v="0"/>
  </r>
  <r>
    <x v="40"/>
    <s v="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x v="0"/>
  </r>
  <r>
    <x v="43"/>
    <s v=""/>
    <n v="0"/>
    <x v="1"/>
    <s v="Østdanmark"/>
    <n v="192585.04353697354"/>
    <n v="0"/>
    <n v="0"/>
    <n v="84421.151879638346"/>
    <n v="0"/>
    <n v="0"/>
    <n v="0"/>
    <n v="0"/>
    <n v="108163.8916573351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963.188224431749"/>
    <n v="7267.3729665242781"/>
    <n v="0"/>
    <n v="78752.00538693853"/>
    <n v="0"/>
    <n v="0"/>
    <n v="0"/>
    <n v="0"/>
    <n v="-58056.190129031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x v="0"/>
  </r>
  <r>
    <x v="4"/>
    <s v="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x v="0"/>
  </r>
  <r>
    <x v="20"/>
    <s v="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x v="0"/>
  </r>
  <r>
    <x v="23"/>
    <s v="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x v="0"/>
  </r>
  <r>
    <x v="38"/>
    <s v="Græs og urter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x v="0"/>
  </r>
  <r>
    <x v="39"/>
    <s v="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x v="0"/>
  </r>
  <r>
    <x v="40"/>
    <s v="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x v="0"/>
  </r>
  <r>
    <x v="43"/>
    <s v=""/>
    <n v="0"/>
    <x v="2"/>
    <s v="Østdanmark"/>
    <n v="174765.59603194657"/>
    <n v="0"/>
    <n v="0"/>
    <n v="66284.578534118831"/>
    <n v="0"/>
    <n v="0"/>
    <n v="0"/>
    <n v="0"/>
    <n v="108481.01749782774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09789.15928333369"/>
    <n v="5676622.0065761693"/>
    <n v="2672553.6406960608"/>
    <n v="2672553.6406960608"/>
  </r>
  <r>
    <x v="0"/>
    <x v="1"/>
    <x v="1"/>
    <s v="Konventionel"/>
    <x v="0"/>
    <s v="Halm"/>
    <n v="55949.560086021185"/>
    <n v="215965.30193204177"/>
    <n v="92481.042050347532"/>
    <n v="92481.042050347532"/>
  </r>
  <r>
    <x v="0"/>
    <x v="2"/>
    <x v="1"/>
    <s v="Konventionel"/>
    <x v="0"/>
    <s v="Halm"/>
    <n v="94087.082412375472"/>
    <n v="413983.16261445213"/>
    <n v="318932.62847817392"/>
    <n v="318932.62847817392"/>
  </r>
  <r>
    <x v="0"/>
    <x v="3"/>
    <x v="1"/>
    <s v="Konventionel"/>
    <x v="0"/>
    <s v="Græs"/>
    <n v="179394.47433816589"/>
    <n v="8901553.8166597914"/>
    <n v="0"/>
    <n v="8901553.8166597914"/>
  </r>
  <r>
    <x v="0"/>
    <x v="4"/>
    <x v="1"/>
    <s v="Konventionel"/>
    <x v="0"/>
    <s v="Grøntsager"/>
    <n v="6942.1581713830101"/>
    <n v="144049.78205619747"/>
    <n v="0"/>
    <n v="144049.78205619747"/>
  </r>
  <r>
    <x v="0"/>
    <x v="5"/>
    <x v="1"/>
    <s v="Konventionel"/>
    <x v="0"/>
    <s v="Kartofler"/>
    <n v="41355.317643651651"/>
    <n v="1756397.5382306445"/>
    <n v="0"/>
    <n v="1756397.5382306445"/>
  </r>
  <r>
    <x v="0"/>
    <x v="6"/>
    <x v="1"/>
    <s v="Konventionel"/>
    <x v="0"/>
    <s v="Roer"/>
    <n v="4037.1409759488074"/>
    <n v="328032.76825470605"/>
    <n v="0"/>
    <n v="328032.76825470605"/>
  </r>
  <r>
    <x v="0"/>
    <x v="7"/>
    <x v="1"/>
    <s v="Konventionel"/>
    <x v="0"/>
    <s v="Majs"/>
    <n v="138250.29972976272"/>
    <n v="6153520.840971739"/>
    <n v="0"/>
    <n v="6153520.840971739"/>
  </r>
  <r>
    <x v="0"/>
    <x v="8"/>
    <x v="1"/>
    <s v="Konventionel"/>
    <x v="0"/>
    <s v="Frugt"/>
    <n v="2540.3874452133937"/>
    <n v="21567.889409861717"/>
    <n v="0"/>
    <n v="21567.889409861717"/>
  </r>
  <r>
    <x v="0"/>
    <x v="9"/>
    <x v="1"/>
    <s v="Konventionel"/>
    <x v="0"/>
    <s v="Øvrige"/>
    <n v="44929.041857570082"/>
    <n v="1338703.1930650962"/>
    <n v="0"/>
    <n v="1338703.1930650962"/>
  </r>
  <r>
    <x v="0"/>
    <x v="10"/>
    <x v="1"/>
    <s v="Konventionel"/>
    <x v="0"/>
    <s v="Halm"/>
    <n v="47261.400630257056"/>
    <n v="675311.57290438947"/>
    <n v="161823.03575800019"/>
    <n v="161823.03575800019"/>
  </r>
  <r>
    <x v="0"/>
    <x v="11"/>
    <x v="1"/>
    <s v="Konventionel"/>
    <x v="0"/>
    <s v="Juletræer"/>
    <n v="12741.4251138164"/>
    <n v="637071.25569082005"/>
    <n v="0"/>
    <n v="637071.25569082005"/>
  </r>
  <r>
    <x v="0"/>
    <x v="12"/>
    <x v="1"/>
    <s v="Konventionel"/>
    <x v="0"/>
    <s v="Pil &amp; poppel"/>
    <n v="4686.7049638673298"/>
    <n v="114309.87716749586"/>
    <n v="0"/>
    <n v="114309.87716749586"/>
  </r>
  <r>
    <x v="0"/>
    <x v="13"/>
    <x v="1"/>
    <s v="Konventionel"/>
    <x v="0"/>
    <s v="Græs"/>
    <n v="112966.14252431852"/>
    <n v="1557803.1054103526"/>
    <n v="0"/>
    <n v="1557803.1054103526"/>
  </r>
  <r>
    <x v="0"/>
    <x v="0"/>
    <x v="2"/>
    <s v="Konventionel"/>
    <x v="0"/>
    <s v="Halm"/>
    <n v="703268.18873094791"/>
    <n v="4929910.0030039446"/>
    <n v="2806351.2692099959"/>
    <n v="2806351.2692099959"/>
  </r>
  <r>
    <x v="0"/>
    <x v="1"/>
    <x v="2"/>
    <s v="Konventionel"/>
    <x v="0"/>
    <s v="Halm"/>
    <n v="48589.864819642906"/>
    <n v="187556.87820382163"/>
    <n v="97110.97498056601"/>
    <n v="97110.97498056601"/>
  </r>
  <r>
    <x v="0"/>
    <x v="2"/>
    <x v="2"/>
    <s v="Konventionel"/>
    <x v="0"/>
    <s v="Halm"/>
    <n v="81710.716021056694"/>
    <n v="359527.15049264947"/>
    <n v="334899.54068390297"/>
    <n v="334899.54068390297"/>
  </r>
  <r>
    <x v="0"/>
    <x v="3"/>
    <x v="2"/>
    <s v="Konventionel"/>
    <x v="0"/>
    <s v="Græs"/>
    <n v="155796.63618588899"/>
    <n v="7730629.0875438116"/>
    <n v="0"/>
    <n v="7730629.0875438116"/>
  </r>
  <r>
    <x v="0"/>
    <x v="4"/>
    <x v="2"/>
    <s v="Konventionel"/>
    <x v="0"/>
    <s v="Grøntsager"/>
    <n v="6028.9755019603408"/>
    <n v="125101.24166567708"/>
    <n v="0"/>
    <n v="125101.24166567708"/>
  </r>
  <r>
    <x v="0"/>
    <x v="5"/>
    <x v="2"/>
    <s v="Konventionel"/>
    <x v="0"/>
    <s v="Kartofler"/>
    <n v="35915.372538925141"/>
    <n v="1525358.1765605931"/>
    <n v="0"/>
    <n v="1525358.1765605931"/>
  </r>
  <r>
    <x v="0"/>
    <x v="6"/>
    <x v="2"/>
    <s v="Konventionel"/>
    <x v="0"/>
    <s v="Roer"/>
    <n v="3506.0889482883485"/>
    <n v="284882.80946987716"/>
    <n v="0"/>
    <n v="284882.80946987716"/>
  </r>
  <r>
    <x v="0"/>
    <x v="7"/>
    <x v="2"/>
    <s v="Konventionel"/>
    <x v="0"/>
    <s v="Majs"/>
    <n v="120064.63258721215"/>
    <n v="5344076.7964568138"/>
    <n v="0"/>
    <n v="5344076.7964568138"/>
  </r>
  <r>
    <x v="0"/>
    <x v="8"/>
    <x v="2"/>
    <s v="Konventionel"/>
    <x v="0"/>
    <s v="Frugt"/>
    <n v="2206.2207882002126"/>
    <n v="18730.814491819805"/>
    <n v="0"/>
    <n v="18730.814491819805"/>
  </r>
  <r>
    <x v="0"/>
    <x v="9"/>
    <x v="2"/>
    <s v="Konventionel"/>
    <x v="0"/>
    <s v="Øvrige"/>
    <n v="39019.003312607769"/>
    <n v="1162608.0184481952"/>
    <n v="0"/>
    <n v="1162608.0184481952"/>
  </r>
  <r>
    <x v="0"/>
    <x v="10"/>
    <x v="2"/>
    <s v="Konventionel"/>
    <x v="0"/>
    <s v="Halm"/>
    <n v="41044.559854992149"/>
    <n v="586480.00070268649"/>
    <n v="169924.47779966751"/>
    <n v="169924.47779966751"/>
  </r>
  <r>
    <x v="0"/>
    <x v="11"/>
    <x v="2"/>
    <s v="Konventionel"/>
    <x v="0"/>
    <s v="Juletræer"/>
    <n v="11065.397528382413"/>
    <n v="553269.8764191207"/>
    <n v="0"/>
    <n v="553269.8764191207"/>
  </r>
  <r>
    <x v="0"/>
    <x v="12"/>
    <x v="2"/>
    <s v="Konventionel"/>
    <x v="0"/>
    <s v="Pil &amp; poppel"/>
    <n v="4070.2082428126114"/>
    <n v="99273.37177591736"/>
    <n v="0"/>
    <n v="99273.37177591736"/>
  </r>
  <r>
    <x v="0"/>
    <x v="13"/>
    <x v="2"/>
    <s v="Konventionel"/>
    <x v="0"/>
    <s v="Græs"/>
    <n v="98106.394152410197"/>
    <n v="1352887.1753617367"/>
    <n v="0"/>
    <n v="1352887.175361736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6383.27919450874"/>
    <n v="593584.34739284916"/>
    <n v="279459.51075255353"/>
    <n v="279459.51075255353"/>
  </r>
  <r>
    <x v="0"/>
    <x v="1"/>
    <x v="1"/>
    <s v="Økologisk"/>
    <x v="0"/>
    <s v="Halm"/>
    <n v="8732.0122677605341"/>
    <n v="19212.173391526729"/>
    <n v="8227.0707349991262"/>
    <n v="8227.0707349991262"/>
  </r>
  <r>
    <x v="0"/>
    <x v="2"/>
    <x v="1"/>
    <s v="Økologisk"/>
    <x v="0"/>
    <s v="Halm"/>
    <n v="14684.111127942995"/>
    <n v="35535.548929622055"/>
    <n v="27376.586895380835"/>
    <n v="27376.586895380835"/>
  </r>
  <r>
    <x v="0"/>
    <x v="3"/>
    <x v="1"/>
    <s v="Økologisk"/>
    <x v="0"/>
    <s v="Græs"/>
    <n v="27997.981544106817"/>
    <n v="1083622.6784904927"/>
    <n v="0"/>
    <n v="1083622.6784904927"/>
  </r>
  <r>
    <x v="0"/>
    <x v="4"/>
    <x v="1"/>
    <s v="Økologisk"/>
    <x v="0"/>
    <s v="Grøntsager"/>
    <n v="1083.4582117187358"/>
    <n v="12814.601999103348"/>
    <n v="0"/>
    <n v="12814.601999103348"/>
  </r>
  <r>
    <x v="0"/>
    <x v="5"/>
    <x v="1"/>
    <s v="Økologisk"/>
    <x v="0"/>
    <s v="Kartofler"/>
    <n v="6454.2981293560397"/>
    <n v="156248.31279404403"/>
    <n v="0"/>
    <n v="156248.31279404403"/>
  </r>
  <r>
    <x v="0"/>
    <x v="6"/>
    <x v="1"/>
    <s v="Økologisk"/>
    <x v="0"/>
    <s v="Roer"/>
    <n v="630.07402514807984"/>
    <n v="29181.643372485123"/>
    <n v="0"/>
    <n v="29181.643372485123"/>
  </r>
  <r>
    <x v="0"/>
    <x v="7"/>
    <x v="1"/>
    <s v="Økologisk"/>
    <x v="0"/>
    <s v="Majs"/>
    <n v="21576.636374009206"/>
    <n v="797112.15055593429"/>
    <n v="0"/>
    <n v="797112.15055593429"/>
  </r>
  <r>
    <x v="0"/>
    <x v="8"/>
    <x v="1"/>
    <s v="Økologisk"/>
    <x v="0"/>
    <s v="Frugt"/>
    <n v="396.47665329920017"/>
    <n v="1918.6694683108196"/>
    <n v="0"/>
    <n v="1918.6694683108196"/>
  </r>
  <r>
    <x v="0"/>
    <x v="9"/>
    <x v="1"/>
    <s v="Økologisk"/>
    <x v="0"/>
    <s v="Øvrige"/>
    <n v="7012.0469951120949"/>
    <n v="119090.41700157127"/>
    <n v="0"/>
    <n v="119090.41700157127"/>
  </r>
  <r>
    <x v="0"/>
    <x v="10"/>
    <x v="1"/>
    <s v="Økologisk"/>
    <x v="0"/>
    <s v="Halm"/>
    <n v="7376.0567457626612"/>
    <n v="60075.405242766195"/>
    <n v="14395.702429570072"/>
    <n v="14395.702429570072"/>
  </r>
  <r>
    <x v="0"/>
    <x v="11"/>
    <x v="1"/>
    <s v="Økologisk"/>
    <x v="0"/>
    <s v="Juletræer"/>
    <n v="1988.5461160291493"/>
    <n v="56673.564306830755"/>
    <n v="0"/>
    <n v="56673.564306830755"/>
  </r>
  <r>
    <x v="0"/>
    <x v="12"/>
    <x v="1"/>
    <s v="Økologisk"/>
    <x v="0"/>
    <s v="Pil &amp; poppel"/>
    <n v="731.451063724959"/>
    <n v="10168.953812761625"/>
    <n v="0"/>
    <n v="10168.953812761625"/>
  </r>
  <r>
    <x v="0"/>
    <x v="13"/>
    <x v="1"/>
    <s v="Økologisk"/>
    <x v="0"/>
    <s v="Græs"/>
    <n v="17630.554035587287"/>
    <n v="243125.34015074873"/>
    <n v="0"/>
    <n v="243125.34015074873"/>
  </r>
  <r>
    <x v="0"/>
    <x v="0"/>
    <x v="2"/>
    <s v="Økologisk"/>
    <x v="0"/>
    <s v="Halm"/>
    <n v="149178.10063989804"/>
    <n v="700644.78527540923"/>
    <n v="398842.04401802667"/>
    <n v="398842.04401802667"/>
  </r>
  <r>
    <x v="0"/>
    <x v="1"/>
    <x v="2"/>
    <s v="Økologisk"/>
    <x v="0"/>
    <s v="Halm"/>
    <n v="10306.941022348496"/>
    <n v="22677.33163737116"/>
    <n v="11741.599702195708"/>
    <n v="11741.599702195708"/>
  </r>
  <r>
    <x v="0"/>
    <x v="2"/>
    <x v="2"/>
    <s v="Økologisk"/>
    <x v="0"/>
    <s v="Halm"/>
    <n v="17332.576125678694"/>
    <n v="41944.834224142447"/>
    <n v="39071.61307978868"/>
    <n v="39071.61307978868"/>
  </r>
  <r>
    <x v="0"/>
    <x v="3"/>
    <x v="2"/>
    <s v="Økologisk"/>
    <x v="0"/>
    <s v="Græs"/>
    <n v="33047.771312158278"/>
    <n v="1279067.7217572492"/>
    <n v="0"/>
    <n v="1279067.7217572492"/>
  </r>
  <r>
    <x v="0"/>
    <x v="4"/>
    <x v="2"/>
    <s v="Økologisk"/>
    <x v="0"/>
    <s v="Grøntsager"/>
    <n v="1278.8735913249209"/>
    <n v="15125.877401395501"/>
    <n v="0"/>
    <n v="15125.877401395501"/>
  </r>
  <r>
    <x v="0"/>
    <x v="5"/>
    <x v="2"/>
    <s v="Økologisk"/>
    <x v="0"/>
    <s v="Kartofler"/>
    <n v="7618.4123567416955"/>
    <n v="184429.67043868985"/>
    <n v="0"/>
    <n v="184429.67043868985"/>
  </r>
  <r>
    <x v="0"/>
    <x v="6"/>
    <x v="2"/>
    <s v="Økologisk"/>
    <x v="0"/>
    <s v="Roer"/>
    <n v="743.71583751571029"/>
    <n v="34444.921508630599"/>
    <n v="0"/>
    <n v="34444.921508630599"/>
  </r>
  <r>
    <x v="0"/>
    <x v="7"/>
    <x v="2"/>
    <s v="Økologisk"/>
    <x v="0"/>
    <s v="Majs"/>
    <n v="25468.255397287427"/>
    <n v="940881.39961860876"/>
    <n v="0"/>
    <n v="940881.39961860876"/>
  </r>
  <r>
    <x v="0"/>
    <x v="8"/>
    <x v="2"/>
    <s v="Økologisk"/>
    <x v="0"/>
    <s v="Frugt"/>
    <n v="467.98622780004507"/>
    <n v="2264.7257521927581"/>
    <n v="0"/>
    <n v="2264.7257521927581"/>
  </r>
  <r>
    <x v="0"/>
    <x v="9"/>
    <x v="2"/>
    <s v="Økologisk"/>
    <x v="0"/>
    <s v="Øvrige"/>
    <n v="8276.7582784319511"/>
    <n v="140569.8785941909"/>
    <n v="0"/>
    <n v="140569.8785941909"/>
  </r>
  <r>
    <x v="0"/>
    <x v="10"/>
    <x v="2"/>
    <s v="Økologisk"/>
    <x v="0"/>
    <s v="Halm"/>
    <n v="8706.4217874225778"/>
    <n v="70910.763721324838"/>
    <n v="20545.414133959799"/>
    <n v="20545.414133959799"/>
  </r>
  <r>
    <x v="0"/>
    <x v="11"/>
    <x v="2"/>
    <s v="Økologisk"/>
    <x v="0"/>
    <s v="Juletræer"/>
    <n v="2347.2055363235422"/>
    <n v="66895.357785220942"/>
    <n v="0"/>
    <n v="66895.357785220942"/>
  </r>
  <r>
    <x v="0"/>
    <x v="12"/>
    <x v="2"/>
    <s v="Økologisk"/>
    <x v="0"/>
    <s v="Pil &amp; poppel"/>
    <n v="863.37750605116003"/>
    <n v="12003.053132906372"/>
    <n v="0"/>
    <n v="12003.053132906372"/>
  </r>
  <r>
    <x v="0"/>
    <x v="13"/>
    <x v="2"/>
    <s v="Økologisk"/>
    <x v="0"/>
    <s v="Græs"/>
    <n v="20810.447244450646"/>
    <n v="286976.06750097446"/>
    <n v="0"/>
    <n v="286976.06750097446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843.531266124886"/>
    <n v="175335.78501064255"/>
    <n v="82548.087583010521"/>
    <n v="82548.087583010521"/>
  </r>
  <r>
    <x v="0"/>
    <x v="1"/>
    <x v="1"/>
    <s v="Konventionel"/>
    <x v="1"/>
    <s v="Halm"/>
    <n v="1786.7951054397183"/>
    <n v="8276.4349283967749"/>
    <n v="3544.1495452861272"/>
    <n v="3544.1495452861272"/>
  </r>
  <r>
    <x v="0"/>
    <x v="2"/>
    <x v="1"/>
    <s v="Konventionel"/>
    <x v="1"/>
    <s v="Halm"/>
    <n v="1913.2698208119741"/>
    <n v="10102.064653887224"/>
    <n v="7782.6306093547173"/>
    <n v="7782.6306093547173"/>
  </r>
  <r>
    <x v="0"/>
    <x v="3"/>
    <x v="1"/>
    <s v="Konventionel"/>
    <x v="1"/>
    <s v="Græs"/>
    <n v="17656.329249729286"/>
    <n v="1051328.4688458806"/>
    <n v="0"/>
    <n v="1051328.4688458806"/>
  </r>
  <r>
    <x v="0"/>
    <x v="4"/>
    <x v="1"/>
    <s v="Konventionel"/>
    <x v="1"/>
    <s v="Grøntsager"/>
    <n v="82.579316026090069"/>
    <n v="2056.2249690496424"/>
    <n v="0"/>
    <n v="2056.2249690496424"/>
  </r>
  <r>
    <x v="0"/>
    <x v="5"/>
    <x v="1"/>
    <s v="Konventionel"/>
    <x v="1"/>
    <s v="Kartofler"/>
    <n v="1303.7133622629699"/>
    <n v="66443.854977046722"/>
    <n v="0"/>
    <n v="66443.854977046722"/>
  </r>
  <r>
    <x v="0"/>
    <x v="6"/>
    <x v="1"/>
    <s v="Konventionel"/>
    <x v="1"/>
    <s v="Roer"/>
    <n v="34.203336491457428"/>
    <n v="3334.9784571849705"/>
    <n v="0"/>
    <n v="3334.9784571849705"/>
  </r>
  <r>
    <x v="0"/>
    <x v="7"/>
    <x v="1"/>
    <s v="Konventionel"/>
    <x v="1"/>
    <s v="Majs"/>
    <n v="4415.1367500105207"/>
    <n v="235821.28409156195"/>
    <n v="0"/>
    <n v="235821.28409156195"/>
  </r>
  <r>
    <x v="0"/>
    <x v="8"/>
    <x v="1"/>
    <s v="Konventionel"/>
    <x v="1"/>
    <s v="Frugt"/>
    <n v="75.215650030725556"/>
    <n v="766.29704251303201"/>
    <n v="0"/>
    <n v="766.29704251303201"/>
  </r>
  <r>
    <x v="0"/>
    <x v="9"/>
    <x v="1"/>
    <s v="Konventionel"/>
    <x v="1"/>
    <s v="Øvrige"/>
    <n v="1330.2565696985414"/>
    <n v="47563.499522557722"/>
    <n v="0"/>
    <n v="47563.499522557722"/>
  </r>
  <r>
    <x v="0"/>
    <x v="10"/>
    <x v="1"/>
    <s v="Konventionel"/>
    <x v="1"/>
    <s v="Halm"/>
    <n v="3283.4655055701205"/>
    <n v="56300.377701230325"/>
    <n v="13491.103069286512"/>
    <n v="13491.103069286512"/>
  </r>
  <r>
    <x v="0"/>
    <x v="11"/>
    <x v="1"/>
    <s v="Konventionel"/>
    <x v="1"/>
    <s v="Juletræer"/>
    <n v="377.24740533545247"/>
    <n v="22634.844320127148"/>
    <n v="0"/>
    <n v="22634.844320127148"/>
  </r>
  <r>
    <x v="0"/>
    <x v="12"/>
    <x v="1"/>
    <s v="Konventionel"/>
    <x v="1"/>
    <s v="Pil &amp; poppel"/>
    <n v="619.57934642519353"/>
    <n v="18134.029651469082"/>
    <n v="0"/>
    <n v="18134.029651469082"/>
  </r>
  <r>
    <x v="0"/>
    <x v="13"/>
    <x v="1"/>
    <s v="Konventionel"/>
    <x v="1"/>
    <s v="Græs"/>
    <n v="17512.450507812609"/>
    <n v="289796.03100328305"/>
    <n v="0"/>
    <n v="289796.03100328305"/>
  </r>
  <r>
    <x v="0"/>
    <x v="0"/>
    <x v="2"/>
    <s v="Konventionel"/>
    <x v="1"/>
    <s v="Halm"/>
    <n v="16500.437390404819"/>
    <n v="138801.67932808533"/>
    <n v="79012.855957512569"/>
    <n v="79012.855957512569"/>
  </r>
  <r>
    <x v="0"/>
    <x v="1"/>
    <x v="2"/>
    <s v="Konventionel"/>
    <x v="1"/>
    <s v="Halm"/>
    <n v="1414.4868444007736"/>
    <n v="6551.9030632643844"/>
    <n v="3392.366627900064"/>
    <n v="3392.366627900064"/>
  </r>
  <r>
    <x v="0"/>
    <x v="2"/>
    <x v="2"/>
    <s v="Konventionel"/>
    <x v="1"/>
    <s v="Halm"/>
    <n v="1514.6084646686793"/>
    <n v="7997.132693450626"/>
    <n v="7449.3291039492588"/>
    <n v="7449.3291039492588"/>
  </r>
  <r>
    <x v="0"/>
    <x v="3"/>
    <x v="2"/>
    <s v="Konventionel"/>
    <x v="1"/>
    <s v="Græs"/>
    <n v="13977.341536317093"/>
    <n v="832266.82443846506"/>
    <n v="0"/>
    <n v="832266.82443846506"/>
  </r>
  <r>
    <x v="0"/>
    <x v="4"/>
    <x v="2"/>
    <s v="Konventionel"/>
    <x v="1"/>
    <s v="Grøntsager"/>
    <n v="65.372552109030366"/>
    <n v="1627.7765475148562"/>
    <n v="0"/>
    <n v="1627.7765475148562"/>
  </r>
  <r>
    <x v="0"/>
    <x v="5"/>
    <x v="2"/>
    <s v="Konventionel"/>
    <x v="1"/>
    <s v="Kartofler"/>
    <n v="1032.0631583197971"/>
    <n v="52599.180773542932"/>
    <n v="0"/>
    <n v="52599.180773542932"/>
  </r>
  <r>
    <x v="0"/>
    <x v="6"/>
    <x v="2"/>
    <s v="Konventionel"/>
    <x v="1"/>
    <s v="Roer"/>
    <n v="27.076506620423842"/>
    <n v="2640.0806335806697"/>
    <n v="0"/>
    <n v="2640.0806335806697"/>
  </r>
  <r>
    <x v="0"/>
    <x v="7"/>
    <x v="2"/>
    <s v="Konventionel"/>
    <x v="1"/>
    <s v="Majs"/>
    <n v="3495.1701121787992"/>
    <n v="186684.02603169403"/>
    <n v="0"/>
    <n v="186684.02603169403"/>
  </r>
  <r>
    <x v="0"/>
    <x v="8"/>
    <x v="2"/>
    <s v="Konventionel"/>
    <x v="1"/>
    <s v="Frugt"/>
    <n v="59.54322750136015"/>
    <n v="606.62640178385732"/>
    <n v="0"/>
    <n v="606.62640178385732"/>
  </r>
  <r>
    <x v="0"/>
    <x v="9"/>
    <x v="2"/>
    <s v="Konventionel"/>
    <x v="1"/>
    <s v="Øvrige"/>
    <n v="1053.0756502454326"/>
    <n v="37652.859101471367"/>
    <n v="0"/>
    <n v="37652.859101471367"/>
  </r>
  <r>
    <x v="0"/>
    <x v="10"/>
    <x v="2"/>
    <s v="Konventionel"/>
    <x v="1"/>
    <s v="Halm"/>
    <n v="2599.3012559376307"/>
    <n v="44569.264461683793"/>
    <n v="12913.328639498148"/>
    <n v="12913.328639498148"/>
  </r>
  <r>
    <x v="0"/>
    <x v="11"/>
    <x v="2"/>
    <s v="Konventionel"/>
    <x v="1"/>
    <s v="Juletræer"/>
    <n v="298.64167990319493"/>
    <n v="17918.500794191696"/>
    <n v="0"/>
    <n v="17918.500794191696"/>
  </r>
  <r>
    <x v="0"/>
    <x v="12"/>
    <x v="2"/>
    <s v="Konventionel"/>
    <x v="1"/>
    <s v="Pil &amp; poppel"/>
    <n v="490.4797600535137"/>
    <n v="14355.505172297962"/>
    <n v="0"/>
    <n v="14355.505172297962"/>
  </r>
  <r>
    <x v="0"/>
    <x v="13"/>
    <x v="2"/>
    <s v="Konventionel"/>
    <x v="1"/>
    <s v="Græs"/>
    <n v="13863.442305783894"/>
    <n v="229412.2432761119"/>
    <n v="0"/>
    <n v="229412.2432761119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253.0366715917453"/>
    <n v="18334.24480255794"/>
    <n v="8631.7624530442808"/>
    <n v="8631.7624530442808"/>
  </r>
  <r>
    <x v="0"/>
    <x v="1"/>
    <x v="1"/>
    <s v="Økologisk"/>
    <x v="1"/>
    <s v="Halm"/>
    <n v="278.86397599348209"/>
    <n v="736.26782397703118"/>
    <n v="315.28590463556941"/>
    <n v="315.28590463556941"/>
  </r>
  <r>
    <x v="0"/>
    <x v="2"/>
    <x v="1"/>
    <s v="Økologisk"/>
    <x v="1"/>
    <s v="Halm"/>
    <n v="298.60280440418097"/>
    <n v="867.14254398974163"/>
    <n v="668.04661588969702"/>
    <n v="668.04661588969702"/>
  </r>
  <r>
    <x v="0"/>
    <x v="3"/>
    <x v="1"/>
    <s v="Økologisk"/>
    <x v="1"/>
    <s v="Græs"/>
    <n v="2755.6120794375188"/>
    <n v="127982.52921326154"/>
    <n v="0"/>
    <n v="127982.52921326154"/>
  </r>
  <r>
    <x v="0"/>
    <x v="4"/>
    <x v="1"/>
    <s v="Økologisk"/>
    <x v="1"/>
    <s v="Grøntsager"/>
    <n v="12.888101345112323"/>
    <n v="182.92082239117917"/>
    <n v="0"/>
    <n v="182.92082239117917"/>
  </r>
  <r>
    <x v="0"/>
    <x v="5"/>
    <x v="1"/>
    <s v="Økologisk"/>
    <x v="1"/>
    <s v="Kartofler"/>
    <n v="203.46971549768895"/>
    <n v="5910.8146132760057"/>
    <n v="0"/>
    <n v="5910.8146132760057"/>
  </r>
  <r>
    <x v="0"/>
    <x v="6"/>
    <x v="1"/>
    <s v="Økologisk"/>
    <x v="1"/>
    <s v="Roer"/>
    <n v="5.3380929784355526"/>
    <n v="296.67814136460527"/>
    <n v="0"/>
    <n v="296.67814136460527"/>
  </r>
  <r>
    <x v="0"/>
    <x v="7"/>
    <x v="1"/>
    <s v="Økologisk"/>
    <x v="1"/>
    <s v="Majs"/>
    <n v="689.0675852617577"/>
    <n v="30547.716627120833"/>
    <n v="0"/>
    <n v="30547.716627120833"/>
  </r>
  <r>
    <x v="0"/>
    <x v="8"/>
    <x v="1"/>
    <s v="Økologisk"/>
    <x v="1"/>
    <s v="Frugt"/>
    <n v="11.73885867531555"/>
    <n v="68.169430544945442"/>
    <n v="0"/>
    <n v="68.169430544945442"/>
  </r>
  <r>
    <x v="0"/>
    <x v="9"/>
    <x v="1"/>
    <s v="Økologisk"/>
    <x v="1"/>
    <s v="Øvrige"/>
    <n v="207.61229700497469"/>
    <n v="4231.2269228448749"/>
    <n v="0"/>
    <n v="4231.2269228448749"/>
  </r>
  <r>
    <x v="0"/>
    <x v="10"/>
    <x v="1"/>
    <s v="Økologisk"/>
    <x v="1"/>
    <s v="Halm"/>
    <n v="512.44837370169512"/>
    <n v="5008.4555654447104"/>
    <n v="1200.1622903833493"/>
    <n v="1200.1622903833493"/>
  </r>
  <r>
    <x v="0"/>
    <x v="11"/>
    <x v="1"/>
    <s v="Økologisk"/>
    <x v="1"/>
    <s v="Juletræer"/>
    <n v="58.876762682411666"/>
    <n v="2013.5852837384791"/>
    <n v="0"/>
    <n v="2013.5852837384791"/>
  </r>
  <r>
    <x v="0"/>
    <x v="12"/>
    <x v="1"/>
    <s v="Økologisk"/>
    <x v="1"/>
    <s v="Pil &amp; poppel"/>
    <n v="96.697354644394366"/>
    <n v="1613.1948921162375"/>
    <n v="0"/>
    <n v="1613.1948921162375"/>
  </r>
  <r>
    <x v="0"/>
    <x v="13"/>
    <x v="1"/>
    <s v="Økologisk"/>
    <x v="1"/>
    <s v="Græs"/>
    <n v="2733.1570156701764"/>
    <n v="45228.282295310084"/>
    <n v="0"/>
    <n v="45228.282295310084"/>
  </r>
  <r>
    <x v="0"/>
    <x v="0"/>
    <x v="2"/>
    <s v="Økologisk"/>
    <x v="1"/>
    <s v="Halm"/>
    <n v="3500.0927797828404"/>
    <n v="19726.66291056728"/>
    <n v="11229.402861840425"/>
    <n v="11229.402861840425"/>
  </r>
  <r>
    <x v="0"/>
    <x v="1"/>
    <x v="2"/>
    <s v="Økologisk"/>
    <x v="1"/>
    <s v="Halm"/>
    <n v="300.04266396380046"/>
    <n v="792.18464310378454"/>
    <n v="410.16796500973498"/>
    <n v="410.16796500973498"/>
  </r>
  <r>
    <x v="0"/>
    <x v="2"/>
    <x v="2"/>
    <s v="Økologisk"/>
    <x v="1"/>
    <s v="Halm"/>
    <n v="321.28058341456835"/>
    <n v="932.99881423590659"/>
    <n v="869.08839546074694"/>
    <n v="869.08839546074694"/>
  </r>
  <r>
    <x v="0"/>
    <x v="3"/>
    <x v="2"/>
    <s v="Økologisk"/>
    <x v="1"/>
    <s v="Græs"/>
    <n v="2964.8906289157476"/>
    <n v="137702.32913436423"/>
    <n v="0"/>
    <n v="137702.32913436423"/>
  </r>
  <r>
    <x v="0"/>
    <x v="4"/>
    <x v="2"/>
    <s v="Økologisk"/>
    <x v="1"/>
    <s v="Grøntsager"/>
    <n v="13.866904992824622"/>
    <n v="196.81298256315984"/>
    <n v="0"/>
    <n v="196.81298256315984"/>
  </r>
  <r>
    <x v="0"/>
    <x v="5"/>
    <x v="2"/>
    <s v="Økologisk"/>
    <x v="1"/>
    <s v="Kartofler"/>
    <n v="218.92248812844184"/>
    <n v="6359.7191298920079"/>
    <n v="0"/>
    <n v="6359.7191298920079"/>
  </r>
  <r>
    <x v="0"/>
    <x v="6"/>
    <x v="2"/>
    <s v="Økologisk"/>
    <x v="1"/>
    <s v="Roer"/>
    <n v="5.7435014043323305"/>
    <n v="319.20974933293547"/>
    <n v="0"/>
    <n v="319.20974933293547"/>
  </r>
  <r>
    <x v="0"/>
    <x v="7"/>
    <x v="2"/>
    <s v="Økologisk"/>
    <x v="1"/>
    <s v="Majs"/>
    <n v="741.39972076519973"/>
    <n v="32867.702764973998"/>
    <n v="0"/>
    <n v="32867.702764973998"/>
  </r>
  <r>
    <x v="0"/>
    <x v="8"/>
    <x v="2"/>
    <s v="Økologisk"/>
    <x v="1"/>
    <s v="Frugt"/>
    <n v="12.630381591197606"/>
    <n v="73.346646761139084"/>
    <n v="0"/>
    <n v="73.346646761139084"/>
  </r>
  <r>
    <x v="0"/>
    <x v="9"/>
    <x v="2"/>
    <s v="Økologisk"/>
    <x v="1"/>
    <s v="Øvrige"/>
    <n v="223.3796833853948"/>
    <n v="4552.5729640869913"/>
    <n v="0"/>
    <n v="4552.5729640869913"/>
  </r>
  <r>
    <x v="0"/>
    <x v="10"/>
    <x v="2"/>
    <s v="Økologisk"/>
    <x v="1"/>
    <s v="Halm"/>
    <n v="551.36693307767916"/>
    <n v="5388.8292485490392"/>
    <n v="1561.3388264120485"/>
    <n v="1561.3388264120485"/>
  </r>
  <r>
    <x v="0"/>
    <x v="11"/>
    <x v="2"/>
    <s v="Økologisk"/>
    <x v="1"/>
    <s v="Juletræer"/>
    <n v="63.34823513098074"/>
    <n v="2166.5096414795412"/>
    <n v="0"/>
    <n v="2166.5096414795412"/>
  </r>
  <r>
    <x v="0"/>
    <x v="12"/>
    <x v="2"/>
    <s v="Økologisk"/>
    <x v="1"/>
    <s v="Pil &amp; poppel"/>
    <n v="104.0411612234726"/>
    <n v="1735.7110799232989"/>
    <n v="0"/>
    <n v="1735.7110799232989"/>
  </r>
  <r>
    <x v="0"/>
    <x v="13"/>
    <x v="2"/>
    <s v="Økologisk"/>
    <x v="1"/>
    <s v="Græs"/>
    <n v="2940.7301860753714"/>
    <n v="48663.203119175247"/>
    <n v="0"/>
    <n v="48663.203119175247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9.0161200631464"/>
    <n v="81152.124202299703"/>
    <n v="38206.420074442714"/>
    <n v="38206.420074442714"/>
  </r>
  <r>
    <x v="0"/>
    <x v="1"/>
    <x v="1"/>
    <s v="Konventionel"/>
    <x v="2"/>
    <s v="Halm"/>
    <n v="476.12351737499114"/>
    <n v="2572.9714878944524"/>
    <n v="1101.8023832420477"/>
    <n v="1101.8023832420477"/>
  </r>
  <r>
    <x v="0"/>
    <x v="2"/>
    <x v="1"/>
    <s v="Konventionel"/>
    <x v="2"/>
    <s v="Halm"/>
    <n v="616.55839503976472"/>
    <n v="3797.9997134449509"/>
    <n v="2925.9789792379906"/>
    <n v="2925.9789792379906"/>
  </r>
  <r>
    <x v="0"/>
    <x v="3"/>
    <x v="1"/>
    <s v="Konventionel"/>
    <x v="2"/>
    <s v="Græs"/>
    <n v="14219.782896462779"/>
    <n v="987819.87825147621"/>
    <n v="0"/>
    <n v="987819.87825147621"/>
  </r>
  <r>
    <x v="0"/>
    <x v="4"/>
    <x v="1"/>
    <s v="Konventionel"/>
    <x v="2"/>
    <s v="Grøntsager"/>
    <n v="16.527831515094178"/>
    <n v="480.13350551348589"/>
    <n v="0"/>
    <n v="480.13350551348589"/>
  </r>
  <r>
    <x v="0"/>
    <x v="5"/>
    <x v="1"/>
    <s v="Konventionel"/>
    <x v="2"/>
    <s v="Kartofler"/>
    <n v="874.82296878583463"/>
    <n v="52016.325706991804"/>
    <n v="0"/>
    <n v="52016.325706991804"/>
  </r>
  <r>
    <x v="0"/>
    <x v="6"/>
    <x v="1"/>
    <s v="Konventionel"/>
    <x v="2"/>
    <s v="Roer"/>
    <n v="9.4603904307598334"/>
    <n v="1076.1688314489425"/>
    <n v="0"/>
    <n v="1076.1688314489425"/>
  </r>
  <r>
    <x v="0"/>
    <x v="7"/>
    <x v="1"/>
    <s v="Konventionel"/>
    <x v="2"/>
    <s v="Majs"/>
    <n v="1176.4921633749784"/>
    <n v="73311.932668548412"/>
    <n v="0"/>
    <n v="73311.932668548412"/>
  </r>
  <r>
    <x v="0"/>
    <x v="8"/>
    <x v="1"/>
    <s v="Konventionel"/>
    <x v="2"/>
    <s v="Frugt"/>
    <n v="33.714690278143649"/>
    <n v="400.73280864601543"/>
    <n v="0"/>
    <n v="400.73280864601543"/>
  </r>
  <r>
    <x v="0"/>
    <x v="9"/>
    <x v="1"/>
    <s v="Konventionel"/>
    <x v="2"/>
    <s v="Øvrige"/>
    <n v="596.27468777483512"/>
    <n v="24873.193677220581"/>
    <n v="0"/>
    <n v="24873.193677220581"/>
  </r>
  <r>
    <x v="0"/>
    <x v="10"/>
    <x v="1"/>
    <s v="Konventionel"/>
    <x v="2"/>
    <s v="Halm"/>
    <n v="1897.1467002204627"/>
    <n v="37951.291055696296"/>
    <n v="9094.1624221768125"/>
    <n v="9094.1624221768125"/>
  </r>
  <r>
    <x v="0"/>
    <x v="11"/>
    <x v="1"/>
    <s v="Konventionel"/>
    <x v="2"/>
    <s v="Juletræer"/>
    <n v="169.09751393390181"/>
    <n v="11836.825975373127"/>
    <n v="0"/>
    <n v="11836.825975373127"/>
  </r>
  <r>
    <x v="0"/>
    <x v="12"/>
    <x v="1"/>
    <s v="Konventionel"/>
    <x v="2"/>
    <s v="Pil &amp; poppel"/>
    <n v="399.1587138370042"/>
    <n v="13629.809740775754"/>
    <n v="0"/>
    <n v="13629.809740775754"/>
  </r>
  <r>
    <x v="0"/>
    <x v="13"/>
    <x v="1"/>
    <s v="Konventionel"/>
    <x v="2"/>
    <s v="Græs"/>
    <n v="14762.990467149724"/>
    <n v="285014.29395879258"/>
    <n v="0"/>
    <n v="285014.29395879258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0.5400881023411"/>
    <n v="8485.7914845063697"/>
    <n v="3995.1106309056008"/>
    <n v="3995.1106309056008"/>
  </r>
  <r>
    <x v="0"/>
    <x v="1"/>
    <x v="1"/>
    <s v="Økologisk"/>
    <x v="2"/>
    <s v="Halm"/>
    <n v="74.308294619218273"/>
    <n v="228.89035374968569"/>
    <n v="98.015830509220322"/>
    <n v="98.015830509220322"/>
  </r>
  <r>
    <x v="0"/>
    <x v="2"/>
    <x v="1"/>
    <s v="Økologisk"/>
    <x v="2"/>
    <s v="Halm"/>
    <n v="96.225876682506637"/>
    <n v="326.01327020033256"/>
    <n v="251.1606233623362"/>
    <n v="251.1606233623362"/>
  </r>
  <r>
    <x v="0"/>
    <x v="3"/>
    <x v="1"/>
    <s v="Økologisk"/>
    <x v="2"/>
    <s v="Græs"/>
    <n v="2219.2724751704914"/>
    <n v="120251.36783801208"/>
    <n v="0"/>
    <n v="120251.36783801208"/>
  </r>
  <r>
    <x v="0"/>
    <x v="4"/>
    <x v="1"/>
    <s v="Økologisk"/>
    <x v="2"/>
    <s v="Grøntsager"/>
    <n v="2.5794881555349294"/>
    <n v="42.712454623425124"/>
    <n v="0"/>
    <n v="42.712454623425124"/>
  </r>
  <r>
    <x v="0"/>
    <x v="5"/>
    <x v="1"/>
    <s v="Økologisk"/>
    <x v="2"/>
    <s v="Kartofler"/>
    <n v="136.5330644925869"/>
    <n v="4627.3482811017566"/>
    <n v="0"/>
    <n v="4627.3482811017566"/>
  </r>
  <r>
    <x v="0"/>
    <x v="6"/>
    <x v="1"/>
    <s v="Økologisk"/>
    <x v="2"/>
    <s v="Roer"/>
    <n v="1.4764771192515349"/>
    <n v="95.73548159537124"/>
    <n v="0"/>
    <n v="95.73548159537124"/>
  </r>
  <r>
    <x v="0"/>
    <x v="7"/>
    <x v="1"/>
    <s v="Økologisk"/>
    <x v="2"/>
    <s v="Majs"/>
    <n v="183.61438387933188"/>
    <n v="9496.6497751570496"/>
    <n v="0"/>
    <n v="9496.6497751570496"/>
  </r>
  <r>
    <x v="0"/>
    <x v="8"/>
    <x v="1"/>
    <s v="Økologisk"/>
    <x v="2"/>
    <s v="Frugt"/>
    <n v="5.2618302746235761"/>
    <n v="35.649005347180221"/>
    <n v="0"/>
    <n v="35.649005347180221"/>
  </r>
  <r>
    <x v="0"/>
    <x v="9"/>
    <x v="1"/>
    <s v="Økologisk"/>
    <x v="2"/>
    <s v="Øvrige"/>
    <n v="93.060211386823994"/>
    <n v="2212.7078074706633"/>
    <n v="0"/>
    <n v="2212.7078074706633"/>
  </r>
  <r>
    <x v="0"/>
    <x v="10"/>
    <x v="1"/>
    <s v="Økologisk"/>
    <x v="2"/>
    <s v="Halm"/>
    <n v="296.08647922515894"/>
    <n v="3376.1293025847745"/>
    <n v="809.01248368382142"/>
    <n v="809.01248368382142"/>
  </r>
  <r>
    <x v="0"/>
    <x v="11"/>
    <x v="1"/>
    <s v="Økologisk"/>
    <x v="2"/>
    <s v="Juletræer"/>
    <n v="26.390941481013577"/>
    <n v="1052.9985650924416"/>
    <n v="0"/>
    <n v="1052.9985650924416"/>
  </r>
  <r>
    <x v="0"/>
    <x v="12"/>
    <x v="1"/>
    <s v="Økologisk"/>
    <x v="2"/>
    <s v="Pil &amp; poppel"/>
    <n v="62.296446668202975"/>
    <n v="1212.5015717372187"/>
    <n v="0"/>
    <n v="1212.5015717372187"/>
  </r>
  <r>
    <x v="0"/>
    <x v="13"/>
    <x v="1"/>
    <s v="Økologisk"/>
    <x v="2"/>
    <s v="Græs"/>
    <n v="2304.0505353355065"/>
    <n v="44481.999635187291"/>
    <n v="0"/>
    <n v="44481.99963518729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77847.44549518183"/>
    <n v="1947710.5929212247"/>
    <n v="916982.14714731264"/>
    <n v="916982.14714731264"/>
  </r>
  <r>
    <x v="1"/>
    <x v="1"/>
    <x v="1"/>
    <s v="Konventionel"/>
    <x v="0"/>
    <s v="Halm"/>
    <n v="6055.6397331754633"/>
    <n v="23374.769370057289"/>
    <n v="10009.584917996119"/>
    <n v="10009.584917996119"/>
  </r>
  <r>
    <x v="1"/>
    <x v="2"/>
    <x v="1"/>
    <s v="Konventionel"/>
    <x v="0"/>
    <s v="Halm"/>
    <n v="38413.381365538749"/>
    <n v="169018.87800837052"/>
    <n v="130212.14361764863"/>
    <n v="130212.14361764863"/>
  </r>
  <r>
    <x v="1"/>
    <x v="3"/>
    <x v="1"/>
    <s v="Konventionel"/>
    <x v="0"/>
    <s v="Græs"/>
    <n v="23337.085725305184"/>
    <n v="1157986.1936896432"/>
    <n v="0"/>
    <n v="1157986.1936896432"/>
  </r>
  <r>
    <x v="1"/>
    <x v="4"/>
    <x v="1"/>
    <s v="Konventionel"/>
    <x v="0"/>
    <s v="Grøntsager"/>
    <n v="3656.9274374465294"/>
    <n v="75881.244327015491"/>
    <n v="0"/>
    <n v="75881.244327015491"/>
  </r>
  <r>
    <x v="1"/>
    <x v="5"/>
    <x v="1"/>
    <s v="Konventionel"/>
    <x v="0"/>
    <s v="Kartofler"/>
    <n v="2345.9279292965525"/>
    <n v="99633.669251129249"/>
    <n v="0"/>
    <n v="99633.669251129249"/>
  </r>
  <r>
    <x v="1"/>
    <x v="6"/>
    <x v="1"/>
    <s v="Konventionel"/>
    <x v="0"/>
    <s v="Roer"/>
    <n v="24387.347223432687"/>
    <n v="1981562.9594681722"/>
    <n v="0"/>
    <n v="1981562.9594681722"/>
  </r>
  <r>
    <x v="1"/>
    <x v="7"/>
    <x v="1"/>
    <s v="Konventionel"/>
    <x v="0"/>
    <s v="Majs"/>
    <n v="6897.6493288624933"/>
    <n v="307014.37162766961"/>
    <n v="0"/>
    <n v="307014.37162766961"/>
  </r>
  <r>
    <x v="1"/>
    <x v="8"/>
    <x v="1"/>
    <s v="Konventionel"/>
    <x v="0"/>
    <s v="Frugt"/>
    <n v="1604.9535438553075"/>
    <n v="13626.055587331561"/>
    <n v="0"/>
    <n v="13626.055587331561"/>
  </r>
  <r>
    <x v="1"/>
    <x v="9"/>
    <x v="1"/>
    <s v="Konventionel"/>
    <x v="0"/>
    <s v="Øvrige"/>
    <n v="11460.146724373322"/>
    <n v="341465.88439495384"/>
    <n v="0"/>
    <n v="341465.88439495384"/>
  </r>
  <r>
    <x v="1"/>
    <x v="10"/>
    <x v="1"/>
    <s v="Konventionel"/>
    <x v="0"/>
    <s v="Halm"/>
    <n v="35457.355952106635"/>
    <n v="506645.22209945583"/>
    <n v="121405.98678001313"/>
    <n v="121405.98678001313"/>
  </r>
  <r>
    <x v="1"/>
    <x v="11"/>
    <x v="1"/>
    <s v="Konventionel"/>
    <x v="0"/>
    <s v="Juletræer"/>
    <n v="2514.9530700143437"/>
    <n v="125747.65350071719"/>
    <n v="0"/>
    <n v="125747.65350071719"/>
  </r>
  <r>
    <x v="1"/>
    <x v="12"/>
    <x v="1"/>
    <s v="Konventionel"/>
    <x v="0"/>
    <s v="Pil &amp; poppel"/>
    <n v="1195.4478510811762"/>
    <n v="29157.264660516492"/>
    <n v="0"/>
    <n v="29157.264660516492"/>
  </r>
  <r>
    <x v="1"/>
    <x v="13"/>
    <x v="1"/>
    <s v="Konventionel"/>
    <x v="0"/>
    <s v="Græs"/>
    <n v="29775.268629829476"/>
    <n v="410600.95440534852"/>
    <n v="0"/>
    <n v="410600.95440534852"/>
  </r>
  <r>
    <x v="1"/>
    <x v="0"/>
    <x v="2"/>
    <s v="Konventionel"/>
    <x v="0"/>
    <s v="Halm"/>
    <n v="252961.21164089115"/>
    <n v="1773258.0936026471"/>
    <n v="1009427.1697833068"/>
    <n v="1009427.1697833068"/>
  </r>
  <r>
    <x v="1"/>
    <x v="1"/>
    <x v="2"/>
    <s v="Konventionel"/>
    <x v="0"/>
    <s v="Halm"/>
    <n v="5513.2483274579954"/>
    <n v="21281.138543987865"/>
    <n v="11018.695408532636"/>
    <n v="11018.695408532636"/>
  </r>
  <r>
    <x v="1"/>
    <x v="2"/>
    <x v="2"/>
    <s v="Konventionel"/>
    <x v="0"/>
    <s v="Halm"/>
    <n v="34972.772472795026"/>
    <n v="153880.19888029812"/>
    <n v="143339.40525699768"/>
    <n v="143339.40525699768"/>
  </r>
  <r>
    <x v="1"/>
    <x v="3"/>
    <x v="2"/>
    <s v="Konventionel"/>
    <x v="0"/>
    <s v="Græs"/>
    <n v="21246.830147095647"/>
    <n v="1054267.7118988861"/>
    <n v="0"/>
    <n v="1054267.7118988861"/>
  </r>
  <r>
    <x v="1"/>
    <x v="4"/>
    <x v="2"/>
    <s v="Konventionel"/>
    <x v="0"/>
    <s v="Grøntsager"/>
    <n v="3329.3838415920754"/>
    <n v="69084.714713035573"/>
    <n v="0"/>
    <n v="69084.714713035573"/>
  </r>
  <r>
    <x v="1"/>
    <x v="5"/>
    <x v="2"/>
    <s v="Konventionel"/>
    <x v="0"/>
    <s v="Kartofler"/>
    <n v="2135.807908398976"/>
    <n v="90709.682966764973"/>
    <n v="0"/>
    <n v="90709.682966764973"/>
  </r>
  <r>
    <x v="1"/>
    <x v="6"/>
    <x v="2"/>
    <s v="Konventionel"/>
    <x v="0"/>
    <s v="Roer"/>
    <n v="22203.021846582469"/>
    <n v="1804078.372131268"/>
    <n v="0"/>
    <n v="1804078.372131268"/>
  </r>
  <r>
    <x v="1"/>
    <x v="7"/>
    <x v="2"/>
    <s v="Konventionel"/>
    <x v="0"/>
    <s v="Majs"/>
    <n v="6279.8408262972243"/>
    <n v="279515.71517848945"/>
    <n v="0"/>
    <n v="279515.71517848945"/>
  </r>
  <r>
    <x v="1"/>
    <x v="8"/>
    <x v="2"/>
    <s v="Konventionel"/>
    <x v="0"/>
    <s v="Frugt"/>
    <n v="1461.2011003283492"/>
    <n v="12405.597341787687"/>
    <n v="0"/>
    <n v="12405.597341787687"/>
  </r>
  <r>
    <x v="1"/>
    <x v="9"/>
    <x v="2"/>
    <s v="Konventionel"/>
    <x v="0"/>
    <s v="Øvrige"/>
    <n v="10433.684555973852"/>
    <n v="310881.47561203281"/>
    <n v="0"/>
    <n v="310881.47561203281"/>
  </r>
  <r>
    <x v="1"/>
    <x v="10"/>
    <x v="2"/>
    <s v="Konventionel"/>
    <x v="0"/>
    <s v="Halm"/>
    <n v="32281.512278228936"/>
    <n v="461266.03404949862"/>
    <n v="133645.46083186779"/>
    <n v="133645.46083186779"/>
  </r>
  <r>
    <x v="1"/>
    <x v="11"/>
    <x v="2"/>
    <s v="Konventionel"/>
    <x v="0"/>
    <s v="Juletræer"/>
    <n v="2289.6938090504755"/>
    <n v="114484.69045252376"/>
    <n v="0"/>
    <n v="114484.69045252376"/>
  </r>
  <r>
    <x v="1"/>
    <x v="12"/>
    <x v="2"/>
    <s v="Konventionel"/>
    <x v="0"/>
    <s v="Pil &amp; poppel"/>
    <n v="1088.3740043895341"/>
    <n v="26545.707424134976"/>
    <n v="0"/>
    <n v="26545.707424134976"/>
  </r>
  <r>
    <x v="1"/>
    <x v="13"/>
    <x v="2"/>
    <s v="Konventionel"/>
    <x v="0"/>
    <s v="Græs"/>
    <n v="27108.358027589973"/>
    <n v="373824.25720046577"/>
    <n v="0"/>
    <n v="373824.2572004657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363.474152427225"/>
    <n v="203665.22905170496"/>
    <n v="95885.589837542706"/>
    <n v="95885.589837542706"/>
  </r>
  <r>
    <x v="1"/>
    <x v="1"/>
    <x v="1"/>
    <s v="Økologisk"/>
    <x v="0"/>
    <s v="Halm"/>
    <n v="945.0998427499278"/>
    <n v="2079.4086740183911"/>
    <n v="890.4480455951458"/>
    <n v="890.4480455951458"/>
  </r>
  <r>
    <x v="1"/>
    <x v="2"/>
    <x v="1"/>
    <s v="Økologisk"/>
    <x v="0"/>
    <s v="Halm"/>
    <n v="5995.1520050262798"/>
    <n v="14508.267852163597"/>
    <n v="11177.169553306838"/>
    <n v="11177.169553306838"/>
  </r>
  <r>
    <x v="1"/>
    <x v="3"/>
    <x v="1"/>
    <s v="Økologisk"/>
    <x v="0"/>
    <s v="Græs"/>
    <n v="3642.2041305389598"/>
    <n v="140966.41178672769"/>
    <n v="0"/>
    <n v="140966.41178672769"/>
  </r>
  <r>
    <x v="1"/>
    <x v="4"/>
    <x v="1"/>
    <s v="Økologisk"/>
    <x v="0"/>
    <s v="Grøntsager"/>
    <n v="570.73433994830236"/>
    <n v="6750.3604057385455"/>
    <n v="0"/>
    <n v="6750.3604057385455"/>
  </r>
  <r>
    <x v="1"/>
    <x v="5"/>
    <x v="1"/>
    <s v="Økologisk"/>
    <x v="0"/>
    <s v="Kartofler"/>
    <n v="366.12748029483765"/>
    <n v="8863.3651432073912"/>
    <n v="0"/>
    <n v="8863.3651432073912"/>
  </r>
  <r>
    <x v="1"/>
    <x v="6"/>
    <x v="1"/>
    <s v="Økologisk"/>
    <x v="0"/>
    <s v="Roer"/>
    <n v="3806.1177747553907"/>
    <n v="176278.92454459635"/>
    <n v="0"/>
    <n v="176278.92454459635"/>
  </r>
  <r>
    <x v="1"/>
    <x v="7"/>
    <x v="1"/>
    <s v="Økologisk"/>
    <x v="0"/>
    <s v="Majs"/>
    <n v="1076.511744966979"/>
    <n v="39769.896347838599"/>
    <n v="0"/>
    <n v="39769.896347838599"/>
  </r>
  <r>
    <x v="1"/>
    <x v="8"/>
    <x v="1"/>
    <s v="Økologisk"/>
    <x v="0"/>
    <s v="Frugt"/>
    <n v="250.48407909880524"/>
    <n v="1212.167603982848"/>
    <n v="0"/>
    <n v="1212.167603982848"/>
  </r>
  <r>
    <x v="1"/>
    <x v="9"/>
    <x v="1"/>
    <s v="Økologisk"/>
    <x v="0"/>
    <s v="Øvrige"/>
    <n v="1788.5778124744493"/>
    <n v="30376.64717247595"/>
    <n v="0"/>
    <n v="30376.64717247595"/>
  </r>
  <r>
    <x v="1"/>
    <x v="10"/>
    <x v="1"/>
    <s v="Økologisk"/>
    <x v="0"/>
    <s v="Halm"/>
    <n v="5533.8069983056603"/>
    <n v="45070.924671159679"/>
    <n v="10800.22044245319"/>
    <n v="10800.22044245319"/>
  </r>
  <r>
    <x v="1"/>
    <x v="11"/>
    <x v="1"/>
    <s v="Økologisk"/>
    <x v="0"/>
    <s v="Juletræer"/>
    <n v="392.50712653403053"/>
    <n v="11186.453106219871"/>
    <n v="0"/>
    <n v="11186.453106219871"/>
  </r>
  <r>
    <x v="1"/>
    <x v="12"/>
    <x v="1"/>
    <s v="Økologisk"/>
    <x v="0"/>
    <s v="Pil &amp; poppel"/>
    <n v="186.57278600688875"/>
    <n v="2593.8167810713803"/>
    <n v="0"/>
    <n v="2593.8167810713803"/>
  </r>
  <r>
    <x v="1"/>
    <x v="13"/>
    <x v="1"/>
    <s v="Økologisk"/>
    <x v="0"/>
    <s v="Græs"/>
    <n v="4647.0072428057565"/>
    <n v="64082.229878291386"/>
    <n v="0"/>
    <n v="64082.229878291386"/>
  </r>
  <r>
    <x v="1"/>
    <x v="0"/>
    <x v="2"/>
    <s v="Økologisk"/>
    <x v="0"/>
    <s v="Halm"/>
    <n v="53658.438832916305"/>
    <n v="252017.58966655802"/>
    <n v="143461.01291768815"/>
    <n v="143461.01291768815"/>
  </r>
  <r>
    <x v="1"/>
    <x v="1"/>
    <x v="2"/>
    <s v="Økologisk"/>
    <x v="0"/>
    <s v="Halm"/>
    <n v="1169.4769179456355"/>
    <n v="2573.0831148639872"/>
    <n v="1332.2604448498553"/>
    <n v="1332.2604448498553"/>
  </r>
  <r>
    <x v="1"/>
    <x v="2"/>
    <x v="2"/>
    <s v="Økologisk"/>
    <x v="0"/>
    <s v="Halm"/>
    <n v="7418.4668881686412"/>
    <n v="17952.689869368114"/>
    <n v="16722.930613316399"/>
    <n v="16722.930613316399"/>
  </r>
  <r>
    <x v="1"/>
    <x v="3"/>
    <x v="2"/>
    <s v="Økologisk"/>
    <x v="0"/>
    <s v="Græs"/>
    <n v="4506.9033645354402"/>
    <n v="174433.38505963387"/>
    <n v="0"/>
    <n v="174433.38505963387"/>
  </r>
  <r>
    <x v="1"/>
    <x v="4"/>
    <x v="2"/>
    <s v="Økologisk"/>
    <x v="0"/>
    <s v="Grøntsager"/>
    <n v="706.23293609528866"/>
    <n v="8352.9700516670255"/>
    <n v="0"/>
    <n v="8352.9700516670255"/>
  </r>
  <r>
    <x v="1"/>
    <x v="5"/>
    <x v="2"/>
    <s v="Økologisk"/>
    <x v="0"/>
    <s v="Kartofler"/>
    <n v="453.05016238766149"/>
    <n v="10967.625304163399"/>
    <n v="0"/>
    <n v="10967.625304163399"/>
  </r>
  <r>
    <x v="1"/>
    <x v="6"/>
    <x v="2"/>
    <s v="Økologisk"/>
    <x v="0"/>
    <s v="Roer"/>
    <n v="4709.7319068508268"/>
    <n v="218129.47590314422"/>
    <n v="0"/>
    <n v="218129.47590314422"/>
  </r>
  <r>
    <x v="1"/>
    <x v="7"/>
    <x v="2"/>
    <s v="Økologisk"/>
    <x v="0"/>
    <s v="Majs"/>
    <n v="1332.0874480024415"/>
    <n v="49211.706217788596"/>
    <n v="0"/>
    <n v="49211.706217788596"/>
  </r>
  <r>
    <x v="1"/>
    <x v="8"/>
    <x v="2"/>
    <s v="Økologisk"/>
    <x v="0"/>
    <s v="Frugt"/>
    <n v="309.95174855449835"/>
    <n v="1499.9494967797839"/>
    <n v="0"/>
    <n v="1499.9494967797839"/>
  </r>
  <r>
    <x v="1"/>
    <x v="9"/>
    <x v="2"/>
    <s v="Økologisk"/>
    <x v="0"/>
    <s v="Øvrige"/>
    <n v="2213.2058149035443"/>
    <n v="37588.396596727602"/>
    <n v="0"/>
    <n v="37588.396596727602"/>
  </r>
  <r>
    <x v="1"/>
    <x v="10"/>
    <x v="2"/>
    <s v="Økologisk"/>
    <x v="0"/>
    <s v="Halm"/>
    <n v="6847.5935135637137"/>
    <n v="55771.256844166644"/>
    <n v="16158.951173307649"/>
    <n v="16158.951173307649"/>
  </r>
  <r>
    <x v="1"/>
    <x v="11"/>
    <x v="2"/>
    <s v="Økologisk"/>
    <x v="0"/>
    <s v="Juletræer"/>
    <n v="485.6926261622221"/>
    <n v="13842.23984562333"/>
    <n v="0"/>
    <n v="13842.23984562333"/>
  </r>
  <r>
    <x v="1"/>
    <x v="12"/>
    <x v="2"/>
    <s v="Økologisk"/>
    <x v="0"/>
    <s v="Pil &amp; poppel"/>
    <n v="230.86721305232541"/>
    <n v="3209.6173521908654"/>
    <n v="0"/>
    <n v="3209.6173521908654"/>
  </r>
  <r>
    <x v="1"/>
    <x v="13"/>
    <x v="2"/>
    <s v="Økologisk"/>
    <x v="0"/>
    <s v="Græs"/>
    <n v="5750.2577634281761"/>
    <n v="79296.054557674564"/>
    <n v="0"/>
    <n v="79296.05455767456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153.0281200981244"/>
    <n v="34935.27254626542"/>
    <n v="16447.52631478176"/>
    <n v="16447.52631478176"/>
  </r>
  <r>
    <x v="1"/>
    <x v="1"/>
    <x v="1"/>
    <s v="Konventionel"/>
    <x v="1"/>
    <s v="Halm"/>
    <n v="112.30451890716081"/>
    <n v="520.19453157796886"/>
    <n v="222.75861871719212"/>
    <n v="222.75861871719212"/>
  </r>
  <r>
    <x v="1"/>
    <x v="2"/>
    <x v="1"/>
    <s v="Konventionel"/>
    <x v="1"/>
    <s v="Halm"/>
    <n v="453.61549532985964"/>
    <n v="2395.0898153416592"/>
    <n v="1845.1771937392143"/>
    <n v="1845.1771937392143"/>
  </r>
  <r>
    <x v="1"/>
    <x v="3"/>
    <x v="1"/>
    <s v="Konventionel"/>
    <x v="1"/>
    <s v="Græs"/>
    <n v="1333.8196227610581"/>
    <n v="79420.955617684449"/>
    <n v="0"/>
    <n v="79420.955617684449"/>
  </r>
  <r>
    <x v="1"/>
    <x v="4"/>
    <x v="1"/>
    <s v="Konventionel"/>
    <x v="1"/>
    <s v="Grøntsager"/>
    <n v="25.261099168726226"/>
    <n v="629.00136930128303"/>
    <n v="0"/>
    <n v="629.00136930128303"/>
  </r>
  <r>
    <x v="1"/>
    <x v="5"/>
    <x v="1"/>
    <s v="Konventionel"/>
    <x v="1"/>
    <s v="Kartofler"/>
    <n v="42.946180543416538"/>
    <n v="2188.7554998222508"/>
    <n v="0"/>
    <n v="2188.7554998222508"/>
  </r>
  <r>
    <x v="1"/>
    <x v="6"/>
    <x v="1"/>
    <s v="Konventionel"/>
    <x v="1"/>
    <s v="Roer"/>
    <n v="119.98259301094923"/>
    <n v="11698.840054058643"/>
    <n v="0"/>
    <n v="11698.840054058643"/>
  </r>
  <r>
    <x v="1"/>
    <x v="7"/>
    <x v="1"/>
    <s v="Konventionel"/>
    <x v="1"/>
    <s v="Majs"/>
    <n v="127.91995950888544"/>
    <n v="6832.4608772885904"/>
    <n v="0"/>
    <n v="6832.4608772885904"/>
  </r>
  <r>
    <x v="1"/>
    <x v="8"/>
    <x v="1"/>
    <s v="Konventionel"/>
    <x v="1"/>
    <s v="Frugt"/>
    <n v="27.594964857400839"/>
    <n v="281.13750196719974"/>
    <n v="0"/>
    <n v="281.13750196719974"/>
  </r>
  <r>
    <x v="1"/>
    <x v="9"/>
    <x v="1"/>
    <s v="Konventionel"/>
    <x v="1"/>
    <s v="Øvrige"/>
    <n v="197.0414329626538"/>
    <n v="7045.2424863927736"/>
    <n v="0"/>
    <n v="7045.2424863927736"/>
  </r>
  <r>
    <x v="1"/>
    <x v="10"/>
    <x v="1"/>
    <s v="Konventionel"/>
    <x v="1"/>
    <s v="Halm"/>
    <n v="1430.5114592593595"/>
    <n v="24528.45486746051"/>
    <n v="5877.6854838048575"/>
    <n v="5877.6854838048575"/>
  </r>
  <r>
    <x v="1"/>
    <x v="11"/>
    <x v="1"/>
    <s v="Konventionel"/>
    <x v="1"/>
    <s v="Juletræer"/>
    <n v="43.241152898637949"/>
    <n v="2594.4691739182772"/>
    <n v="0"/>
    <n v="2594.4691739182772"/>
  </r>
  <r>
    <x v="1"/>
    <x v="12"/>
    <x v="1"/>
    <s v="Konventionel"/>
    <x v="1"/>
    <s v="Pil &amp; poppel"/>
    <n v="91.773876584838561"/>
    <n v="2686.0646805318606"/>
    <n v="0"/>
    <n v="2686.0646805318606"/>
  </r>
  <r>
    <x v="1"/>
    <x v="13"/>
    <x v="1"/>
    <s v="Konventionel"/>
    <x v="1"/>
    <s v="Græs"/>
    <n v="2659.7407767838267"/>
    <n v="44013.390374218761"/>
    <n v="0"/>
    <n v="44013.390374218761"/>
  </r>
  <r>
    <x v="1"/>
    <x v="0"/>
    <x v="2"/>
    <s v="Konventionel"/>
    <x v="1"/>
    <s v="Halm"/>
    <n v="3287.676142844382"/>
    <n v="27655.931713606937"/>
    <n v="15743.13912797075"/>
    <n v="15743.13912797075"/>
  </r>
  <r>
    <x v="1"/>
    <x v="1"/>
    <x v="2"/>
    <s v="Konventionel"/>
    <x v="1"/>
    <s v="Halm"/>
    <n v="88.904018192866161"/>
    <n v="411.8034122693561"/>
    <n v="213.21868463998726"/>
    <n v="213.21868463998726"/>
  </r>
  <r>
    <x v="1"/>
    <x v="2"/>
    <x v="2"/>
    <s v="Konventionel"/>
    <x v="1"/>
    <s v="Halm"/>
    <n v="359.09721747448225"/>
    <n v="1896.0333082652662"/>
    <n v="1766.1550266490956"/>
    <n v="1766.1550266490956"/>
  </r>
  <r>
    <x v="1"/>
    <x v="3"/>
    <x v="2"/>
    <s v="Konventionel"/>
    <x v="1"/>
    <s v="Græs"/>
    <n v="1055.8962823747061"/>
    <n v="62872.288237719498"/>
    <n v="0"/>
    <n v="62872.288237719498"/>
  </r>
  <r>
    <x v="1"/>
    <x v="4"/>
    <x v="2"/>
    <s v="Konventionel"/>
    <x v="1"/>
    <s v="Grøntsager"/>
    <n v="19.997532084392677"/>
    <n v="497.93854890137766"/>
    <n v="0"/>
    <n v="497.93854890137766"/>
  </r>
  <r>
    <x v="1"/>
    <x v="5"/>
    <x v="2"/>
    <s v="Konventionel"/>
    <x v="1"/>
    <s v="Kartofler"/>
    <n v="33.997634765724179"/>
    <n v="1732.692154060114"/>
    <n v="0"/>
    <n v="1732.692154060114"/>
  </r>
  <r>
    <x v="1"/>
    <x v="6"/>
    <x v="2"/>
    <s v="Konventionel"/>
    <x v="1"/>
    <s v="Roer"/>
    <n v="94.982238788545629"/>
    <n v="9261.1935754897131"/>
    <n v="0"/>
    <n v="9261.1935754897131"/>
  </r>
  <r>
    <x v="1"/>
    <x v="7"/>
    <x v="2"/>
    <s v="Konventionel"/>
    <x v="1"/>
    <s v="Majs"/>
    <n v="101.26572392701387"/>
    <n v="5408.8048463896648"/>
    <n v="0"/>
    <n v="5408.8048463896648"/>
  </r>
  <r>
    <x v="1"/>
    <x v="8"/>
    <x v="2"/>
    <s v="Konventionel"/>
    <x v="1"/>
    <s v="Frugt"/>
    <n v="21.845098323620871"/>
    <n v="222.55786172104945"/>
    <n v="0"/>
    <n v="222.55786172104945"/>
  </r>
  <r>
    <x v="1"/>
    <x v="9"/>
    <x v="2"/>
    <s v="Konventionel"/>
    <x v="1"/>
    <s v="Øvrige"/>
    <n v="155.98459715892352"/>
    <n v="5577.2498941133799"/>
    <n v="0"/>
    <n v="5577.2498941133799"/>
  </r>
  <r>
    <x v="1"/>
    <x v="10"/>
    <x v="2"/>
    <s v="Konventionel"/>
    <x v="1"/>
    <s v="Halm"/>
    <n v="1132.4407783112672"/>
    <n v="19417.546319594807"/>
    <n v="5625.9657866503758"/>
    <n v="5625.9657866503758"/>
  </r>
  <r>
    <x v="1"/>
    <x v="11"/>
    <x v="2"/>
    <s v="Konventionel"/>
    <x v="1"/>
    <s v="Juletræer"/>
    <n v="34.231144760604046"/>
    <n v="2053.8686856362428"/>
    <n v="0"/>
    <n v="2053.8686856362428"/>
  </r>
  <r>
    <x v="1"/>
    <x v="12"/>
    <x v="2"/>
    <s v="Konventionel"/>
    <x v="1"/>
    <s v="Pil &amp; poppel"/>
    <n v="72.651274168880292"/>
    <n v="2126.3787561623499"/>
    <n v="0"/>
    <n v="2126.3787561623499"/>
  </r>
  <r>
    <x v="1"/>
    <x v="13"/>
    <x v="2"/>
    <s v="Konventionel"/>
    <x v="1"/>
    <s v="Græs"/>
    <n v="2105.5398723801477"/>
    <n v="34842.473808146686"/>
    <n v="0"/>
    <n v="34842.4738081466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48.16045804999635"/>
    <n v="3653.0582679881009"/>
    <n v="1719.8598325687985"/>
    <n v="1719.8598325687985"/>
  </r>
  <r>
    <x v="1"/>
    <x v="1"/>
    <x v="1"/>
    <s v="Økologisk"/>
    <x v="1"/>
    <s v="Halm"/>
    <n v="17.527294858343019"/>
    <n v="46.276264976791566"/>
    <n v="19.816503711315534"/>
    <n v="19.816503711315534"/>
  </r>
  <r>
    <x v="1"/>
    <x v="2"/>
    <x v="1"/>
    <s v="Økologisk"/>
    <x v="1"/>
    <s v="Halm"/>
    <n v="70.795481930093715"/>
    <n v="205.59007952499221"/>
    <n v="158.38659726605397"/>
    <n v="158.38659726605397"/>
  </r>
  <r>
    <x v="1"/>
    <x v="3"/>
    <x v="1"/>
    <s v="Økologisk"/>
    <x v="1"/>
    <s v="Græs"/>
    <n v="208.16838043091659"/>
    <n v="9668.2388746152283"/>
    <n v="0"/>
    <n v="9668.2388746152283"/>
  </r>
  <r>
    <x v="1"/>
    <x v="4"/>
    <x v="1"/>
    <s v="Økologisk"/>
    <x v="1"/>
    <s v="Grøntsager"/>
    <n v="3.9424836852925322"/>
    <n v="55.955670945356907"/>
    <n v="0"/>
    <n v="55.955670945356907"/>
  </r>
  <r>
    <x v="1"/>
    <x v="5"/>
    <x v="1"/>
    <s v="Økologisk"/>
    <x v="1"/>
    <s v="Kartofler"/>
    <n v="6.7025830905910215"/>
    <n v="194.71067712291588"/>
    <n v="0"/>
    <n v="194.71067712291588"/>
  </r>
  <r>
    <x v="1"/>
    <x v="6"/>
    <x v="1"/>
    <s v="Økologisk"/>
    <x v="1"/>
    <s v="Roer"/>
    <n v="18.725607001708841"/>
    <n v="1040.7234013408238"/>
    <n v="0"/>
    <n v="1040.7234013408238"/>
  </r>
  <r>
    <x v="1"/>
    <x v="7"/>
    <x v="1"/>
    <s v="Økologisk"/>
    <x v="1"/>
    <s v="Majs"/>
    <n v="19.964386744161317"/>
    <n v="885.06039456668975"/>
    <n v="0"/>
    <n v="885.06039456668975"/>
  </r>
  <r>
    <x v="1"/>
    <x v="8"/>
    <x v="1"/>
    <s v="Økologisk"/>
    <x v="1"/>
    <s v="Frugt"/>
    <n v="4.3067286193631373"/>
    <n v="25.009862169220838"/>
    <n v="0"/>
    <n v="25.009862169220838"/>
  </r>
  <r>
    <x v="1"/>
    <x v="9"/>
    <x v="1"/>
    <s v="Økologisk"/>
    <x v="1"/>
    <s v="Øvrige"/>
    <n v="30.752131156021115"/>
    <n v="626.7415136739005"/>
    <n v="0"/>
    <n v="626.7415136739005"/>
  </r>
  <r>
    <x v="1"/>
    <x v="10"/>
    <x v="1"/>
    <s v="Økologisk"/>
    <x v="1"/>
    <s v="Halm"/>
    <n v="223.25901387284802"/>
    <n v="2182.0400023711977"/>
    <n v="522.8761826344321"/>
    <n v="522.8761826344321"/>
  </r>
  <r>
    <x v="1"/>
    <x v="11"/>
    <x v="1"/>
    <s v="Økologisk"/>
    <x v="1"/>
    <s v="Juletræer"/>
    <n v="6.74861923851575"/>
    <n v="230.80277795723865"/>
    <n v="0"/>
    <n v="230.80277795723865"/>
  </r>
  <r>
    <x v="1"/>
    <x v="12"/>
    <x v="1"/>
    <s v="Økologisk"/>
    <x v="1"/>
    <s v="Pil &amp; poppel"/>
    <n v="14.323090565263824"/>
    <n v="238.95107186927942"/>
    <n v="0"/>
    <n v="238.95107186927942"/>
  </r>
  <r>
    <x v="1"/>
    <x v="13"/>
    <x v="1"/>
    <s v="Økologisk"/>
    <x v="1"/>
    <s v="Græs"/>
    <n v="415.10405186799608"/>
    <n v="6869.1418503115992"/>
    <n v="0"/>
    <n v="6869.1418503115992"/>
  </r>
  <r>
    <x v="1"/>
    <x v="0"/>
    <x v="2"/>
    <s v="Økologisk"/>
    <x v="1"/>
    <s v="Halm"/>
    <n v="697.38584848214157"/>
    <n v="3930.4945374792887"/>
    <n v="2237.4340154600854"/>
    <n v="2237.4340154600854"/>
  </r>
  <r>
    <x v="1"/>
    <x v="1"/>
    <x v="2"/>
    <s v="Økologisk"/>
    <x v="1"/>
    <s v="Halm"/>
    <n v="18.858428101517063"/>
    <n v="49.790776210749414"/>
    <n v="25.780077324653004"/>
    <n v="25.780077324653004"/>
  </r>
  <r>
    <x v="1"/>
    <x v="2"/>
    <x v="2"/>
    <s v="Økologisk"/>
    <x v="1"/>
    <s v="Halm"/>
    <n v="76.17213704004169"/>
    <n v="221.20388596428108"/>
    <n v="206.05141977572785"/>
    <n v="206.05141977572785"/>
  </r>
  <r>
    <x v="1"/>
    <x v="3"/>
    <x v="2"/>
    <s v="Økologisk"/>
    <x v="1"/>
    <s v="Græs"/>
    <n v="223.97799929160431"/>
    <n v="10402.505872059046"/>
    <n v="0"/>
    <n v="10402.505872059046"/>
  </r>
  <r>
    <x v="1"/>
    <x v="4"/>
    <x v="2"/>
    <s v="Økologisk"/>
    <x v="1"/>
    <s v="Grøntsager"/>
    <n v="4.2419007451742043"/>
    <n v="60.205297276257483"/>
    <n v="0"/>
    <n v="60.205297276257483"/>
  </r>
  <r>
    <x v="1"/>
    <x v="5"/>
    <x v="2"/>
    <s v="Økologisk"/>
    <x v="1"/>
    <s v="Kartofler"/>
    <n v="7.211619495759674"/>
    <n v="209.49823317272285"/>
    <n v="0"/>
    <n v="209.49823317272285"/>
  </r>
  <r>
    <x v="1"/>
    <x v="6"/>
    <x v="2"/>
    <s v="Økologisk"/>
    <x v="1"/>
    <s v="Roer"/>
    <n v="20.147747621812712"/>
    <n v="1119.7624959455745"/>
    <n v="0"/>
    <n v="1119.7624959455745"/>
  </r>
  <r>
    <x v="1"/>
    <x v="7"/>
    <x v="2"/>
    <s v="Økologisk"/>
    <x v="1"/>
    <s v="Majs"/>
    <n v="21.480608105730209"/>
    <n v="952.27745931890752"/>
    <n v="0"/>
    <n v="952.27745931890752"/>
  </r>
  <r>
    <x v="1"/>
    <x v="8"/>
    <x v="2"/>
    <s v="Økologisk"/>
    <x v="1"/>
    <s v="Frugt"/>
    <n v="4.6338087353135169"/>
    <n v="26.909268735363238"/>
    <n v="0"/>
    <n v="26.909268735363238"/>
  </r>
  <r>
    <x v="1"/>
    <x v="9"/>
    <x v="2"/>
    <s v="Økologisk"/>
    <x v="1"/>
    <s v="Øvrige"/>
    <n v="33.087641821589841"/>
    <n v="674.34021447007228"/>
    <n v="0"/>
    <n v="674.34021447007228"/>
  </r>
  <r>
    <x v="1"/>
    <x v="10"/>
    <x v="2"/>
    <s v="Økologisk"/>
    <x v="1"/>
    <s v="Halm"/>
    <n v="240.21471055087486"/>
    <n v="2347.7578731873718"/>
    <n v="680.2304087495454"/>
    <n v="680.2304087495454"/>
  </r>
  <r>
    <x v="1"/>
    <x v="11"/>
    <x v="2"/>
    <s v="Økologisk"/>
    <x v="1"/>
    <s v="Juletræer"/>
    <n v="7.261151918916009"/>
    <n v="248.3313956269275"/>
    <n v="0"/>
    <n v="248.3313956269275"/>
  </r>
  <r>
    <x v="1"/>
    <x v="12"/>
    <x v="2"/>
    <s v="Økologisk"/>
    <x v="1"/>
    <s v="Pil &amp; poppel"/>
    <n v="15.410876338853395"/>
    <n v="257.09852233599321"/>
    <n v="0"/>
    <n v="257.09852233599321"/>
  </r>
  <r>
    <x v="1"/>
    <x v="13"/>
    <x v="2"/>
    <s v="Økologisk"/>
    <x v="1"/>
    <s v="Græs"/>
    <n v="446.6296698988192"/>
    <n v="7390.8277774856606"/>
    <n v="0"/>
    <n v="7390.8277774856606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6458108942293"/>
    <n v="17632.281988115963"/>
    <n v="8301.278360004997"/>
    <n v="8301.278360004997"/>
  </r>
  <r>
    <x v="1"/>
    <x v="1"/>
    <x v="1"/>
    <s v="Konventionel"/>
    <x v="2"/>
    <s v="Halm"/>
    <n v="32.633012539823845"/>
    <n v="176.34879976520804"/>
    <n v="75.516393701736789"/>
    <n v="75.516393701736789"/>
  </r>
  <r>
    <x v="1"/>
    <x v="2"/>
    <x v="1"/>
    <s v="Konventionel"/>
    <x v="2"/>
    <s v="Halm"/>
    <n v="159.40463041598321"/>
    <n v="981.93252336245644"/>
    <n v="756.48081599843647"/>
    <n v="756.48081599843647"/>
  </r>
  <r>
    <x v="1"/>
    <x v="3"/>
    <x v="1"/>
    <s v="Konventionel"/>
    <x v="2"/>
    <s v="Græs"/>
    <n v="1171.3986150504631"/>
    <n v="81374.718990325578"/>
    <n v="0"/>
    <n v="81374.718990325578"/>
  </r>
  <r>
    <x v="1"/>
    <x v="4"/>
    <x v="1"/>
    <s v="Konventionel"/>
    <x v="2"/>
    <s v="Grøntsager"/>
    <n v="5.5133034466362671"/>
    <n v="160.16146512478358"/>
    <n v="0"/>
    <n v="160.16146512478358"/>
  </r>
  <r>
    <x v="1"/>
    <x v="5"/>
    <x v="1"/>
    <s v="Konventionel"/>
    <x v="2"/>
    <s v="Kartofler"/>
    <n v="31.425171951535479"/>
    <n v="1868.51744633315"/>
    <n v="0"/>
    <n v="1868.51744633315"/>
  </r>
  <r>
    <x v="1"/>
    <x v="6"/>
    <x v="1"/>
    <s v="Konventionel"/>
    <x v="2"/>
    <s v="Roer"/>
    <n v="36.188775432258431"/>
    <n v="4116.6622512612066"/>
    <n v="0"/>
    <n v="4116.6622512612066"/>
  </r>
  <r>
    <x v="1"/>
    <x v="7"/>
    <x v="1"/>
    <s v="Konventionel"/>
    <x v="2"/>
    <s v="Majs"/>
    <n v="37.170486845663731"/>
    <n v="2316.2417173006897"/>
    <n v="0"/>
    <n v="2316.2417173006897"/>
  </r>
  <r>
    <x v="1"/>
    <x v="8"/>
    <x v="1"/>
    <s v="Konventionel"/>
    <x v="2"/>
    <s v="Frugt"/>
    <n v="13.488257970641145"/>
    <n v="160.32143423904066"/>
    <n v="0"/>
    <n v="160.32143423904066"/>
  </r>
  <r>
    <x v="1"/>
    <x v="9"/>
    <x v="1"/>
    <s v="Konventionel"/>
    <x v="2"/>
    <s v="Øvrige"/>
    <n v="96.312703873303633"/>
    <n v="4017.6190372214837"/>
    <n v="0"/>
    <n v="4017.6190372214837"/>
  </r>
  <r>
    <x v="1"/>
    <x v="10"/>
    <x v="1"/>
    <s v="Konventionel"/>
    <x v="2"/>
    <s v="Halm"/>
    <n v="901.3113802822603"/>
    <n v="18030.197939320373"/>
    <n v="4320.5262325210433"/>
    <n v="4320.5262325210433"/>
  </r>
  <r>
    <x v="1"/>
    <x v="11"/>
    <x v="1"/>
    <s v="Konventionel"/>
    <x v="2"/>
    <s v="Juletræer"/>
    <n v="21.136023483224019"/>
    <n v="1479.5216438256814"/>
    <n v="0"/>
    <n v="1479.5216438256814"/>
  </r>
  <r>
    <x v="1"/>
    <x v="12"/>
    <x v="1"/>
    <s v="Konventionel"/>
    <x v="2"/>
    <s v="Pil &amp; poppel"/>
    <n v="64.473732983194068"/>
    <n v="2201.5421018651632"/>
    <n v="0"/>
    <n v="2201.5421018651632"/>
  </r>
  <r>
    <x v="1"/>
    <x v="13"/>
    <x v="1"/>
    <s v="Konventionel"/>
    <x v="2"/>
    <s v="Græs"/>
    <n v="2242.1606682189854"/>
    <n v="43287.153860635735"/>
    <n v="0"/>
    <n v="43287.15386063573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40136933031323"/>
    <n v="1843.7455558671547"/>
    <n v="868.03540770225663"/>
    <n v="868.03540770225663"/>
  </r>
  <r>
    <x v="1"/>
    <x v="1"/>
    <x v="1"/>
    <s v="Økologisk"/>
    <x v="2"/>
    <s v="Halm"/>
    <n v="5.0930135177759759"/>
    <n v="15.687907678534982"/>
    <n v="6.7179034628308036"/>
    <n v="6.7179034628308036"/>
  </r>
  <r>
    <x v="1"/>
    <x v="2"/>
    <x v="1"/>
    <s v="Økologisk"/>
    <x v="2"/>
    <s v="Halm"/>
    <n v="24.878179313477148"/>
    <n v="84.287271514060578"/>
    <n v="64.934913974432277"/>
    <n v="64.934913974432277"/>
  </r>
  <r>
    <x v="1"/>
    <x v="3"/>
    <x v="1"/>
    <s v="Økologisk"/>
    <x v="2"/>
    <s v="Græs"/>
    <n v="182.81943703099714"/>
    <n v="9906.0785083020619"/>
    <n v="0"/>
    <n v="9906.0785083020619"/>
  </r>
  <r>
    <x v="1"/>
    <x v="4"/>
    <x v="1"/>
    <s v="Økologisk"/>
    <x v="2"/>
    <s v="Grøntsager"/>
    <n v="0.86045776334785684"/>
    <n v="14.247889874395483"/>
    <n v="0"/>
    <n v="14.247889874395483"/>
  </r>
  <r>
    <x v="1"/>
    <x v="5"/>
    <x v="1"/>
    <s v="Økologisk"/>
    <x v="2"/>
    <s v="Kartofler"/>
    <n v="4.9045066051529362"/>
    <n v="166.22244797148659"/>
    <n v="0"/>
    <n v="166.22244797148659"/>
  </r>
  <r>
    <x v="1"/>
    <x v="6"/>
    <x v="1"/>
    <s v="Økologisk"/>
    <x v="2"/>
    <s v="Roer"/>
    <n v="5.6479591715085418"/>
    <n v="366.21637021335238"/>
    <n v="0"/>
    <n v="366.21637021335238"/>
  </r>
  <r>
    <x v="1"/>
    <x v="7"/>
    <x v="1"/>
    <s v="Økologisk"/>
    <x v="2"/>
    <s v="Majs"/>
    <n v="5.8011742475891381"/>
    <n v="300.04032881334371"/>
    <n v="0"/>
    <n v="300.04032881334371"/>
  </r>
  <r>
    <x v="1"/>
    <x v="8"/>
    <x v="1"/>
    <s v="Økologisk"/>
    <x v="2"/>
    <s v="Frugt"/>
    <n v="2.1051038451289652"/>
    <n v="14.262120652825642"/>
    <n v="0"/>
    <n v="14.262120652825642"/>
  </r>
  <r>
    <x v="1"/>
    <x v="9"/>
    <x v="1"/>
    <s v="Økologisk"/>
    <x v="2"/>
    <s v="Øvrige"/>
    <n v="15.031462454215021"/>
    <n v="357.40553169270896"/>
    <n v="0"/>
    <n v="357.40553169270896"/>
  </r>
  <r>
    <x v="1"/>
    <x v="10"/>
    <x v="1"/>
    <s v="Økologisk"/>
    <x v="2"/>
    <s v="Halm"/>
    <n v="140.66709403249149"/>
    <n v="1603.9580710181533"/>
    <n v="384.35201571386625"/>
    <n v="384.35201571386625"/>
  </r>
  <r>
    <x v="1"/>
    <x v="11"/>
    <x v="1"/>
    <s v="Økologisk"/>
    <x v="2"/>
    <s v="Juletræer"/>
    <n v="3.2986857459366963"/>
    <n v="131.61756126287418"/>
    <n v="0"/>
    <n v="131.61756126287418"/>
  </r>
  <r>
    <x v="1"/>
    <x v="12"/>
    <x v="1"/>
    <s v="Økologisk"/>
    <x v="2"/>
    <s v="Pil &amp; poppel"/>
    <n v="10.062374511827977"/>
    <n v="195.84816732777378"/>
    <n v="0"/>
    <n v="195.84816732777378"/>
  </r>
  <r>
    <x v="1"/>
    <x v="13"/>
    <x v="1"/>
    <s v="Økologisk"/>
    <x v="2"/>
    <s v="Græs"/>
    <n v="349.9325898376452"/>
    <n v="6755.7985794055785"/>
    <n v="0"/>
    <n v="6755.7985794055785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012260.3004318569"/>
  </r>
  <r>
    <x v="1"/>
    <x v="0"/>
    <x v="1"/>
    <n v="264281.48271181755"/>
  </r>
  <r>
    <x v="2"/>
    <x v="0"/>
    <x v="1"/>
    <n v="497134.76694638823"/>
  </r>
  <r>
    <x v="3"/>
    <x v="0"/>
    <x v="1"/>
    <n v="15769668.337175274"/>
  </r>
  <r>
    <x v="4"/>
    <x v="0"/>
    <x v="1"/>
    <n v="189947.9283403279"/>
  </r>
  <r>
    <x v="5"/>
    <x v="0"/>
    <x v="1"/>
    <n v="2184559.2882253225"/>
  </r>
  <r>
    <x v="6"/>
    <x v="0"/>
    <x v="1"/>
    <n v="387359.23061650008"/>
  </r>
  <r>
    <x v="7"/>
    <x v="0"/>
    <x v="1"/>
    <n v="7810797.3149183672"/>
  </r>
  <r>
    <x v="8"/>
    <x v="0"/>
    <x v="1"/>
    <n v="26490.425666789368"/>
  </r>
  <r>
    <x v="9"/>
    <x v="0"/>
    <x v="1"/>
    <n v="1644241.434656535"/>
  </r>
  <r>
    <x v="10"/>
    <x v="0"/>
    <x v="1"/>
    <n v="896684.85799615958"/>
  </r>
  <r>
    <x v="11"/>
    <x v="0"/>
    <x v="1"/>
    <n v="782472.88933192089"/>
  </r>
  <r>
    <x v="12"/>
    <x v="0"/>
    <x v="1"/>
    <n v="170203.15251490066"/>
  </r>
  <r>
    <x v="0"/>
    <x v="0"/>
    <x v="2"/>
    <n v="6657445.6000957079"/>
  </r>
  <r>
    <x v="1"/>
    <x v="0"/>
    <x v="2"/>
    <n v="250215.04217969507"/>
  </r>
  <r>
    <x v="2"/>
    <x v="0"/>
    <x v="2"/>
    <n v="471962.43365815014"/>
  </r>
  <r>
    <x v="3"/>
    <x v="0"/>
    <x v="2"/>
    <n v="13682245.34995167"/>
  </r>
  <r>
    <x v="4"/>
    <x v="0"/>
    <x v="2"/>
    <n v="182765.86123576926"/>
  </r>
  <r>
    <x v="5"/>
    <x v="0"/>
    <x v="2"/>
    <n v="2034058.7589381256"/>
  </r>
  <r>
    <x v="6"/>
    <x v="0"/>
    <x v="2"/>
    <n v="370630.07456563454"/>
  </r>
  <r>
    <x v="7"/>
    <x v="0"/>
    <x v="2"/>
    <n v="7480186.4136029035"/>
  </r>
  <r>
    <x v="8"/>
    <x v="0"/>
    <x v="2"/>
    <n v="24926.840286441191"/>
  </r>
  <r>
    <x v="9"/>
    <x v="0"/>
    <x v="2"/>
    <n v="1547190.8284741363"/>
  </r>
  <r>
    <x v="10"/>
    <x v="0"/>
    <x v="2"/>
    <n v="813451.18685438076"/>
  </r>
  <r>
    <x v="11"/>
    <x v="0"/>
    <x v="2"/>
    <n v="736287.78133601486"/>
  </r>
  <r>
    <x v="12"/>
    <x v="0"/>
    <x v="2"/>
    <n v="146472.7873352017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64100.9929543477"/>
  </r>
  <r>
    <x v="1"/>
    <x v="1"/>
    <x v="1"/>
    <n v="28047.573536439377"/>
  </r>
  <r>
    <x v="2"/>
    <x v="1"/>
    <x v="1"/>
    <n v="200297.62873879672"/>
  </r>
  <r>
    <x v="3"/>
    <x v="1"/>
    <x v="1"/>
    <n v="2198776.4550645952"/>
  </r>
  <r>
    <x v="4"/>
    <x v="1"/>
    <x v="1"/>
    <n v="99364.334403430083"/>
  </r>
  <r>
    <x v="5"/>
    <x v="1"/>
    <x v="1"/>
    <n v="120819.30729817749"/>
  </r>
  <r>
    <x v="6"/>
    <x v="1"/>
    <x v="1"/>
    <n v="2327318.8289159178"/>
  </r>
  <r>
    <x v="7"/>
    <x v="1"/>
    <x v="1"/>
    <n v="382116.33628402097"/>
  </r>
  <r>
    <x v="8"/>
    <x v="1"/>
    <x v="1"/>
    <n v="16391.280898066685"/>
  </r>
  <r>
    <x v="9"/>
    <x v="1"/>
    <x v="1"/>
    <n v="410761.8079459595"/>
  </r>
  <r>
    <x v="10"/>
    <x v="1"/>
    <x v="1"/>
    <n v="639925.05348634056"/>
  </r>
  <r>
    <x v="11"/>
    <x v="1"/>
    <x v="1"/>
    <n v="151266.45400737421"/>
  </r>
  <r>
    <x v="12"/>
    <x v="1"/>
    <x v="1"/>
    <n v="39668.631585604686"/>
  </r>
  <r>
    <x v="0"/>
    <x v="1"/>
    <x v="2"/>
    <n v="2365391.4259483349"/>
  </r>
  <r>
    <x v="1"/>
    <x v="1"/>
    <x v="2"/>
    <n v="27963.188224431749"/>
  </r>
  <r>
    <x v="2"/>
    <x v="1"/>
    <x v="2"/>
    <n v="200042.64483548011"/>
  </r>
  <r>
    <x v="3"/>
    <x v="1"/>
    <x v="2"/>
    <n v="2066928.9300738815"/>
  </r>
  <r>
    <x v="4"/>
    <x v="1"/>
    <x v="2"/>
    <n v="100361.40981981652"/>
  </r>
  <r>
    <x v="5"/>
    <x v="1"/>
    <x v="2"/>
    <n v="119162.42345688539"/>
  </r>
  <r>
    <x v="6"/>
    <x v="1"/>
    <x v="2"/>
    <n v="2337477.1247217245"/>
  </r>
  <r>
    <x v="7"/>
    <x v="1"/>
    <x v="2"/>
    <n v="385351.77925728471"/>
  </r>
  <r>
    <x v="8"/>
    <x v="1"/>
    <x v="2"/>
    <n v="16278.266064377463"/>
  </r>
  <r>
    <x v="9"/>
    <x v="1"/>
    <x v="2"/>
    <n v="407929.68166494544"/>
  </r>
  <r>
    <x v="10"/>
    <x v="1"/>
    <x v="2"/>
    <n v="619622.98434941436"/>
  </r>
  <r>
    <x v="11"/>
    <x v="1"/>
    <x v="2"/>
    <n v="150223.49993632184"/>
  </r>
  <r>
    <x v="12"/>
    <x v="1"/>
    <x v="2"/>
    <n v="36959.6223630478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04939.805455904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29250.7965815454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90156.331739446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283371.9816891025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0094.3183261557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9783.2336704561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93869.9277261887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07937.44645909779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34288.3153172266"/>
  </r>
  <r>
    <x v="2"/>
    <s v="Vestdanmark"/>
    <x v="22"/>
    <x v="1"/>
    <n v="754028.76978801878"/>
  </r>
  <r>
    <x v="2"/>
    <s v="Vestdanmark"/>
    <x v="2"/>
    <x v="1"/>
    <n v="0"/>
  </r>
  <r>
    <x v="2"/>
    <s v="Vestdanmark"/>
    <x v="5"/>
    <x v="1"/>
    <n v="62908.541627737373"/>
  </r>
  <r>
    <x v="2"/>
    <s v="Vestdanmark"/>
    <x v="25"/>
    <x v="1"/>
    <n v="820432.23039507493"/>
  </r>
  <r>
    <x v="2"/>
    <s v="Vestdanmark"/>
    <x v="24"/>
    <x v="1"/>
    <n v="5517603.3385994658"/>
  </r>
  <r>
    <x v="2"/>
    <s v="Vestdanmark"/>
    <x v="28"/>
    <x v="1"/>
    <n v="208821.4090142948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936022.044118334"/>
  </r>
  <r>
    <x v="2"/>
    <s v="Vestdanmark"/>
    <x v="29"/>
    <x v="1"/>
    <n v="1478350.728251828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8444.108772506181"/>
  </r>
  <r>
    <x v="2"/>
    <s v="Vestdanmark"/>
    <x v="33"/>
    <x v="1"/>
    <n v="4709403.3246320067"/>
  </r>
  <r>
    <x v="2"/>
    <s v="Vestdanmark"/>
    <x v="0"/>
    <x v="2"/>
    <n v="5470784.8849928668"/>
  </r>
  <r>
    <x v="2"/>
    <s v="Vestdanmark"/>
    <x v="22"/>
    <x v="2"/>
    <n v="719379.45387000521"/>
  </r>
  <r>
    <x v="2"/>
    <s v="Vestdanmark"/>
    <x v="2"/>
    <x v="2"/>
    <n v="0"/>
  </r>
  <r>
    <x v="2"/>
    <s v="Vestdanmark"/>
    <x v="5"/>
    <x v="2"/>
    <n v="60017.752814183521"/>
  </r>
  <r>
    <x v="2"/>
    <s v="Vestdanmark"/>
    <x v="25"/>
    <x v="2"/>
    <n v="782731.52628497675"/>
  </r>
  <r>
    <x v="2"/>
    <s v="Vestdanmark"/>
    <x v="24"/>
    <x v="2"/>
    <n v="5264057.0697440123"/>
  </r>
  <r>
    <x v="2"/>
    <s v="Vestdanmark"/>
    <x v="28"/>
    <x v="2"/>
    <n v="199225.5961470814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1387535.016591122"/>
  </r>
  <r>
    <x v="2"/>
    <s v="Vestdanmark"/>
    <x v="29"/>
    <x v="2"/>
    <n v="1410417.1911333126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6677.515608667709"/>
  </r>
  <r>
    <x v="2"/>
    <s v="Vestdanmark"/>
    <x v="33"/>
    <x v="2"/>
    <n v="4492995.662061793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0622.1199230341"/>
  </r>
  <r>
    <x v="2"/>
    <s v="Østdanmark"/>
    <x v="22"/>
    <x v="1"/>
    <n v="92128.125779914451"/>
  </r>
  <r>
    <x v="2"/>
    <s v="Østdanmark"/>
    <x v="2"/>
    <x v="1"/>
    <n v="0"/>
  </r>
  <r>
    <x v="2"/>
    <s v="Østdanmark"/>
    <x v="5"/>
    <x v="1"/>
    <n v="7686.2399260183547"/>
  </r>
  <r>
    <x v="2"/>
    <s v="Østdanmark"/>
    <x v="25"/>
    <x v="1"/>
    <n v="100241.37903515603"/>
  </r>
  <r>
    <x v="2"/>
    <s v="Østdanmark"/>
    <x v="24"/>
    <x v="1"/>
    <n v="674147.29351119313"/>
  </r>
  <r>
    <x v="2"/>
    <s v="Østdanmark"/>
    <x v="28"/>
    <x v="1"/>
    <n v="25514.046421088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58357.2726296766"/>
  </r>
  <r>
    <x v="2"/>
    <s v="Østdanmark"/>
    <x v="29"/>
    <x v="1"/>
    <n v="180626.6382614313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697.1466214556613"/>
  </r>
  <r>
    <x v="2"/>
    <s v="Østdanmark"/>
    <x v="33"/>
    <x v="1"/>
    <n v="575400.46112831845"/>
  </r>
  <r>
    <x v="2"/>
    <s v="Østdanmark"/>
    <x v="0"/>
    <x v="2"/>
    <n v="662441.233045817"/>
  </r>
  <r>
    <x v="2"/>
    <s v="Østdanmark"/>
    <x v="22"/>
    <x v="2"/>
    <n v="87107.539862645164"/>
  </r>
  <r>
    <x v="2"/>
    <s v="Østdanmark"/>
    <x v="2"/>
    <x v="2"/>
    <n v="0"/>
  </r>
  <r>
    <x v="2"/>
    <s v="Østdanmark"/>
    <x v="5"/>
    <x v="2"/>
    <n v="7267.3729665242781"/>
  </r>
  <r>
    <x v="2"/>
    <s v="Østdanmark"/>
    <x v="25"/>
    <x v="2"/>
    <n v="94778.655771754129"/>
  </r>
  <r>
    <x v="2"/>
    <s v="Østdanmark"/>
    <x v="24"/>
    <x v="2"/>
    <n v="637409.17060556682"/>
  </r>
  <r>
    <x v="2"/>
    <s v="Østdanmark"/>
    <x v="28"/>
    <x v="2"/>
    <n v="24123.640819434757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8883.0846623355"/>
  </r>
  <r>
    <x v="2"/>
    <s v="Østdanmark"/>
    <x v="29"/>
    <x v="2"/>
    <n v="170783.2647133205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441.1723684315039"/>
  </r>
  <r>
    <x v="2"/>
    <s v="Østdanmark"/>
    <x v="33"/>
    <x v="2"/>
    <n v="544043.61513285921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2293765.6188591849"/>
  </r>
  <r>
    <x v="3"/>
    <s v="Vestdanmark"/>
    <x v="34"/>
    <x v="1"/>
    <n v="159083.12542284423"/>
  </r>
  <r>
    <x v="3"/>
    <s v="Vestdanmark"/>
    <x v="35"/>
    <x v="1"/>
    <n v="170203.15251490066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46907.9751365485"/>
  </r>
  <r>
    <x v="3"/>
    <s v="Østdanmark"/>
    <x v="34"/>
    <x v="1"/>
    <n v="64095.241196414951"/>
  </r>
  <r>
    <x v="3"/>
    <s v="Østdanmark"/>
    <x v="35"/>
    <x v="1"/>
    <n v="39668.631585604686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621642.4459828315"/>
  </r>
  <r>
    <x v="3"/>
    <s v="Vestdanmark"/>
    <x v="34"/>
    <x v="2"/>
    <n v="151027.97877060805"/>
  </r>
  <r>
    <x v="3"/>
    <s v="Vestdanmark"/>
    <x v="35"/>
    <x v="2"/>
    <n v="146472.78733520172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321534.7605934532"/>
  </r>
  <r>
    <x v="3"/>
    <s v="Østdanmark"/>
    <x v="34"/>
    <x v="2"/>
    <n v="64013.646347353635"/>
  </r>
  <r>
    <x v="3"/>
    <s v="Østdanmark"/>
    <x v="35"/>
    <x v="2"/>
    <n v="36959.622363047813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34979.9351519686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43453.07671148074"/>
  </r>
  <r>
    <x v="5"/>
    <s v="Vestdanmark"/>
    <x v="38"/>
    <x v="1"/>
    <n v="19339631.292659696"/>
  </r>
  <r>
    <x v="5"/>
    <s v="Vestdanmark"/>
    <x v="39"/>
    <x v="1"/>
    <n v="590491.77533861843"/>
  </r>
  <r>
    <x v="5"/>
    <s v="Vestdanmark"/>
    <x v="14"/>
    <x v="2"/>
    <n v="1298906.2590821604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96046.599229779691"/>
  </r>
  <r>
    <x v="5"/>
    <s v="Vestdanmark"/>
    <x v="38"/>
    <x v="2"/>
    <n v="21610883.072868608"/>
  </r>
  <r>
    <x v="5"/>
    <s v="Vestdanmark"/>
    <x v="39"/>
    <x v="2"/>
    <n v="475615.8397933960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6698.10610871855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2782.169963176602"/>
  </r>
  <r>
    <x v="5"/>
    <s v="Østdanmark"/>
    <x v="38"/>
    <x v="1"/>
    <n v="4017892.007010099"/>
  </r>
  <r>
    <x v="5"/>
    <s v="Østdanmark"/>
    <x v="39"/>
    <x v="1"/>
    <n v="335173.45257844625"/>
  </r>
  <r>
    <x v="5"/>
    <s v="Østdanmark"/>
    <x v="14"/>
    <x v="2"/>
    <n v="188207.76974735426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2952.924335184269"/>
  </r>
  <r>
    <x v="5"/>
    <s v="Østdanmark"/>
    <x v="38"/>
    <x v="2"/>
    <n v="4680862.224178886"/>
  </r>
  <r>
    <x v="5"/>
    <s v="Østdanmark"/>
    <x v="39"/>
    <x v="2"/>
    <n v="288937.9905337920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7134.76694638823"/>
  </r>
  <r>
    <x v="7"/>
    <s v="Vestdanmark"/>
    <x v="40"/>
    <x v="2"/>
    <n v="471962.43365815014"/>
  </r>
  <r>
    <x v="7"/>
    <s v="Østdanmark"/>
    <x v="40"/>
    <x v="0"/>
    <n v="192563.22613808865"/>
  </r>
  <r>
    <x v="7"/>
    <s v="Østdanmark"/>
    <x v="40"/>
    <x v="1"/>
    <n v="200297.62873879672"/>
  </r>
  <r>
    <x v="7"/>
    <s v="Østdanmark"/>
    <x v="40"/>
    <x v="2"/>
    <n v="200042.6448354801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8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8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0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8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0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1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5" ht="20.399999999999999" x14ac:dyDescent="0.75">
      <c r="A1" s="396" t="s">
        <v>269</v>
      </c>
      <c r="B1" s="396"/>
      <c r="D1" s="73" t="s">
        <v>282</v>
      </c>
    </row>
    <row r="2" spans="1:5" x14ac:dyDescent="0.55000000000000004">
      <c r="A2" s="6" t="s">
        <v>0</v>
      </c>
      <c r="B2" s="201" t="s">
        <v>337</v>
      </c>
    </row>
    <row r="4" spans="1:5" ht="30" customHeight="1" thickBot="1" x14ac:dyDescent="0.6">
      <c r="A4" s="395" t="s">
        <v>268</v>
      </c>
      <c r="B4" s="395"/>
      <c r="D4" s="73"/>
    </row>
    <row r="5" spans="1:5" ht="14.7" thickTop="1" x14ac:dyDescent="0.55000000000000004">
      <c r="A5" s="233" t="s">
        <v>85</v>
      </c>
      <c r="B5" s="232" t="s">
        <v>302</v>
      </c>
      <c r="D5" s="189" t="s">
        <v>43</v>
      </c>
      <c r="E5" s="190"/>
    </row>
    <row r="6" spans="1:5" x14ac:dyDescent="0.55000000000000004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55000000000000004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55000000000000004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55000000000000004">
      <c r="A9" s="184" t="s">
        <v>92</v>
      </c>
      <c r="B9" s="185" t="s">
        <v>258</v>
      </c>
      <c r="D9" s="191"/>
      <c r="E9" s="192"/>
    </row>
    <row r="10" spans="1:5" x14ac:dyDescent="0.55000000000000004">
      <c r="A10" s="184"/>
      <c r="B10" s="185"/>
      <c r="D10" s="193" t="s">
        <v>47</v>
      </c>
      <c r="E10" s="192"/>
    </row>
    <row r="11" spans="1:5" x14ac:dyDescent="0.55000000000000004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55000000000000004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55000000000000004">
      <c r="A13" s="184"/>
      <c r="B13" s="185"/>
      <c r="D13" s="191" t="str" cm="1">
        <f t="array" ref="D13">[1]!SkovAreal</f>
        <v>Skov</v>
      </c>
      <c r="E13" s="192"/>
    </row>
    <row r="14" spans="1:5" x14ac:dyDescent="0.55000000000000004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55000000000000004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55000000000000004">
      <c r="A16" s="184" t="s">
        <v>71</v>
      </c>
      <c r="B16" s="185"/>
      <c r="D16" s="194"/>
      <c r="E16" s="192"/>
    </row>
    <row r="17" spans="1:5" x14ac:dyDescent="0.55000000000000004">
      <c r="A17" s="184" t="s">
        <v>72</v>
      </c>
      <c r="B17" s="200" t="s">
        <v>266</v>
      </c>
      <c r="D17" s="195" t="s">
        <v>93</v>
      </c>
      <c r="E17" s="192"/>
    </row>
    <row r="18" spans="1:5" x14ac:dyDescent="0.55000000000000004">
      <c r="A18" s="184" t="s">
        <v>73</v>
      </c>
      <c r="B18" s="397" t="s">
        <v>270</v>
      </c>
      <c r="D18" s="191" cm="1">
        <f t="array" ref="D18">[1]!År1</f>
        <v>2019</v>
      </c>
      <c r="E18" s="192"/>
    </row>
    <row r="19" spans="1:5" x14ac:dyDescent="0.55000000000000004">
      <c r="A19" s="184" t="s">
        <v>254</v>
      </c>
      <c r="B19" s="397"/>
      <c r="D19" s="191" cm="1">
        <f t="array" ref="D19">[1]!År2</f>
        <v>2030</v>
      </c>
      <c r="E19" s="192"/>
    </row>
    <row r="20" spans="1:5" ht="14.7" thickBot="1" x14ac:dyDescent="0.6">
      <c r="A20" s="184" t="s">
        <v>255</v>
      </c>
      <c r="B20" s="185"/>
      <c r="D20" s="196" cm="1">
        <f t="array" ref="D20">[1]!År3</f>
        <v>2050</v>
      </c>
      <c r="E20" s="197"/>
    </row>
    <row r="21" spans="1:5" ht="14.7" thickTop="1" x14ac:dyDescent="0.55000000000000004">
      <c r="A21" s="184" t="s">
        <v>74</v>
      </c>
      <c r="B21" s="185"/>
    </row>
    <row r="22" spans="1:5" x14ac:dyDescent="0.55000000000000004">
      <c r="A22" s="184"/>
      <c r="B22" s="185"/>
    </row>
    <row r="23" spans="1:5" x14ac:dyDescent="0.55000000000000004">
      <c r="A23" s="234" t="s">
        <v>303</v>
      </c>
      <c r="B23" s="185"/>
    </row>
    <row r="24" spans="1:5" ht="14.7" thickBot="1" x14ac:dyDescent="0.6">
      <c r="A24" s="186" t="s">
        <v>1</v>
      </c>
      <c r="B24" s="187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8" style="1" bestFit="1" customWidth="1"/>
    <col min="18" max="18" width="27.26171875" style="1" bestFit="1" customWidth="1"/>
    <col min="19" max="19" width="9.15625" style="1"/>
    <col min="20" max="20" width="16.578125" style="1" bestFit="1" customWidth="1"/>
    <col min="21" max="16384" width="9.15625" style="1"/>
  </cols>
  <sheetData>
    <row r="1" spans="1:18" ht="15" customHeight="1" x14ac:dyDescent="0.6">
      <c r="A1" s="231" t="s">
        <v>296</v>
      </c>
      <c r="B1" s="230"/>
      <c r="C1" s="398" t="s">
        <v>295</v>
      </c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</row>
    <row r="2" spans="1:18" ht="15" customHeight="1" x14ac:dyDescent="0.55000000000000004">
      <c r="A2" s="230"/>
      <c r="B2" s="230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</row>
    <row r="3" spans="1:18" x14ac:dyDescent="0.55000000000000004">
      <c r="A3" s="73"/>
    </row>
    <row r="34" spans="16:20" ht="15.6" x14ac:dyDescent="0.6">
      <c r="P34" s="318" t="s">
        <v>93</v>
      </c>
      <c r="Q34" s="318" t="s">
        <v>333</v>
      </c>
      <c r="R34" s="318" t="s">
        <v>334</v>
      </c>
    </row>
    <row r="35" spans="16:20" ht="15.6" x14ac:dyDescent="0.6">
      <c r="P35" s="318">
        <v>1990</v>
      </c>
      <c r="Q35" s="389">
        <v>20000000</v>
      </c>
      <c r="R35" s="319"/>
    </row>
    <row r="36" spans="16:20" ht="15.6" x14ac:dyDescent="0.6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6" x14ac:dyDescent="0.6">
      <c r="P37" s="318">
        <f>År2</f>
        <v>2030</v>
      </c>
      <c r="Q37" s="390">
        <f>GETPIVOTDATA("Total",'CO2-pivot'!$A$1,"År",P37,"Sted2","CO2 - atmosfære")</f>
        <v>11635959.929105373</v>
      </c>
      <c r="R37" s="319">
        <f t="shared" ref="R37:R38" si="0">1-Q37/$Q$35</f>
        <v>0.41820200354473136</v>
      </c>
      <c r="T37" s="387"/>
    </row>
    <row r="38" spans="16:20" ht="15.6" x14ac:dyDescent="0.6">
      <c r="P38" s="318">
        <f>År3</f>
        <v>2050</v>
      </c>
      <c r="Q38" s="390">
        <f>GETPIVOTDATA("Total",'CO2-pivot'!$A$1,"År",P38,"Sted2","CO2 - atmosfære")</f>
        <v>5982305.027657412</v>
      </c>
      <c r="R38" s="319">
        <f t="shared" si="0"/>
        <v>0.70088474861712946</v>
      </c>
    </row>
    <row r="123" spans="3:3" x14ac:dyDescent="0.55000000000000004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x14ac:dyDescent="0.55000000000000004">
      <c r="A1" t="s">
        <v>335</v>
      </c>
    </row>
    <row r="2" spans="1:1" x14ac:dyDescent="0.55000000000000004">
      <c r="A2" s="101">
        <v>2019</v>
      </c>
    </row>
    <row r="3" spans="1:1" x14ac:dyDescent="0.55000000000000004">
      <c r="A3" s="348">
        <v>2030</v>
      </c>
    </row>
    <row r="4" spans="1:1" x14ac:dyDescent="0.55000000000000004">
      <c r="A4" s="341">
        <v>2050</v>
      </c>
    </row>
    <row r="5" spans="1:1" x14ac:dyDescent="0.55000000000000004">
      <c r="A5" s="331" t="s">
        <v>15</v>
      </c>
    </row>
    <row r="6" spans="1:1" x14ac:dyDescent="0.55000000000000004">
      <c r="A6" s="349" t="s">
        <v>49</v>
      </c>
    </row>
    <row r="7" spans="1:1" x14ac:dyDescent="0.55000000000000004">
      <c r="A7" s="347" t="s">
        <v>182</v>
      </c>
    </row>
    <row r="8" spans="1:1" x14ac:dyDescent="0.55000000000000004">
      <c r="A8" s="342" t="s">
        <v>32</v>
      </c>
    </row>
    <row r="9" spans="1:1" x14ac:dyDescent="0.55000000000000004">
      <c r="A9" s="329" t="s">
        <v>102</v>
      </c>
    </row>
    <row r="10" spans="1:1" x14ac:dyDescent="0.55000000000000004">
      <c r="A10" s="350" t="s">
        <v>109</v>
      </c>
    </row>
    <row r="11" spans="1:1" x14ac:dyDescent="0.55000000000000004">
      <c r="A11" s="343" t="s">
        <v>261</v>
      </c>
    </row>
    <row r="12" spans="1:1" x14ac:dyDescent="0.55000000000000004">
      <c r="A12" s="351" t="s">
        <v>110</v>
      </c>
    </row>
    <row r="13" spans="1:1" x14ac:dyDescent="0.55000000000000004">
      <c r="A13" s="329" t="s">
        <v>230</v>
      </c>
    </row>
    <row r="14" spans="1:1" x14ac:dyDescent="0.55000000000000004">
      <c r="A14" s="352" t="s">
        <v>208</v>
      </c>
    </row>
    <row r="15" spans="1:1" x14ac:dyDescent="0.55000000000000004">
      <c r="A15" s="334" t="s">
        <v>111</v>
      </c>
    </row>
    <row r="16" spans="1:1" x14ac:dyDescent="0.55000000000000004">
      <c r="A16" s="353" t="s">
        <v>101</v>
      </c>
    </row>
    <row r="17" spans="1:1" x14ac:dyDescent="0.55000000000000004">
      <c r="A17" s="354" t="s">
        <v>204</v>
      </c>
    </row>
    <row r="18" spans="1:1" x14ac:dyDescent="0.55000000000000004">
      <c r="A18" s="355" t="s">
        <v>19</v>
      </c>
    </row>
    <row r="19" spans="1:1" x14ac:dyDescent="0.55000000000000004">
      <c r="A19" s="97" t="s">
        <v>137</v>
      </c>
    </row>
    <row r="20" spans="1:1" x14ac:dyDescent="0.55000000000000004">
      <c r="A20" s="371" t="s">
        <v>96</v>
      </c>
    </row>
    <row r="21" spans="1:1" x14ac:dyDescent="0.55000000000000004">
      <c r="A21" s="385" t="s">
        <v>113</v>
      </c>
    </row>
    <row r="22" spans="1:1" x14ac:dyDescent="0.55000000000000004">
      <c r="A22" s="386" t="s">
        <v>54</v>
      </c>
    </row>
    <row r="23" spans="1:1" x14ac:dyDescent="0.55000000000000004">
      <c r="A23" s="328" t="s">
        <v>158</v>
      </c>
    </row>
    <row r="24" spans="1:1" x14ac:dyDescent="0.55000000000000004">
      <c r="A24" s="344" t="s">
        <v>51</v>
      </c>
    </row>
    <row r="25" spans="1:1" x14ac:dyDescent="0.55000000000000004">
      <c r="A25" s="344" t="s">
        <v>224</v>
      </c>
    </row>
    <row r="26" spans="1:1" x14ac:dyDescent="0.55000000000000004">
      <c r="A26" s="332" t="s">
        <v>203</v>
      </c>
    </row>
    <row r="27" spans="1:1" x14ac:dyDescent="0.55000000000000004">
      <c r="A27" s="383" t="s">
        <v>6</v>
      </c>
    </row>
    <row r="28" spans="1:1" x14ac:dyDescent="0.55000000000000004">
      <c r="A28" s="327" t="s">
        <v>67</v>
      </c>
    </row>
    <row r="29" spans="1:1" x14ac:dyDescent="0.55000000000000004">
      <c r="A29" s="327" t="s">
        <v>227</v>
      </c>
    </row>
    <row r="30" spans="1:1" x14ac:dyDescent="0.55000000000000004">
      <c r="A30" s="333" t="s">
        <v>200</v>
      </c>
    </row>
    <row r="31" spans="1:1" x14ac:dyDescent="0.55000000000000004">
      <c r="A31" s="326" t="s">
        <v>226</v>
      </c>
    </row>
    <row r="32" spans="1:1" x14ac:dyDescent="0.55000000000000004">
      <c r="A32" s="384" t="s">
        <v>162</v>
      </c>
    </row>
    <row r="33" spans="1:1" x14ac:dyDescent="0.55000000000000004">
      <c r="A33" s="335" t="s">
        <v>193</v>
      </c>
    </row>
    <row r="34" spans="1:1" x14ac:dyDescent="0.55000000000000004">
      <c r="A34" s="330" t="s">
        <v>222</v>
      </c>
    </row>
    <row r="35" spans="1:1" x14ac:dyDescent="0.55000000000000004">
      <c r="A35" s="339" t="s">
        <v>11</v>
      </c>
    </row>
    <row r="36" spans="1:1" x14ac:dyDescent="0.55000000000000004">
      <c r="A36" s="370" t="s">
        <v>159</v>
      </c>
    </row>
    <row r="37" spans="1:1" x14ac:dyDescent="0.55000000000000004">
      <c r="A37" s="324" t="s">
        <v>103</v>
      </c>
    </row>
    <row r="38" spans="1:1" x14ac:dyDescent="0.55000000000000004">
      <c r="A38" s="379" t="s">
        <v>56</v>
      </c>
    </row>
    <row r="39" spans="1:1" x14ac:dyDescent="0.55000000000000004">
      <c r="A39" s="380" t="s">
        <v>12</v>
      </c>
    </row>
    <row r="40" spans="1:1" x14ac:dyDescent="0.55000000000000004">
      <c r="A40" s="381" t="s">
        <v>48</v>
      </c>
    </row>
    <row r="41" spans="1:1" x14ac:dyDescent="0.55000000000000004">
      <c r="A41" s="358" t="s">
        <v>115</v>
      </c>
    </row>
    <row r="42" spans="1:1" x14ac:dyDescent="0.55000000000000004">
      <c r="A42" s="356" t="s">
        <v>136</v>
      </c>
    </row>
    <row r="43" spans="1:1" x14ac:dyDescent="0.55000000000000004">
      <c r="A43" s="341" t="s">
        <v>9</v>
      </c>
    </row>
    <row r="44" spans="1:1" x14ac:dyDescent="0.55000000000000004">
      <c r="A44" s="382" t="s">
        <v>108</v>
      </c>
    </row>
    <row r="45" spans="1:1" x14ac:dyDescent="0.55000000000000004">
      <c r="A45" s="378" t="s">
        <v>53</v>
      </c>
    </row>
    <row r="46" spans="1:1" x14ac:dyDescent="0.55000000000000004">
      <c r="A46" s="341" t="s">
        <v>194</v>
      </c>
    </row>
    <row r="47" spans="1:1" x14ac:dyDescent="0.55000000000000004">
      <c r="A47" s="377" t="s">
        <v>116</v>
      </c>
    </row>
    <row r="48" spans="1:1" x14ac:dyDescent="0.55000000000000004">
      <c r="A48" s="376" t="s">
        <v>106</v>
      </c>
    </row>
    <row r="49" spans="1:1" x14ac:dyDescent="0.55000000000000004">
      <c r="A49" s="340" t="s">
        <v>33</v>
      </c>
    </row>
    <row r="50" spans="1:1" x14ac:dyDescent="0.55000000000000004">
      <c r="A50" s="372" t="s">
        <v>14</v>
      </c>
    </row>
    <row r="51" spans="1:1" x14ac:dyDescent="0.55000000000000004">
      <c r="A51" s="373" t="s">
        <v>55</v>
      </c>
    </row>
    <row r="52" spans="1:1" x14ac:dyDescent="0.55000000000000004">
      <c r="A52" s="374" t="s">
        <v>38</v>
      </c>
    </row>
    <row r="53" spans="1:1" x14ac:dyDescent="0.55000000000000004">
      <c r="A53" s="375" t="s">
        <v>95</v>
      </c>
    </row>
    <row r="54" spans="1:1" x14ac:dyDescent="0.55000000000000004">
      <c r="A54" s="323" t="s">
        <v>306</v>
      </c>
    </row>
    <row r="55" spans="1:1" x14ac:dyDescent="0.55000000000000004">
      <c r="A55" s="358" t="s">
        <v>307</v>
      </c>
    </row>
    <row r="56" spans="1:1" x14ac:dyDescent="0.55000000000000004">
      <c r="A56" s="338" t="s">
        <v>310</v>
      </c>
    </row>
    <row r="57" spans="1:1" x14ac:dyDescent="0.55000000000000004">
      <c r="A57" s="323" t="s">
        <v>312</v>
      </c>
    </row>
    <row r="58" spans="1:1" x14ac:dyDescent="0.55000000000000004">
      <c r="A58" s="359" t="s">
        <v>117</v>
      </c>
    </row>
    <row r="59" spans="1:1" x14ac:dyDescent="0.55000000000000004">
      <c r="A59" s="361" t="s">
        <v>50</v>
      </c>
    </row>
    <row r="60" spans="1:1" x14ac:dyDescent="0.55000000000000004">
      <c r="A60" s="362" t="s">
        <v>238</v>
      </c>
    </row>
    <row r="61" spans="1:1" x14ac:dyDescent="0.55000000000000004">
      <c r="A61" s="363" t="s">
        <v>231</v>
      </c>
    </row>
    <row r="62" spans="1:1" x14ac:dyDescent="0.55000000000000004">
      <c r="A62" s="364" t="s">
        <v>52</v>
      </c>
    </row>
    <row r="63" spans="1:1" x14ac:dyDescent="0.55000000000000004">
      <c r="A63" s="336" t="s">
        <v>10</v>
      </c>
    </row>
    <row r="64" spans="1:1" x14ac:dyDescent="0.55000000000000004">
      <c r="A64" s="100" t="s">
        <v>176</v>
      </c>
    </row>
    <row r="65" spans="1:8" x14ac:dyDescent="0.55000000000000004">
      <c r="A65" s="346" t="s">
        <v>177</v>
      </c>
    </row>
    <row r="66" spans="1:8" x14ac:dyDescent="0.55000000000000004">
      <c r="A66" s="341" t="s">
        <v>178</v>
      </c>
    </row>
    <row r="67" spans="1:8" x14ac:dyDescent="0.55000000000000004">
      <c r="A67" s="336" t="s">
        <v>179</v>
      </c>
    </row>
    <row r="68" spans="1:8" x14ac:dyDescent="0.55000000000000004">
      <c r="A68" s="340" t="s">
        <v>180</v>
      </c>
    </row>
    <row r="69" spans="1:8" x14ac:dyDescent="0.55000000000000004">
      <c r="A69" s="365" t="s">
        <v>121</v>
      </c>
    </row>
    <row r="70" spans="1:8" x14ac:dyDescent="0.55000000000000004">
      <c r="A70" s="366" t="s">
        <v>107</v>
      </c>
    </row>
    <row r="71" spans="1:8" x14ac:dyDescent="0.55000000000000004">
      <c r="A71" s="367" t="s">
        <v>140</v>
      </c>
    </row>
    <row r="72" spans="1:8" x14ac:dyDescent="0.55000000000000004">
      <c r="A72" s="357" t="s">
        <v>135</v>
      </c>
    </row>
    <row r="73" spans="1:8" x14ac:dyDescent="0.55000000000000004">
      <c r="A73" s="368" t="s">
        <v>13</v>
      </c>
    </row>
    <row r="74" spans="1:8" x14ac:dyDescent="0.55000000000000004">
      <c r="A74" s="360" t="s">
        <v>99</v>
      </c>
      <c r="H74" s="345" t="s">
        <v>104</v>
      </c>
    </row>
    <row r="75" spans="1:8" x14ac:dyDescent="0.55000000000000004">
      <c r="A75" s="369" t="s">
        <v>119</v>
      </c>
    </row>
    <row r="76" spans="1:8" x14ac:dyDescent="0.55000000000000004">
      <c r="A76" s="325" t="s">
        <v>118</v>
      </c>
    </row>
    <row r="77" spans="1:8" x14ac:dyDescent="0.55000000000000004">
      <c r="A77" s="337" t="s">
        <v>332</v>
      </c>
    </row>
    <row r="78" spans="1:8" x14ac:dyDescent="0.55000000000000004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4" sqref="C4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11.41796875" style="1" customWidth="1"/>
    <col min="4" max="4" width="11" style="1" bestFit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9" width="9.15625" style="1"/>
    <col min="20" max="20" width="15" style="1" bestFit="1" customWidth="1"/>
    <col min="21" max="16384" width="9.15625" style="1"/>
  </cols>
  <sheetData>
    <row r="1" spans="1:22" x14ac:dyDescent="0.55000000000000004">
      <c r="A1" s="207" t="s">
        <v>271</v>
      </c>
      <c r="B1" s="73" t="s">
        <v>297</v>
      </c>
    </row>
    <row r="2" spans="1:22" ht="43" customHeight="1" x14ac:dyDescent="0.55000000000000004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55000000000000004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55000000000000004">
      <c r="A4" s="2" t="s">
        <v>265</v>
      </c>
      <c r="B4" s="2"/>
      <c r="C4" s="9">
        <f t="shared" ref="C3:C4" si="0"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55000000000000004">
      <c r="A5" s="2" t="s">
        <v>36</v>
      </c>
      <c r="B5" s="198"/>
      <c r="C5" s="9">
        <f>D5/($D$2-2023)*($C$2-2023)</f>
        <v>64814.814814814818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55000000000000004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2335121.1851851852</v>
      </c>
      <c r="N6" s="17">
        <f t="shared" si="3"/>
        <v>94858.444444444453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78734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0.57949112786417423</v>
      </c>
      <c r="V6" s="14">
        <f t="shared" si="2"/>
        <v>0.51910418559150295</v>
      </c>
    </row>
    <row r="7" spans="1:22" x14ac:dyDescent="0.55000000000000004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627224.81481481483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0.14609387063909227</v>
      </c>
      <c r="V7" s="14">
        <f t="shared" si="2"/>
        <v>0.18922740083385742</v>
      </c>
    </row>
    <row r="8" spans="1:22" x14ac:dyDescent="0.55000000000000004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67141.555555555562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83266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0.12380125449559219</v>
      </c>
      <c r="V8" s="14">
        <f t="shared" si="2"/>
        <v>0.14105466657349824</v>
      </c>
    </row>
    <row r="9" spans="1:22" ht="14.7" thickBot="1" x14ac:dyDescent="0.6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55000000000000004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55000000000000004">
      <c r="A11" s="2"/>
      <c r="B11" s="2"/>
      <c r="C11" s="9"/>
      <c r="D11" s="9"/>
      <c r="E11" s="9"/>
      <c r="F11" s="104"/>
      <c r="G11" s="104"/>
    </row>
    <row r="12" spans="1:22" x14ac:dyDescent="0.55000000000000004">
      <c r="A12" s="2"/>
      <c r="B12" s="2"/>
      <c r="C12" s="9"/>
      <c r="D12" s="9"/>
      <c r="E12" s="9"/>
      <c r="F12" s="104"/>
      <c r="G12" s="104"/>
    </row>
    <row r="13" spans="1:22" x14ac:dyDescent="0.55000000000000004">
      <c r="A13" s="2"/>
      <c r="B13" s="2"/>
      <c r="C13" s="9"/>
      <c r="D13" s="9"/>
      <c r="E13" s="9"/>
      <c r="F13" s="104"/>
      <c r="G13" s="104"/>
    </row>
    <row r="14" spans="1:22" x14ac:dyDescent="0.55000000000000004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55000000000000004">
      <c r="A15" s="2"/>
      <c r="B15" s="2"/>
      <c r="C15" s="9"/>
      <c r="D15" s="9"/>
      <c r="E15" s="9"/>
      <c r="F15" s="104"/>
      <c r="G15" s="104"/>
    </row>
    <row r="16" spans="1:22" x14ac:dyDescent="0.55000000000000004">
      <c r="A16" s="2"/>
      <c r="B16" s="2"/>
      <c r="C16" s="9"/>
      <c r="D16" s="9"/>
      <c r="E16" s="9"/>
      <c r="F16" s="104"/>
      <c r="G16" s="104"/>
    </row>
    <row r="17" spans="1:18" x14ac:dyDescent="0.55000000000000004">
      <c r="A17" s="2"/>
      <c r="B17" s="2"/>
      <c r="C17" s="9"/>
      <c r="D17" s="9"/>
      <c r="E17" s="9"/>
      <c r="F17" s="104"/>
      <c r="G17" s="104"/>
    </row>
    <row r="18" spans="1:18" x14ac:dyDescent="0.55000000000000004">
      <c r="D18" s="14"/>
      <c r="E18" s="14"/>
      <c r="F18" s="14"/>
      <c r="G18" s="14"/>
    </row>
    <row r="19" spans="1:18" x14ac:dyDescent="0.55000000000000004">
      <c r="D19" s="14"/>
      <c r="E19" s="14"/>
      <c r="F19" s="14"/>
      <c r="G19" s="14"/>
    </row>
    <row r="20" spans="1:18" x14ac:dyDescent="0.55000000000000004">
      <c r="D20" s="14"/>
      <c r="E20" s="14"/>
      <c r="F20" s="14"/>
      <c r="G20" s="14"/>
    </row>
    <row r="21" spans="1:18" hidden="1" x14ac:dyDescent="0.55000000000000004">
      <c r="D21" s="14"/>
      <c r="E21" s="14"/>
      <c r="F21" s="14"/>
      <c r="G21" s="14"/>
    </row>
    <row r="22" spans="1:18" hidden="1" x14ac:dyDescent="0.55000000000000004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55000000000000004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55000000000000004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55000000000000004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1797607.2776597517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55000000000000004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491333.38307711121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4.7" hidden="1" thickBot="1" x14ac:dyDescent="0.6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55000000000000004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55000000000000004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55000000000000004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55000000000000004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55000000000000004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537513.90752543334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55000000000000004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135891.43173770356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4.7" hidden="1" thickBot="1" x14ac:dyDescent="0.6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55000000000000004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5" zoomScale="90" zoomScaleNormal="90" workbookViewId="0">
      <selection activeCell="D46" sqref="D46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06" t="s">
        <v>271</v>
      </c>
    </row>
    <row r="2" spans="1:9" ht="15.6" x14ac:dyDescent="0.6">
      <c r="A2" s="203" t="s">
        <v>66</v>
      </c>
    </row>
    <row r="3" spans="1:9" x14ac:dyDescent="0.55000000000000004">
      <c r="B3" s="80"/>
      <c r="C3" s="81"/>
      <c r="D3" s="81"/>
      <c r="E3" s="81"/>
      <c r="G3" s="6"/>
    </row>
    <row r="4" spans="1:9" x14ac:dyDescent="0.55000000000000004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I7" s="13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</row>
    <row r="9" spans="1:9" x14ac:dyDescent="0.55000000000000004">
      <c r="B9" s="79"/>
      <c r="C9" s="12"/>
      <c r="D9" s="12"/>
      <c r="E9" s="78"/>
    </row>
    <row r="10" spans="1:9" x14ac:dyDescent="0.55000000000000004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55000000000000004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</row>
    <row r="12" spans="1:9" x14ac:dyDescent="0.55000000000000004">
      <c r="B12" s="2" t="s">
        <v>3</v>
      </c>
      <c r="C12" s="7">
        <v>1</v>
      </c>
      <c r="D12" s="3">
        <f t="shared" ref="D12:D13" si="1">C12-(C12-E12)/($E$10-$C$10)*($D$10-$C$10)</f>
        <v>1</v>
      </c>
      <c r="E12" s="3">
        <v>1</v>
      </c>
    </row>
    <row r="13" spans="1:9" x14ac:dyDescent="0.55000000000000004">
      <c r="B13" s="2" t="s">
        <v>4</v>
      </c>
      <c r="C13" s="7">
        <v>1</v>
      </c>
      <c r="D13" s="3">
        <f t="shared" si="1"/>
        <v>1</v>
      </c>
      <c r="E13" s="3">
        <v>1</v>
      </c>
      <c r="H13" s="13"/>
    </row>
    <row r="14" spans="1:9" x14ac:dyDescent="0.55000000000000004">
      <c r="C14" s="289"/>
      <c r="D14" s="12"/>
      <c r="E14" s="12"/>
      <c r="H14" s="13"/>
      <c r="I14" s="13"/>
    </row>
    <row r="15" spans="1:9" x14ac:dyDescent="0.55000000000000004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55000000000000004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55000000000000004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55000000000000004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55000000000000004">
      <c r="B20" s="401" t="s">
        <v>323</v>
      </c>
      <c r="C20" s="24"/>
      <c r="D20" s="24"/>
      <c r="E20" s="24"/>
    </row>
    <row r="21" spans="2:8" ht="29.5" customHeight="1" x14ac:dyDescent="0.55000000000000004">
      <c r="B21" s="401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55000000000000004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55000000000000004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55000000000000004">
      <c r="B26" s="305" t="str">
        <f>CONCATENATE("Antal hektar som 1% svarer til, ", Organ6)</f>
        <v>Antal hektar som 1% svarer til, OC6</v>
      </c>
      <c r="C26" s="306"/>
      <c r="D26" s="10">
        <f>1%*Arealanvendelse!N6</f>
        <v>948.58444444444456</v>
      </c>
      <c r="E26" s="10">
        <f>1%*Arealanvendelse!Q6</f>
        <v>787.34</v>
      </c>
    </row>
    <row r="27" spans="2:8" ht="14.7" thickBot="1" x14ac:dyDescent="0.6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4.7" thickBot="1" x14ac:dyDescent="0.6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55000000000000004">
      <c r="C29" s="98"/>
      <c r="D29" s="98"/>
      <c r="E29" s="98"/>
      <c r="F29" s="98"/>
      <c r="G29" s="98"/>
      <c r="H29" s="98"/>
    </row>
    <row r="30" spans="2:8" x14ac:dyDescent="0.55000000000000004">
      <c r="B30" s="399" t="s">
        <v>322</v>
      </c>
      <c r="C30" s="24"/>
      <c r="D30" s="24"/>
      <c r="E30" s="24"/>
    </row>
    <row r="31" spans="2:8" x14ac:dyDescent="0.55000000000000004">
      <c r="B31" s="400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55000000000000004">
      <c r="B32" s="2" t="str">
        <f>[1]Afgrødefordeling!$C2</f>
        <v>Korn</v>
      </c>
      <c r="C32" s="301">
        <f>'[1]Afgrødefordeling - jordtype'!$Y4</f>
        <v>0.53753334285647836</v>
      </c>
      <c r="D32" s="87">
        <f>C32</f>
        <v>0.53753334285647836</v>
      </c>
      <c r="E32" s="87">
        <f>D32</f>
        <v>0.53753334285647836</v>
      </c>
    </row>
    <row r="33" spans="2:5" x14ac:dyDescent="0.55000000000000004">
      <c r="B33" s="2" t="str">
        <f>[1]Afgrødefordeling!$C3</f>
        <v>Bælgsæd</v>
      </c>
      <c r="C33" s="301">
        <f>'[1]Afgrødefordeling - jordtype'!$Y5</f>
        <v>3.0976273829928767E-2</v>
      </c>
      <c r="D33" s="87">
        <f t="shared" ref="D33:E33" si="2">C33</f>
        <v>3.0976273829928767E-2</v>
      </c>
      <c r="E33" s="87">
        <f t="shared" si="2"/>
        <v>3.0976273829928767E-2</v>
      </c>
    </row>
    <row r="34" spans="2:5" x14ac:dyDescent="0.55000000000000004">
      <c r="B34" s="2" t="str">
        <f>[1]Afgrødefordeling!$C4</f>
        <v>Raps</v>
      </c>
      <c r="C34" s="301">
        <f>'[1]Afgrødefordeling - jordtype'!$Y6</f>
        <v>6.5329688585482673E-2</v>
      </c>
      <c r="D34" s="87">
        <f t="shared" ref="D34:E34" si="3">C34</f>
        <v>6.5329688585482673E-2</v>
      </c>
      <c r="E34" s="87">
        <f t="shared" si="3"/>
        <v>6.5329688585482673E-2</v>
      </c>
    </row>
    <row r="35" spans="2:5" x14ac:dyDescent="0.55000000000000004">
      <c r="B35" s="2" t="str">
        <f>[1]Afgrødefordeling!$C5</f>
        <v>Græs</v>
      </c>
      <c r="C35" s="301">
        <f>'[1]Afgrødefordeling - jordtype'!$Y7</f>
        <v>0.10115967422642448</v>
      </c>
      <c r="D35" s="87">
        <f t="shared" ref="D35:E35" si="4">C35</f>
        <v>0.10115967422642448</v>
      </c>
      <c r="E35" s="87">
        <f t="shared" si="4"/>
        <v>0.10115967422642448</v>
      </c>
    </row>
    <row r="36" spans="2:5" x14ac:dyDescent="0.55000000000000004">
      <c r="B36" s="2" t="str">
        <f>[1]Afgrødefordeling!$C6</f>
        <v>Grøntsager</v>
      </c>
      <c r="C36" s="301">
        <f>'[1]Afgrødefordeling - jordtype'!$Y8</f>
        <v>5.2060865589185204E-3</v>
      </c>
      <c r="D36" s="87">
        <f t="shared" ref="D36:E36" si="5">C36</f>
        <v>5.2060865589185204E-3</v>
      </c>
      <c r="E36" s="87">
        <f t="shared" si="5"/>
        <v>5.2060865589185204E-3</v>
      </c>
    </row>
    <row r="37" spans="2:5" x14ac:dyDescent="0.55000000000000004">
      <c r="B37" s="2" t="str">
        <f>[1]Afgrødefordeling!$C7</f>
        <v>Kartofler</v>
      </c>
      <c r="C37" s="301">
        <f>'[1]Afgrødefordeling - jordtype'!$Y9</f>
        <v>2.189728375215861E-2</v>
      </c>
      <c r="D37" s="87">
        <f t="shared" ref="D37:E37" si="6">C37</f>
        <v>2.189728375215861E-2</v>
      </c>
      <c r="E37" s="87">
        <f t="shared" si="6"/>
        <v>2.189728375215861E-2</v>
      </c>
    </row>
    <row r="38" spans="2:5" x14ac:dyDescent="0.55000000000000004">
      <c r="B38" s="2" t="str">
        <f>[1]Afgrødefordeling!$C8</f>
        <v>Roer</v>
      </c>
      <c r="C38" s="301">
        <f>'[1]Afgrødefordeling - jordtype'!$Y10</f>
        <v>1.3466912404096722E-2</v>
      </c>
      <c r="D38" s="87">
        <f t="shared" ref="D38:E38" si="7">C38</f>
        <v>1.3466912404096722E-2</v>
      </c>
      <c r="E38" s="87">
        <f t="shared" si="7"/>
        <v>1.3466912404096722E-2</v>
      </c>
    </row>
    <row r="39" spans="2:5" x14ac:dyDescent="0.55000000000000004">
      <c r="B39" s="2" t="str">
        <f>[1]Afgrødefordeling!$C9</f>
        <v>Majs</v>
      </c>
      <c r="C39" s="301">
        <f>'[1]Afgrødefordeling - jordtype'!$Y11</f>
        <v>7.2759287296729286E-2</v>
      </c>
      <c r="D39" s="87">
        <f t="shared" ref="D39:E39" si="8">C39</f>
        <v>7.2759287296729286E-2</v>
      </c>
      <c r="E39" s="87">
        <f t="shared" si="8"/>
        <v>7.2759287296729286E-2</v>
      </c>
    </row>
    <row r="40" spans="2:5" x14ac:dyDescent="0.55000000000000004">
      <c r="B40" s="2" t="str">
        <f>[1]Afgrødefordeling!$C10</f>
        <v>Frugt</v>
      </c>
      <c r="C40" s="301">
        <f>'[1]Afgrødefordeling - jordtype'!$Y12</f>
        <v>2.0301913757470973E-3</v>
      </c>
      <c r="D40" s="87">
        <f t="shared" ref="D40:E40" si="9">C40</f>
        <v>2.0301913757470973E-3</v>
      </c>
      <c r="E40" s="87">
        <f t="shared" si="9"/>
        <v>2.0301913757470973E-3</v>
      </c>
    </row>
    <row r="41" spans="2:5" x14ac:dyDescent="0.55000000000000004">
      <c r="B41" s="2" t="str">
        <f>[1]Afgrødefordeling!$C11</f>
        <v>Øvrige</v>
      </c>
      <c r="C41" s="301">
        <f>'[1]Afgrødefordeling - jordtype'!$Y13</f>
        <v>2.7968670218625629E-2</v>
      </c>
      <c r="D41" s="87">
        <f t="shared" ref="D41:E41" si="10">C41</f>
        <v>2.7968670218625629E-2</v>
      </c>
      <c r="E41" s="87">
        <f t="shared" si="10"/>
        <v>2.7968670218625629E-2</v>
      </c>
    </row>
    <row r="42" spans="2:5" x14ac:dyDescent="0.55000000000000004">
      <c r="B42" s="2" t="str">
        <f>[1]Afgrødefordeling!$C12</f>
        <v>Frø</v>
      </c>
      <c r="C42" s="301">
        <f>'[1]Afgrødefordeling - jordtype'!$Y14</f>
        <v>4.0395307311065158E-2</v>
      </c>
      <c r="D42" s="87">
        <f t="shared" ref="D42:E42" si="11">C42</f>
        <v>4.0395307311065158E-2</v>
      </c>
      <c r="E42" s="87">
        <f t="shared" si="11"/>
        <v>4.0395307311065158E-2</v>
      </c>
    </row>
    <row r="43" spans="2:5" x14ac:dyDescent="0.55000000000000004">
      <c r="B43" s="2" t="str">
        <f>[1]Afgrødefordeling!$C13</f>
        <v>Juletræer</v>
      </c>
      <c r="C43" s="301">
        <f>'[1]Afgrødefordeling - jordtype'!$Y15</f>
        <v>7.5869349743828522E-3</v>
      </c>
      <c r="D43" s="87">
        <f t="shared" ref="D43:E43" si="12">C43</f>
        <v>7.5869349743828522E-3</v>
      </c>
      <c r="E43" s="87">
        <f t="shared" si="12"/>
        <v>7.5869349743828522E-3</v>
      </c>
    </row>
    <row r="44" spans="2:5" x14ac:dyDescent="0.55000000000000004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f t="shared" ref="D44:E44" si="13">C44</f>
        <v>2.9175094799916215E-3</v>
      </c>
      <c r="E44" s="87">
        <f t="shared" si="13"/>
        <v>2.9175094799916215E-3</v>
      </c>
    </row>
    <row r="45" spans="2:5" x14ac:dyDescent="0.55000000000000004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f t="shared" ref="D45:E45" si="14">C45</f>
        <v>7.0772837129970206E-2</v>
      </c>
      <c r="E45" s="87">
        <f t="shared" si="14"/>
        <v>7.0772837129970206E-2</v>
      </c>
    </row>
    <row r="46" spans="2:5" x14ac:dyDescent="0.55000000000000004">
      <c r="B46" s="24" t="s">
        <v>288</v>
      </c>
      <c r="C46" s="84"/>
      <c r="D46" s="86">
        <f>SUM(D32:D45)</f>
        <v>0.99999999999999989</v>
      </c>
      <c r="E46" s="86">
        <f>SUM(E32:E45)</f>
        <v>0.99999999999999989</v>
      </c>
    </row>
    <row r="47" spans="2:5" x14ac:dyDescent="0.55000000000000004">
      <c r="B47" s="24" t="s">
        <v>242</v>
      </c>
      <c r="C47" s="84"/>
      <c r="D47" s="108" cm="1">
        <f t="array" ref="D47">SUMPRODUCT((D32:D45&gt;$C$32:$C$45)*(D32:D45-$C$32:$C$45))*Arealanvendelse!M6</f>
        <v>0</v>
      </c>
      <c r="E47" s="108" cm="1">
        <f t="array" ref="E47">SUMPRODUCT((E32:E45&gt;$C$32:$C$45)*(E32:E45-$C$32:$C$45))*Arealanvendelse!P6</f>
        <v>0</v>
      </c>
    </row>
    <row r="48" spans="2:5" x14ac:dyDescent="0.55000000000000004">
      <c r="B48" s="24" t="s">
        <v>241</v>
      </c>
      <c r="C48" s="103"/>
      <c r="D48" s="108">
        <f>1%*Arealanvendelse!M6</f>
        <v>23351.211851851851</v>
      </c>
      <c r="E48" s="108">
        <f>1%*Arealanvendelse!P6</f>
        <v>21499.359999999997</v>
      </c>
    </row>
    <row r="49" spans="2:8" x14ac:dyDescent="0.55000000000000004">
      <c r="D49" s="98"/>
      <c r="E49" s="98"/>
      <c r="H49" s="98"/>
    </row>
    <row r="50" spans="2:8" ht="15" customHeight="1" x14ac:dyDescent="0.55000000000000004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55000000000000004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55000000000000004">
      <c r="C56" s="394">
        <f>SUM(C32,C35,C38:C39,C45)</f>
        <v>0.79569205391369902</v>
      </c>
      <c r="D56" s="394">
        <f>SUM(D32,D35,D38:D39,D45)</f>
        <v>0.79569205391369902</v>
      </c>
      <c r="E56" s="394">
        <f>SUM(E32,E35,E38:E39,E45)</f>
        <v>0.79569205391369902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F20" sqref="F20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06" t="s">
        <v>271</v>
      </c>
    </row>
    <row r="2" spans="1:9" ht="14.7" thickBot="1" x14ac:dyDescent="0.6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55000000000000004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55000000000000004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55000000000000004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55000000000000004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55000000000000004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55000000000000004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55000000000000004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55000000000000004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55000000000000004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55000000000000004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55000000000000004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55000000000000004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55000000000000004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4.7" thickBot="1" x14ac:dyDescent="0.6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4.7" thickBot="1" x14ac:dyDescent="0.6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55000000000000004">
      <c r="C20" s="1" t="s">
        <v>203</v>
      </c>
      <c r="D20" s="394">
        <f>D15-C15+D14-C14</f>
        <v>0</v>
      </c>
      <c r="E20" s="434" t="e">
        <f>D20/SUM($D$20:$D$24)</f>
        <v>#DIV/0!</v>
      </c>
    </row>
    <row r="21" spans="1:6" x14ac:dyDescent="0.55000000000000004">
      <c r="C21" s="1" t="s">
        <v>336</v>
      </c>
      <c r="D21" s="394">
        <f>D9-C9</f>
        <v>0</v>
      </c>
      <c r="E21" s="394" t="e">
        <f t="shared" ref="E21:E24" si="12">D21/SUM($D$20:$D$24)</f>
        <v>#DIV/0!</v>
      </c>
    </row>
    <row r="22" spans="1:6" x14ac:dyDescent="0.55000000000000004">
      <c r="C22" s="1" t="s">
        <v>52</v>
      </c>
      <c r="D22" s="394">
        <f>D7-C7</f>
        <v>0</v>
      </c>
      <c r="E22" s="394" t="e">
        <f t="shared" si="12"/>
        <v>#DIV/0!</v>
      </c>
    </row>
    <row r="23" spans="1:6" x14ac:dyDescent="0.55000000000000004">
      <c r="C23" s="1" t="str">
        <f>A11</f>
        <v>Muslinger</v>
      </c>
      <c r="D23" s="394">
        <f>D11</f>
        <v>0</v>
      </c>
      <c r="E23" s="394" t="e">
        <f t="shared" si="12"/>
        <v>#DIV/0!</v>
      </c>
    </row>
    <row r="24" spans="1:6" x14ac:dyDescent="0.55000000000000004">
      <c r="C24" s="1" t="str">
        <f>A10</f>
        <v>Tang</v>
      </c>
      <c r="D24" s="394">
        <f>D10</f>
        <v>0</v>
      </c>
      <c r="E24" s="394" t="e">
        <f t="shared" si="12"/>
        <v>#DIV/0!</v>
      </c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05" t="s">
        <v>271</v>
      </c>
    </row>
    <row r="2" spans="1:4" x14ac:dyDescent="0.55000000000000004">
      <c r="A2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188">
        <v>5.0000000000000001E-3</v>
      </c>
      <c r="D9" s="4"/>
    </row>
    <row r="10" spans="1:4" x14ac:dyDescent="0.55000000000000004">
      <c r="A10" s="79"/>
      <c r="B10" s="79"/>
      <c r="C10" s="79"/>
      <c r="D10" s="81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55000000000000004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55000000000000004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55000000000000004">
      <c r="A16" s="2" t="s">
        <v>179</v>
      </c>
      <c r="B16" s="7">
        <v>0</v>
      </c>
      <c r="C16" s="8">
        <v>0.45</v>
      </c>
      <c r="D16" s="8">
        <v>0.45</v>
      </c>
    </row>
    <row r="17" spans="1:8" ht="14.7" thickBot="1" x14ac:dyDescent="0.6">
      <c r="A17" s="309" t="s">
        <v>180</v>
      </c>
      <c r="B17" s="310">
        <v>0</v>
      </c>
      <c r="C17" s="313">
        <v>0</v>
      </c>
      <c r="D17" s="313">
        <v>0</v>
      </c>
    </row>
    <row r="18" spans="1:8" ht="14.7" thickBot="1" x14ac:dyDescent="0.6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55000000000000004">
      <c r="B19" s="12"/>
      <c r="C19" s="12"/>
      <c r="D19" s="12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55000000000000004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55000000000000004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3615.8703437693521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4977.6607022998596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698.19114071466845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890.85122692804998</v>
      </c>
    </row>
    <row r="24" spans="1:8" hidden="1" x14ac:dyDescent="0.55000000000000004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364.53368246961463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5025.6642058609605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70.681612143180047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905.02086990301564</v>
      </c>
    </row>
    <row r="25" spans="1:8" hidden="1" x14ac:dyDescent="0.55000000000000004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3615.8703437693521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698.19114071466845</v>
      </c>
    </row>
    <row r="26" spans="1:8" hidden="1" x14ac:dyDescent="0.55000000000000004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363.33149692104462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70.448513209516364</v>
      </c>
    </row>
    <row r="27" spans="1:8" hidden="1" x14ac:dyDescent="0.55000000000000004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32547.837708886895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45747.463772336472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6284.6906411072023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8195.9946084659714</v>
      </c>
    </row>
    <row r="28" spans="1:8" hidden="1" x14ac:dyDescent="0.55000000000000004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3275.7985272638125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45173.285182142659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635.16413461343438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8139.0053057825789</v>
      </c>
    </row>
    <row r="29" spans="1:8" hidden="1" x14ac:dyDescent="0.55000000000000004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31749.414907659091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6130.4559698886542</v>
      </c>
    </row>
    <row r="30" spans="1:8" hidden="1" x14ac:dyDescent="0.55000000000000004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3172.5768775227571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615.1498726600563</v>
      </c>
    </row>
    <row r="31" spans="1:8" hidden="1" x14ac:dyDescent="0.55000000000000004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3615.8703437693521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4977.1213052648709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698.19114071466845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890.74664001646488</v>
      </c>
    </row>
    <row r="32" spans="1:8" hidden="1" x14ac:dyDescent="0.55000000000000004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364.53368246961463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5025.6642058609605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70.681612143180047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905.02086990301564</v>
      </c>
    </row>
    <row r="33" spans="1:10" hidden="1" x14ac:dyDescent="0.55000000000000004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3615.8703437693521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698.19114071466845</v>
      </c>
    </row>
    <row r="34" spans="1:10" hidden="1" x14ac:dyDescent="0.55000000000000004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363.87089395603351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70.553100121101537</v>
      </c>
    </row>
    <row r="35" spans="1:10" hidden="1" x14ac:dyDescent="0.55000000000000004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32550.034856919305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45902.389129639385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6285.1166592572836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8223.7326928204147</v>
      </c>
    </row>
    <row r="36" spans="1:10" hidden="1" x14ac:dyDescent="0.55000000000000004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3273.6013792313997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45142.599783169004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634.73811646335264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8135.2384124486625</v>
      </c>
    </row>
    <row r="37" spans="1:10" hidden="1" x14ac:dyDescent="0.55000000000000004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31629.311727902626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6107.2868835642512</v>
      </c>
    </row>
    <row r="38" spans="1:10" hidden="1" x14ac:dyDescent="0.55000000000000004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3168.4400989500195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614.34776796394249</v>
      </c>
    </row>
    <row r="39" spans="1:10" hidden="1" x14ac:dyDescent="0.55000000000000004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37"/>
    </row>
    <row r="44" spans="1:10" hidden="1" x14ac:dyDescent="0.55000000000000004">
      <c r="B44" s="137"/>
    </row>
    <row r="45" spans="1:10" hidden="1" x14ac:dyDescent="0.55000000000000004">
      <c r="B45" s="137"/>
    </row>
    <row r="46" spans="1:10" hidden="1" x14ac:dyDescent="0.55000000000000004"/>
    <row r="47" spans="1:10" hidden="1" x14ac:dyDescent="0.55000000000000004">
      <c r="A47" s="402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03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55000000000000004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55000000000000004">
      <c r="A50" s="2" t="s">
        <v>176</v>
      </c>
      <c r="B50" s="103">
        <f t="shared" si="0"/>
        <v>0</v>
      </c>
      <c r="C50" s="103">
        <f t="shared" ca="1" si="0"/>
        <v>3980.4040262389667</v>
      </c>
      <c r="D50" s="103">
        <f t="shared" ca="1" si="0"/>
        <v>13982.526748851215</v>
      </c>
      <c r="E50" s="103">
        <f t="shared" ca="1" si="0"/>
        <v>0</v>
      </c>
      <c r="F50" s="103">
        <f t="shared" ca="1" si="0"/>
        <v>768.87275285784847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4749.2767790968155</v>
      </c>
      <c r="J50" s="103">
        <f t="shared" ca="1" si="1"/>
        <v>16547.038499606464</v>
      </c>
    </row>
    <row r="51" spans="1:10" hidden="1" x14ac:dyDescent="0.55000000000000004">
      <c r="A51" s="2" t="s">
        <v>177</v>
      </c>
      <c r="B51" s="103">
        <f t="shared" si="0"/>
        <v>0</v>
      </c>
      <c r="C51" s="103">
        <f ca="1">SUMIF($A$22:$A$42,$A51,D$22:D$42)</f>
        <v>35823.636236150705</v>
      </c>
      <c r="D51" s="103">
        <f t="shared" ca="1" si="0"/>
        <v>125842.74073966099</v>
      </c>
      <c r="E51" s="103">
        <f t="shared" ca="1" si="0"/>
        <v>0</v>
      </c>
      <c r="F51" s="103">
        <f t="shared" ca="1" si="0"/>
        <v>6919.854775720637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42743.491011871345</v>
      </c>
      <c r="J51" s="103">
        <f t="shared" ca="1" si="1"/>
        <v>148923.34649645825</v>
      </c>
    </row>
    <row r="52" spans="1:10" hidden="1" x14ac:dyDescent="0.55000000000000004">
      <c r="A52" s="2" t="s">
        <v>178</v>
      </c>
      <c r="B52" s="103">
        <f t="shared" si="0"/>
        <v>0</v>
      </c>
      <c r="C52" s="103">
        <f t="shared" ca="1" si="0"/>
        <v>3980.4040262389667</v>
      </c>
      <c r="D52" s="103">
        <f t="shared" ca="1" si="0"/>
        <v>13982.526748851216</v>
      </c>
      <c r="E52" s="103">
        <f t="shared" ca="1" si="0"/>
        <v>0</v>
      </c>
      <c r="F52" s="103">
        <f t="shared" ca="1" si="0"/>
        <v>768.87275285784847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4749.2767790968155</v>
      </c>
      <c r="J52" s="103">
        <f t="shared" ca="1" si="1"/>
        <v>16547.038499606468</v>
      </c>
    </row>
    <row r="53" spans="1:10" hidden="1" x14ac:dyDescent="0.55000000000000004">
      <c r="A53" s="2" t="s">
        <v>179</v>
      </c>
      <c r="B53" s="103">
        <f t="shared" si="0"/>
        <v>0</v>
      </c>
      <c r="C53" s="103">
        <f t="shared" ca="1" si="0"/>
        <v>35823.636236150705</v>
      </c>
      <c r="D53" s="103">
        <f t="shared" ca="1" si="0"/>
        <v>125842.74073966102</v>
      </c>
      <c r="E53" s="103">
        <f t="shared" ca="1" si="0"/>
        <v>0</v>
      </c>
      <c r="F53" s="103">
        <f t="shared" ca="1" si="0"/>
        <v>6919.8547757206361</v>
      </c>
      <c r="G53" s="103">
        <f t="shared" ca="1" si="0"/>
        <v>23080.605756797271</v>
      </c>
      <c r="H53" s="103">
        <f t="shared" ca="1" si="2"/>
        <v>0</v>
      </c>
      <c r="I53" s="103">
        <f t="shared" ca="1" si="1"/>
        <v>42743.491011871345</v>
      </c>
      <c r="J53" s="103">
        <f t="shared" ca="1" si="1"/>
        <v>148923.34649645828</v>
      </c>
    </row>
    <row r="54" spans="1:10" hidden="1" x14ac:dyDescent="0.55000000000000004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4.7" thickBot="1" x14ac:dyDescent="0.6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4.4" x14ac:dyDescent="0.55000000000000004"/>
  <cols>
    <col min="1" max="1" width="10.15625" bestFit="1" customWidth="1"/>
    <col min="2" max="2" width="12.68359375" bestFit="1" customWidth="1"/>
  </cols>
  <sheetData>
    <row r="1" spans="1:36" x14ac:dyDescent="0.55000000000000004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55000000000000004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364.53368246961463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55000000000000004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363.98985181758314</v>
      </c>
      <c r="G3">
        <f ca="1">IF($C3-G$1&lt;År1,0,F2*(1-VLOOKUP($A3,[1]Hugst!$R$5:$W$9,MATCH(ROUNDUP((G$1)/10,0)*10,[1]Hugst!$R$4:$W$4,0))))</f>
        <v>364.53368246961463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55000000000000004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363.44874031881761</v>
      </c>
      <c r="G4">
        <f ca="1">IF($C4-G$1&lt;År1,0,F3*(1-VLOOKUP($A4,[1]Hugst!$R$5:$W$9,MATCH(ROUNDUP((G$1)/10,0)*10,[1]Hugst!$R$4:$W$4,0))))</f>
        <v>363.98985181758314</v>
      </c>
      <c r="H4">
        <f ca="1">IF($C4-H$1&lt;År1,0,G3*(1-VLOOKUP($A4,[1]Hugst!$R$5:$W$9,MATCH(ROUNDUP((H$1)/10,0)*10,[1]Hugst!$R$4:$W$4,0))))</f>
        <v>364.53368246961463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55000000000000004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362.9103343775422</v>
      </c>
      <c r="G5">
        <f ca="1">IF($C5-G$1&lt;År1,0,F4*(1-VLOOKUP($A5,[1]Hugst!$R$5:$W$9,MATCH(ROUNDUP((G$1)/10,0)*10,[1]Hugst!$R$4:$W$4,0))))</f>
        <v>363.44874031881761</v>
      </c>
      <c r="H5">
        <f ca="1">IF($C5-H$1&lt;År1,0,G4*(1-VLOOKUP($A5,[1]Hugst!$R$5:$W$9,MATCH(ROUNDUP((H$1)/10,0)*10,[1]Hugst!$R$4:$W$4,0))))</f>
        <v>363.98985181758314</v>
      </c>
      <c r="I5">
        <f ca="1">IF($C5-I$1&lt;År1,0,H4*(1-VLOOKUP($A5,[1]Hugst!$R$5:$W$9,MATCH(ROUNDUP((I$1)/10,0)*10,[1]Hugst!$R$4:$W$4,0))))</f>
        <v>364.53368246961463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55000000000000004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362.37462046597341</v>
      </c>
      <c r="G6">
        <f ca="1">IF($C6-G$1&lt;År1,0,F5*(1-VLOOKUP($A6,[1]Hugst!$R$5:$W$9,MATCH(ROUNDUP((G$1)/10,0)*10,[1]Hugst!$R$4:$W$4,0))))</f>
        <v>362.9103343775422</v>
      </c>
      <c r="H6">
        <f ca="1">IF($C6-H$1&lt;År1,0,G5*(1-VLOOKUP($A6,[1]Hugst!$R$5:$W$9,MATCH(ROUNDUP((H$1)/10,0)*10,[1]Hugst!$R$4:$W$4,0))))</f>
        <v>363.44874031881761</v>
      </c>
      <c r="I6">
        <f ca="1">IF($C6-I$1&lt;År1,0,H5*(1-VLOOKUP($A6,[1]Hugst!$R$5:$W$9,MATCH(ROUNDUP((I$1)/10,0)*10,[1]Hugst!$R$4:$W$4,0))))</f>
        <v>363.98985181758314</v>
      </c>
      <c r="J6">
        <f ca="1">IF($C6-J$1&lt;År1,0,I5*(1-VLOOKUP($A6,[1]Hugst!$R$5:$W$9,MATCH(ROUNDUP((J$1)/10,0)*10,[1]Hugst!$R$4:$W$4,0))))</f>
        <v>364.53368246961463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55000000000000004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361.84158512396232</v>
      </c>
      <c r="G7">
        <f ca="1">IF($C7-G$1&lt;År1,0,F6*(1-VLOOKUP($A7,[1]Hugst!$R$5:$W$9,MATCH(ROUNDUP((G$1)/10,0)*10,[1]Hugst!$R$4:$W$4,0))))</f>
        <v>362.37462046597341</v>
      </c>
      <c r="H7">
        <f ca="1">IF($C7-H$1&lt;År1,0,G6*(1-VLOOKUP($A7,[1]Hugst!$R$5:$W$9,MATCH(ROUNDUP((H$1)/10,0)*10,[1]Hugst!$R$4:$W$4,0))))</f>
        <v>362.9103343775422</v>
      </c>
      <c r="I7">
        <f ca="1">IF($C7-I$1&lt;År1,0,H6*(1-VLOOKUP($A7,[1]Hugst!$R$5:$W$9,MATCH(ROUNDUP((I$1)/10,0)*10,[1]Hugst!$R$4:$W$4,0))))</f>
        <v>363.44874031881761</v>
      </c>
      <c r="J7">
        <f ca="1">IF($C7-J$1&lt;År1,0,I6*(1-VLOOKUP($A7,[1]Hugst!$R$5:$W$9,MATCH(ROUNDUP((J$1)/10,0)*10,[1]Hugst!$R$4:$W$4,0))))</f>
        <v>363.98985181758314</v>
      </c>
      <c r="K7">
        <f ca="1">IF($C7-K$1&lt;År1,0,J6*(1-VLOOKUP($A7,[1]Hugst!$R$5:$W$9,MATCH(ROUNDUP((K$1)/10,0)*10,[1]Hugst!$R$4:$W$4,0))))</f>
        <v>364.53368246961463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55000000000000004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361.31121495866228</v>
      </c>
      <c r="G8">
        <f ca="1">IF($C8-G$1&lt;År1,0,F7*(1-VLOOKUP($A8,[1]Hugst!$R$5:$W$9,MATCH(ROUNDUP((G$1)/10,0)*10,[1]Hugst!$R$4:$W$4,0))))</f>
        <v>361.84158512396232</v>
      </c>
      <c r="H8">
        <f ca="1">IF($C8-H$1&lt;År1,0,G7*(1-VLOOKUP($A8,[1]Hugst!$R$5:$W$9,MATCH(ROUNDUP((H$1)/10,0)*10,[1]Hugst!$R$4:$W$4,0))))</f>
        <v>362.37462046597341</v>
      </c>
      <c r="I8">
        <f ca="1">IF($C8-I$1&lt;År1,0,H7*(1-VLOOKUP($A8,[1]Hugst!$R$5:$W$9,MATCH(ROUNDUP((I$1)/10,0)*10,[1]Hugst!$R$4:$W$4,0))))</f>
        <v>362.9103343775422</v>
      </c>
      <c r="J8">
        <f ca="1">IF($C8-J$1&lt;År1,0,I7*(1-VLOOKUP($A8,[1]Hugst!$R$5:$W$9,MATCH(ROUNDUP((J$1)/10,0)*10,[1]Hugst!$R$4:$W$4,0))))</f>
        <v>363.44874031881761</v>
      </c>
      <c r="K8">
        <f ca="1">IF($C8-K$1&lt;År1,0,J7*(1-VLOOKUP($A8,[1]Hugst!$R$5:$W$9,MATCH(ROUNDUP((K$1)/10,0)*10,[1]Hugst!$R$4:$W$4,0))))</f>
        <v>363.98985181758314</v>
      </c>
      <c r="L8">
        <f ca="1">IF($C8-L$1&lt;År1,0,K7*(1-VLOOKUP($A8,[1]Hugst!$R$5:$W$9,MATCH(ROUNDUP((L$1)/10,0)*10,[1]Hugst!$R$4:$W$4,0))))</f>
        <v>364.53368246961463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55000000000000004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360.7834966441892</v>
      </c>
      <c r="G9">
        <f ca="1">IF($C9-G$1&lt;År1,0,F8*(1-VLOOKUP($A9,[1]Hugst!$R$5:$W$9,MATCH(ROUNDUP((G$1)/10,0)*10,[1]Hugst!$R$4:$W$4,0))))</f>
        <v>361.31121495866228</v>
      </c>
      <c r="H9">
        <f ca="1">IF($C9-H$1&lt;År1,0,G8*(1-VLOOKUP($A9,[1]Hugst!$R$5:$W$9,MATCH(ROUNDUP((H$1)/10,0)*10,[1]Hugst!$R$4:$W$4,0))))</f>
        <v>361.84158512396232</v>
      </c>
      <c r="I9">
        <f ca="1">IF($C9-I$1&lt;År1,0,H8*(1-VLOOKUP($A9,[1]Hugst!$R$5:$W$9,MATCH(ROUNDUP((I$1)/10,0)*10,[1]Hugst!$R$4:$W$4,0))))</f>
        <v>362.37462046597341</v>
      </c>
      <c r="J9">
        <f ca="1">IF($C9-J$1&lt;År1,0,I8*(1-VLOOKUP($A9,[1]Hugst!$R$5:$W$9,MATCH(ROUNDUP((J$1)/10,0)*10,[1]Hugst!$R$4:$W$4,0))))</f>
        <v>362.9103343775422</v>
      </c>
      <c r="K9">
        <f ca="1">IF($C9-K$1&lt;År1,0,J8*(1-VLOOKUP($A9,[1]Hugst!$R$5:$W$9,MATCH(ROUNDUP((K$1)/10,0)*10,[1]Hugst!$R$4:$W$4,0))))</f>
        <v>363.44874031881761</v>
      </c>
      <c r="L9">
        <f ca="1">IF($C9-L$1&lt;År1,0,K8*(1-VLOOKUP($A9,[1]Hugst!$R$5:$W$9,MATCH(ROUNDUP((L$1)/10,0)*10,[1]Hugst!$R$4:$W$4,0))))</f>
        <v>363.98985181758314</v>
      </c>
      <c r="M9">
        <f ca="1">IF($C9-M$1&lt;År1,0,L8*(1-VLOOKUP($A9,[1]Hugst!$R$5:$W$9,MATCH(ROUNDUP((M$1)/10,0)*10,[1]Hugst!$R$4:$W$4,0))))</f>
        <v>364.53368246961463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55000000000000004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360.2584169212887</v>
      </c>
      <c r="G10">
        <f ca="1">IF($C10-G$1&lt;År1,0,F9*(1-VLOOKUP($A10,[1]Hugst!$R$5:$W$9,MATCH(ROUNDUP((G$1)/10,0)*10,[1]Hugst!$R$4:$W$4,0))))</f>
        <v>360.7834966441892</v>
      </c>
      <c r="H10">
        <f ca="1">IF($C10-H$1&lt;År1,0,G9*(1-VLOOKUP($A10,[1]Hugst!$R$5:$W$9,MATCH(ROUNDUP((H$1)/10,0)*10,[1]Hugst!$R$4:$W$4,0))))</f>
        <v>361.31121495866228</v>
      </c>
      <c r="I10">
        <f ca="1">IF($C10-I$1&lt;År1,0,H9*(1-VLOOKUP($A10,[1]Hugst!$R$5:$W$9,MATCH(ROUNDUP((I$1)/10,0)*10,[1]Hugst!$R$4:$W$4,0))))</f>
        <v>361.84158512396232</v>
      </c>
      <c r="J10">
        <f ca="1">IF($C10-J$1&lt;År1,0,I9*(1-VLOOKUP($A10,[1]Hugst!$R$5:$W$9,MATCH(ROUNDUP((J$1)/10,0)*10,[1]Hugst!$R$4:$W$4,0))))</f>
        <v>362.37462046597341</v>
      </c>
      <c r="K10">
        <f ca="1">IF($C10-K$1&lt;År1,0,J9*(1-VLOOKUP($A10,[1]Hugst!$R$5:$W$9,MATCH(ROUNDUP((K$1)/10,0)*10,[1]Hugst!$R$4:$W$4,0))))</f>
        <v>362.9103343775422</v>
      </c>
      <c r="L10">
        <f ca="1">IF($C10-L$1&lt;År1,0,K9*(1-VLOOKUP($A10,[1]Hugst!$R$5:$W$9,MATCH(ROUNDUP((L$1)/10,0)*10,[1]Hugst!$R$4:$W$4,0))))</f>
        <v>363.44874031881761</v>
      </c>
      <c r="M10">
        <f ca="1">IF($C10-M$1&lt;År1,0,L9*(1-VLOOKUP($A10,[1]Hugst!$R$5:$W$9,MATCH(ROUNDUP((M$1)/10,0)*10,[1]Hugst!$R$4:$W$4,0))))</f>
        <v>363.98985181758314</v>
      </c>
      <c r="N10">
        <f ca="1">IF($C10-N$1&lt;År1,0,M9*(1-VLOOKUP($A10,[1]Hugst!$R$5:$W$9,MATCH(ROUNDUP((N$1)/10,0)*10,[1]Hugst!$R$4:$W$4,0))))</f>
        <v>364.53368246961463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55000000000000004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359.73596259699673</v>
      </c>
      <c r="G11">
        <f ca="1">IF($C11-G$1&lt;År1,0,F10*(1-VLOOKUP($A11,[1]Hugst!$R$5:$W$9,MATCH(ROUNDUP((G$1)/10,0)*10,[1]Hugst!$R$4:$W$4,0))))</f>
        <v>360.2584169212887</v>
      </c>
      <c r="H11">
        <f ca="1">IF($C11-H$1&lt;År1,0,G10*(1-VLOOKUP($A11,[1]Hugst!$R$5:$W$9,MATCH(ROUNDUP((H$1)/10,0)*10,[1]Hugst!$R$4:$W$4,0))))</f>
        <v>360.7834966441892</v>
      </c>
      <c r="I11">
        <f ca="1">IF($C11-I$1&lt;År1,0,H10*(1-VLOOKUP($A11,[1]Hugst!$R$5:$W$9,MATCH(ROUNDUP((I$1)/10,0)*10,[1]Hugst!$R$4:$W$4,0))))</f>
        <v>361.31121495866228</v>
      </c>
      <c r="J11">
        <f ca="1">IF($C11-J$1&lt;År1,0,I10*(1-VLOOKUP($A11,[1]Hugst!$R$5:$W$9,MATCH(ROUNDUP((J$1)/10,0)*10,[1]Hugst!$R$4:$W$4,0))))</f>
        <v>361.84158512396232</v>
      </c>
      <c r="K11">
        <f ca="1">IF($C11-K$1&lt;År1,0,J10*(1-VLOOKUP($A11,[1]Hugst!$R$5:$W$9,MATCH(ROUNDUP((K$1)/10,0)*10,[1]Hugst!$R$4:$W$4,0))))</f>
        <v>362.37462046597341</v>
      </c>
      <c r="L11">
        <f ca="1">IF($C11-L$1&lt;År1,0,K10*(1-VLOOKUP($A11,[1]Hugst!$R$5:$W$9,MATCH(ROUNDUP((L$1)/10,0)*10,[1]Hugst!$R$4:$W$4,0))))</f>
        <v>362.9103343775422</v>
      </c>
      <c r="M11">
        <f ca="1">IF($C11-M$1&lt;År1,0,L10*(1-VLOOKUP($A11,[1]Hugst!$R$5:$W$9,MATCH(ROUNDUP((M$1)/10,0)*10,[1]Hugst!$R$4:$W$4,0))))</f>
        <v>363.44874031881761</v>
      </c>
      <c r="N11">
        <f ca="1">IF($C11-N$1&lt;År1,0,M10*(1-VLOOKUP($A11,[1]Hugst!$R$5:$W$9,MATCH(ROUNDUP((N$1)/10,0)*10,[1]Hugst!$R$4:$W$4,0))))</f>
        <v>363.98985181758314</v>
      </c>
      <c r="O11">
        <f ca="1">IF($C11-O$1&lt;År1,0,N10*(1-VLOOKUP($A11,[1]Hugst!$R$5:$W$9,MATCH(ROUNDUP((O$1)/10,0)*10,[1]Hugst!$R$4:$W$4,0))))</f>
        <v>364.53368246961463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55000000000000004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359.21612054433638</v>
      </c>
      <c r="G12">
        <f ca="1">IF($C12-G$1&lt;År1,0,F11*(1-VLOOKUP($A12,[1]Hugst!$R$5:$W$9,MATCH(ROUNDUP((G$1)/10,0)*10,[1]Hugst!$R$4:$W$4,0))))</f>
        <v>359.73596259699673</v>
      </c>
      <c r="H12">
        <f ca="1">IF($C12-H$1&lt;År1,0,G11*(1-VLOOKUP($A12,[1]Hugst!$R$5:$W$9,MATCH(ROUNDUP((H$1)/10,0)*10,[1]Hugst!$R$4:$W$4,0))))</f>
        <v>360.2584169212887</v>
      </c>
      <c r="I12">
        <f ca="1">IF($C12-I$1&lt;År1,0,H11*(1-VLOOKUP($A12,[1]Hugst!$R$5:$W$9,MATCH(ROUNDUP((I$1)/10,0)*10,[1]Hugst!$R$4:$W$4,0))))</f>
        <v>360.7834966441892</v>
      </c>
      <c r="J12">
        <f ca="1">IF($C12-J$1&lt;År1,0,I11*(1-VLOOKUP($A12,[1]Hugst!$R$5:$W$9,MATCH(ROUNDUP((J$1)/10,0)*10,[1]Hugst!$R$4:$W$4,0))))</f>
        <v>361.31121495866228</v>
      </c>
      <c r="K12">
        <f ca="1">IF($C12-K$1&lt;År1,0,J11*(1-VLOOKUP($A12,[1]Hugst!$R$5:$W$9,MATCH(ROUNDUP((K$1)/10,0)*10,[1]Hugst!$R$4:$W$4,0))))</f>
        <v>361.84158512396232</v>
      </c>
      <c r="L12">
        <f ca="1">IF($C12-L$1&lt;År1,0,K11*(1-VLOOKUP($A12,[1]Hugst!$R$5:$W$9,MATCH(ROUNDUP((L$1)/10,0)*10,[1]Hugst!$R$4:$W$4,0))))</f>
        <v>362.37462046597341</v>
      </c>
      <c r="M12">
        <f ca="1">IF($C12-M$1&lt;År1,0,L11*(1-VLOOKUP($A12,[1]Hugst!$R$5:$W$9,MATCH(ROUNDUP((M$1)/10,0)*10,[1]Hugst!$R$4:$W$4,0))))</f>
        <v>362.9103343775422</v>
      </c>
      <c r="N12">
        <f ca="1">IF($C12-N$1&lt;År1,0,M11*(1-VLOOKUP($A12,[1]Hugst!$R$5:$W$9,MATCH(ROUNDUP((N$1)/10,0)*10,[1]Hugst!$R$4:$W$4,0))))</f>
        <v>363.44874031881761</v>
      </c>
      <c r="O12">
        <f ca="1">IF($C12-O$1&lt;År1,0,N11*(1-VLOOKUP($A12,[1]Hugst!$R$5:$W$9,MATCH(ROUNDUP((O$1)/10,0)*10,[1]Hugst!$R$4:$W$4,0))))</f>
        <v>363.98985181758314</v>
      </c>
      <c r="P12">
        <f ca="1">IF($C12-P$1&lt;År1,0,O11*(1-VLOOKUP($A12,[1]Hugst!$R$5:$W$9,MATCH(ROUNDUP((P$1)/10,0)*10,[1]Hugst!$R$4:$W$4,0))))</f>
        <v>364.53368246961463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55000000000000004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504.85176459555504</v>
      </c>
      <c r="G13">
        <f ca="1">IF($C13-G$1&lt;År1,0,F12*(1-VLOOKUP($A13,[1]Hugst!$R$5:$W$9,MATCH(ROUNDUP((G$1)/10,0)*10,[1]Hugst!$R$4:$W$4,0))))</f>
        <v>359.21612054433638</v>
      </c>
      <c r="H13">
        <f ca="1">IF($C13-H$1&lt;År1,0,G12*(1-VLOOKUP($A13,[1]Hugst!$R$5:$W$9,MATCH(ROUNDUP((H$1)/10,0)*10,[1]Hugst!$R$4:$W$4,0))))</f>
        <v>359.73596259699673</v>
      </c>
      <c r="I13">
        <f ca="1">IF($C13-I$1&lt;År1,0,H12*(1-VLOOKUP($A13,[1]Hugst!$R$5:$W$9,MATCH(ROUNDUP((I$1)/10,0)*10,[1]Hugst!$R$4:$W$4,0))))</f>
        <v>360.2584169212887</v>
      </c>
      <c r="J13">
        <f ca="1">IF($C13-J$1&lt;År1,0,I12*(1-VLOOKUP($A13,[1]Hugst!$R$5:$W$9,MATCH(ROUNDUP((J$1)/10,0)*10,[1]Hugst!$R$4:$W$4,0))))</f>
        <v>360.7834966441892</v>
      </c>
      <c r="K13">
        <f ca="1">IF($C13-K$1&lt;År1,0,J12*(1-VLOOKUP($A13,[1]Hugst!$R$5:$W$9,MATCH(ROUNDUP((K$1)/10,0)*10,[1]Hugst!$R$4:$W$4,0))))</f>
        <v>361.31121495866228</v>
      </c>
      <c r="L13">
        <f ca="1">IF($C13-L$1&lt;År1,0,K12*(1-VLOOKUP($A13,[1]Hugst!$R$5:$W$9,MATCH(ROUNDUP((L$1)/10,0)*10,[1]Hugst!$R$4:$W$4,0))))</f>
        <v>361.84158512396232</v>
      </c>
      <c r="M13">
        <f ca="1">IF($C13-M$1&lt;År1,0,L12*(1-VLOOKUP($A13,[1]Hugst!$R$5:$W$9,MATCH(ROUNDUP((M$1)/10,0)*10,[1]Hugst!$R$4:$W$4,0))))</f>
        <v>362.37462046597341</v>
      </c>
      <c r="N13">
        <f ca="1">IF($C13-N$1&lt;År1,0,M12*(1-VLOOKUP($A13,[1]Hugst!$R$5:$W$9,MATCH(ROUNDUP((N$1)/10,0)*10,[1]Hugst!$R$4:$W$4,0))))</f>
        <v>362.9103343775422</v>
      </c>
      <c r="O13">
        <f ca="1">IF($C13-O$1&lt;År1,0,N12*(1-VLOOKUP($A13,[1]Hugst!$R$5:$W$9,MATCH(ROUNDUP((O$1)/10,0)*10,[1]Hugst!$R$4:$W$4,0))))</f>
        <v>363.44874031881761</v>
      </c>
      <c r="P13">
        <f ca="1">IF($C13-P$1&lt;År1,0,O12*(1-VLOOKUP($A13,[1]Hugst!$R$5:$W$9,MATCH(ROUNDUP((P$1)/10,0)*10,[1]Hugst!$R$4:$W$4,0))))</f>
        <v>363.98985181758314</v>
      </c>
      <c r="Q13">
        <f ca="1">IF($C13-Q$1&lt;År1,0,P12*(1-VLOOKUP($A13,[1]Hugst!$R$5:$W$9,MATCH(ROUNDUP((Q$1)/10,0)*10,[1]Hugst!$R$4:$W$4,0))))</f>
        <v>364.53368246961463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55000000000000004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504.33710796736972</v>
      </c>
      <c r="G14">
        <f ca="1">IF($C14-G$1&lt;År1,0,F13*(1-VLOOKUP($A14,[1]Hugst!$R$5:$W$9,MATCH(ROUNDUP((G$1)/10,0)*10,[1]Hugst!$R$4:$W$4,0))))</f>
        <v>504.85176459555504</v>
      </c>
      <c r="H14">
        <f ca="1">IF($C14-H$1&lt;År1,0,G13*(1-VLOOKUP($A14,[1]Hugst!$R$5:$W$9,MATCH(ROUNDUP((H$1)/10,0)*10,[1]Hugst!$R$4:$W$4,0))))</f>
        <v>359.21612054433638</v>
      </c>
      <c r="I14">
        <f ca="1">IF($C14-I$1&lt;År1,0,H13*(1-VLOOKUP($A14,[1]Hugst!$R$5:$W$9,MATCH(ROUNDUP((I$1)/10,0)*10,[1]Hugst!$R$4:$W$4,0))))</f>
        <v>359.73596259699673</v>
      </c>
      <c r="J14">
        <f ca="1">IF($C14-J$1&lt;År1,0,I13*(1-VLOOKUP($A14,[1]Hugst!$R$5:$W$9,MATCH(ROUNDUP((J$1)/10,0)*10,[1]Hugst!$R$4:$W$4,0))))</f>
        <v>360.2584169212887</v>
      </c>
      <c r="K14">
        <f ca="1">IF($C14-K$1&lt;År1,0,J13*(1-VLOOKUP($A14,[1]Hugst!$R$5:$W$9,MATCH(ROUNDUP((K$1)/10,0)*10,[1]Hugst!$R$4:$W$4,0))))</f>
        <v>360.7834966441892</v>
      </c>
      <c r="L14">
        <f ca="1">IF($C14-L$1&lt;År1,0,K13*(1-VLOOKUP($A14,[1]Hugst!$R$5:$W$9,MATCH(ROUNDUP((L$1)/10,0)*10,[1]Hugst!$R$4:$W$4,0))))</f>
        <v>361.31121495866228</v>
      </c>
      <c r="M14">
        <f ca="1">IF($C14-M$1&lt;År1,0,L13*(1-VLOOKUP($A14,[1]Hugst!$R$5:$W$9,MATCH(ROUNDUP((M$1)/10,0)*10,[1]Hugst!$R$4:$W$4,0))))</f>
        <v>361.84158512396232</v>
      </c>
      <c r="N14">
        <f ca="1">IF($C14-N$1&lt;År1,0,M13*(1-VLOOKUP($A14,[1]Hugst!$R$5:$W$9,MATCH(ROUNDUP((N$1)/10,0)*10,[1]Hugst!$R$4:$W$4,0))))</f>
        <v>362.37462046597341</v>
      </c>
      <c r="O14">
        <f ca="1">IF($C14-O$1&lt;År1,0,N13*(1-VLOOKUP($A14,[1]Hugst!$R$5:$W$9,MATCH(ROUNDUP((O$1)/10,0)*10,[1]Hugst!$R$4:$W$4,0))))</f>
        <v>362.9103343775422</v>
      </c>
      <c r="P14">
        <f ca="1">IF($C14-P$1&lt;År1,0,O13*(1-VLOOKUP($A14,[1]Hugst!$R$5:$W$9,MATCH(ROUNDUP((P$1)/10,0)*10,[1]Hugst!$R$4:$W$4,0))))</f>
        <v>363.44874031881761</v>
      </c>
      <c r="Q14">
        <f ca="1">IF($C14-Q$1&lt;År1,0,P13*(1-VLOOKUP($A14,[1]Hugst!$R$5:$W$9,MATCH(ROUNDUP((Q$1)/10,0)*10,[1]Hugst!$R$4:$W$4,0))))</f>
        <v>363.98985181758314</v>
      </c>
      <c r="R14">
        <f ca="1">IF($C14-R$1&lt;År1,0,Q13*(1-VLOOKUP($A14,[1]Hugst!$R$5:$W$9,MATCH(ROUNDUP((R$1)/10,0)*10,[1]Hugst!$R$4:$W$4,0))))</f>
        <v>364.53368246961463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55000000000000004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503.82502462231758</v>
      </c>
      <c r="G15">
        <f ca="1">IF($C15-G$1&lt;År1,0,F14*(1-VLOOKUP($A15,[1]Hugst!$R$5:$W$9,MATCH(ROUNDUP((G$1)/10,0)*10,[1]Hugst!$R$4:$W$4,0))))</f>
        <v>504.33710796736972</v>
      </c>
      <c r="H15">
        <f ca="1">IF($C15-H$1&lt;År1,0,G14*(1-VLOOKUP($A15,[1]Hugst!$R$5:$W$9,MATCH(ROUNDUP((H$1)/10,0)*10,[1]Hugst!$R$4:$W$4,0))))</f>
        <v>504.85176459555504</v>
      </c>
      <c r="I15">
        <f ca="1">IF($C15-I$1&lt;År1,0,H14*(1-VLOOKUP($A15,[1]Hugst!$R$5:$W$9,MATCH(ROUNDUP((I$1)/10,0)*10,[1]Hugst!$R$4:$W$4,0))))</f>
        <v>359.21612054433638</v>
      </c>
      <c r="J15">
        <f ca="1">IF($C15-J$1&lt;År1,0,I14*(1-VLOOKUP($A15,[1]Hugst!$R$5:$W$9,MATCH(ROUNDUP((J$1)/10,0)*10,[1]Hugst!$R$4:$W$4,0))))</f>
        <v>359.73596259699673</v>
      </c>
      <c r="K15">
        <f ca="1">IF($C15-K$1&lt;År1,0,J14*(1-VLOOKUP($A15,[1]Hugst!$R$5:$W$9,MATCH(ROUNDUP((K$1)/10,0)*10,[1]Hugst!$R$4:$W$4,0))))</f>
        <v>360.2584169212887</v>
      </c>
      <c r="L15">
        <f ca="1">IF($C15-L$1&lt;År1,0,K14*(1-VLOOKUP($A15,[1]Hugst!$R$5:$W$9,MATCH(ROUNDUP((L$1)/10,0)*10,[1]Hugst!$R$4:$W$4,0))))</f>
        <v>360.7834966441892</v>
      </c>
      <c r="M15">
        <f ca="1">IF($C15-M$1&lt;År1,0,L14*(1-VLOOKUP($A15,[1]Hugst!$R$5:$W$9,MATCH(ROUNDUP((M$1)/10,0)*10,[1]Hugst!$R$4:$W$4,0))))</f>
        <v>361.31121495866228</v>
      </c>
      <c r="N15">
        <f ca="1">IF($C15-N$1&lt;År1,0,M14*(1-VLOOKUP($A15,[1]Hugst!$R$5:$W$9,MATCH(ROUNDUP((N$1)/10,0)*10,[1]Hugst!$R$4:$W$4,0))))</f>
        <v>361.84158512396232</v>
      </c>
      <c r="O15">
        <f ca="1">IF($C15-O$1&lt;År1,0,N14*(1-VLOOKUP($A15,[1]Hugst!$R$5:$W$9,MATCH(ROUNDUP((O$1)/10,0)*10,[1]Hugst!$R$4:$W$4,0))))</f>
        <v>362.37462046597341</v>
      </c>
      <c r="P15">
        <f ca="1">IF($C15-P$1&lt;År1,0,O14*(1-VLOOKUP($A15,[1]Hugst!$R$5:$W$9,MATCH(ROUNDUP((P$1)/10,0)*10,[1]Hugst!$R$4:$W$4,0))))</f>
        <v>362.9103343775422</v>
      </c>
      <c r="Q15">
        <f ca="1">IF($C15-Q$1&lt;År1,0,P14*(1-VLOOKUP($A15,[1]Hugst!$R$5:$W$9,MATCH(ROUNDUP((Q$1)/10,0)*10,[1]Hugst!$R$4:$W$4,0))))</f>
        <v>363.44874031881761</v>
      </c>
      <c r="R15">
        <f ca="1">IF($C15-R$1&lt;År1,0,Q14*(1-VLOOKUP($A15,[1]Hugst!$R$5:$W$9,MATCH(ROUNDUP((R$1)/10,0)*10,[1]Hugst!$R$4:$W$4,0))))</f>
        <v>363.98985181758314</v>
      </c>
      <c r="S15">
        <f ca="1">IF($C15-S$1&lt;År1,0,R14*(1-VLOOKUP($A15,[1]Hugst!$R$5:$W$9,MATCH(ROUNDUP((S$1)/10,0)*10,[1]Hugst!$R$4:$W$4,0))))</f>
        <v>364.53368246961463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55000000000000004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503.31550169399378</v>
      </c>
      <c r="G16">
        <f ca="1">IF($C16-G$1&lt;År1,0,F15*(1-VLOOKUP($A16,[1]Hugst!$R$5:$W$9,MATCH(ROUNDUP((G$1)/10,0)*10,[1]Hugst!$R$4:$W$4,0))))</f>
        <v>503.82502462231758</v>
      </c>
      <c r="H16">
        <f ca="1">IF($C16-H$1&lt;År1,0,G15*(1-VLOOKUP($A16,[1]Hugst!$R$5:$W$9,MATCH(ROUNDUP((H$1)/10,0)*10,[1]Hugst!$R$4:$W$4,0))))</f>
        <v>504.33710796736972</v>
      </c>
      <c r="I16">
        <f ca="1">IF($C16-I$1&lt;År1,0,H15*(1-VLOOKUP($A16,[1]Hugst!$R$5:$W$9,MATCH(ROUNDUP((I$1)/10,0)*10,[1]Hugst!$R$4:$W$4,0))))</f>
        <v>504.85176459555504</v>
      </c>
      <c r="J16">
        <f ca="1">IF($C16-J$1&lt;År1,0,I15*(1-VLOOKUP($A16,[1]Hugst!$R$5:$W$9,MATCH(ROUNDUP((J$1)/10,0)*10,[1]Hugst!$R$4:$W$4,0))))</f>
        <v>359.21612054433638</v>
      </c>
      <c r="K16">
        <f ca="1">IF($C16-K$1&lt;År1,0,J15*(1-VLOOKUP($A16,[1]Hugst!$R$5:$W$9,MATCH(ROUNDUP((K$1)/10,0)*10,[1]Hugst!$R$4:$W$4,0))))</f>
        <v>359.73596259699673</v>
      </c>
      <c r="L16">
        <f ca="1">IF($C16-L$1&lt;År1,0,K15*(1-VLOOKUP($A16,[1]Hugst!$R$5:$W$9,MATCH(ROUNDUP((L$1)/10,0)*10,[1]Hugst!$R$4:$W$4,0))))</f>
        <v>360.2584169212887</v>
      </c>
      <c r="M16">
        <f ca="1">IF($C16-M$1&lt;År1,0,L15*(1-VLOOKUP($A16,[1]Hugst!$R$5:$W$9,MATCH(ROUNDUP((M$1)/10,0)*10,[1]Hugst!$R$4:$W$4,0))))</f>
        <v>360.7834966441892</v>
      </c>
      <c r="N16">
        <f ca="1">IF($C16-N$1&lt;År1,0,M15*(1-VLOOKUP($A16,[1]Hugst!$R$5:$W$9,MATCH(ROUNDUP((N$1)/10,0)*10,[1]Hugst!$R$4:$W$4,0))))</f>
        <v>361.31121495866228</v>
      </c>
      <c r="O16">
        <f ca="1">IF($C16-O$1&lt;År1,0,N15*(1-VLOOKUP($A16,[1]Hugst!$R$5:$W$9,MATCH(ROUNDUP((O$1)/10,0)*10,[1]Hugst!$R$4:$W$4,0))))</f>
        <v>361.84158512396232</v>
      </c>
      <c r="P16">
        <f ca="1">IF($C16-P$1&lt;År1,0,O15*(1-VLOOKUP($A16,[1]Hugst!$R$5:$W$9,MATCH(ROUNDUP((P$1)/10,0)*10,[1]Hugst!$R$4:$W$4,0))))</f>
        <v>362.37462046597341</v>
      </c>
      <c r="Q16">
        <f ca="1">IF($C16-Q$1&lt;År1,0,P15*(1-VLOOKUP($A16,[1]Hugst!$R$5:$W$9,MATCH(ROUNDUP((Q$1)/10,0)*10,[1]Hugst!$R$4:$W$4,0))))</f>
        <v>362.9103343775422</v>
      </c>
      <c r="R16">
        <f ca="1">IF($C16-R$1&lt;År1,0,Q15*(1-VLOOKUP($A16,[1]Hugst!$R$5:$W$9,MATCH(ROUNDUP((R$1)/10,0)*10,[1]Hugst!$R$4:$W$4,0))))</f>
        <v>363.44874031881761</v>
      </c>
      <c r="S16">
        <f ca="1">IF($C16-S$1&lt;År1,0,R15*(1-VLOOKUP($A16,[1]Hugst!$R$5:$W$9,MATCH(ROUNDUP((S$1)/10,0)*10,[1]Hugst!$R$4:$W$4,0))))</f>
        <v>363.98985181758314</v>
      </c>
      <c r="T16">
        <f ca="1">IF($C16-T$1&lt;År1,0,S15*(1-VLOOKUP($A16,[1]Hugst!$R$5:$W$9,MATCH(ROUNDUP((T$1)/10,0)*10,[1]Hugst!$R$4:$W$4,0))))</f>
        <v>364.53368246961463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55000000000000004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502.80852638031337</v>
      </c>
      <c r="G17">
        <f ca="1">IF($C17-G$1&lt;År1,0,F16*(1-VLOOKUP($A17,[1]Hugst!$R$5:$W$9,MATCH(ROUNDUP((G$1)/10,0)*10,[1]Hugst!$R$4:$W$4,0))))</f>
        <v>503.31550169399378</v>
      </c>
      <c r="H17">
        <f ca="1">IF($C17-H$1&lt;År1,0,G16*(1-VLOOKUP($A17,[1]Hugst!$R$5:$W$9,MATCH(ROUNDUP((H$1)/10,0)*10,[1]Hugst!$R$4:$W$4,0))))</f>
        <v>503.82502462231758</v>
      </c>
      <c r="I17">
        <f ca="1">IF($C17-I$1&lt;År1,0,H16*(1-VLOOKUP($A17,[1]Hugst!$R$5:$W$9,MATCH(ROUNDUP((I$1)/10,0)*10,[1]Hugst!$R$4:$W$4,0))))</f>
        <v>504.33710796736972</v>
      </c>
      <c r="J17">
        <f ca="1">IF($C17-J$1&lt;År1,0,I16*(1-VLOOKUP($A17,[1]Hugst!$R$5:$W$9,MATCH(ROUNDUP((J$1)/10,0)*10,[1]Hugst!$R$4:$W$4,0))))</f>
        <v>504.85176459555504</v>
      </c>
      <c r="K17">
        <f ca="1">IF($C17-K$1&lt;År1,0,J16*(1-VLOOKUP($A17,[1]Hugst!$R$5:$W$9,MATCH(ROUNDUP((K$1)/10,0)*10,[1]Hugst!$R$4:$W$4,0))))</f>
        <v>359.21612054433638</v>
      </c>
      <c r="L17">
        <f ca="1">IF($C17-L$1&lt;År1,0,K16*(1-VLOOKUP($A17,[1]Hugst!$R$5:$W$9,MATCH(ROUNDUP((L$1)/10,0)*10,[1]Hugst!$R$4:$W$4,0))))</f>
        <v>359.73596259699673</v>
      </c>
      <c r="M17">
        <f ca="1">IF($C17-M$1&lt;År1,0,L16*(1-VLOOKUP($A17,[1]Hugst!$R$5:$W$9,MATCH(ROUNDUP((M$1)/10,0)*10,[1]Hugst!$R$4:$W$4,0))))</f>
        <v>360.2584169212887</v>
      </c>
      <c r="N17">
        <f ca="1">IF($C17-N$1&lt;År1,0,M16*(1-VLOOKUP($A17,[1]Hugst!$R$5:$W$9,MATCH(ROUNDUP((N$1)/10,0)*10,[1]Hugst!$R$4:$W$4,0))))</f>
        <v>360.7834966441892</v>
      </c>
      <c r="O17">
        <f ca="1">IF($C17-O$1&lt;År1,0,N16*(1-VLOOKUP($A17,[1]Hugst!$R$5:$W$9,MATCH(ROUNDUP((O$1)/10,0)*10,[1]Hugst!$R$4:$W$4,0))))</f>
        <v>361.31121495866228</v>
      </c>
      <c r="P17">
        <f ca="1">IF($C17-P$1&lt;År1,0,O16*(1-VLOOKUP($A17,[1]Hugst!$R$5:$W$9,MATCH(ROUNDUP((P$1)/10,0)*10,[1]Hugst!$R$4:$W$4,0))))</f>
        <v>361.84158512396232</v>
      </c>
      <c r="Q17">
        <f ca="1">IF($C17-Q$1&lt;År1,0,P16*(1-VLOOKUP($A17,[1]Hugst!$R$5:$W$9,MATCH(ROUNDUP((Q$1)/10,0)*10,[1]Hugst!$R$4:$W$4,0))))</f>
        <v>362.37462046597341</v>
      </c>
      <c r="R17">
        <f ca="1">IF($C17-R$1&lt;År1,0,Q16*(1-VLOOKUP($A17,[1]Hugst!$R$5:$W$9,MATCH(ROUNDUP((R$1)/10,0)*10,[1]Hugst!$R$4:$W$4,0))))</f>
        <v>362.9103343775422</v>
      </c>
      <c r="S17">
        <f ca="1">IF($C17-S$1&lt;År1,0,R16*(1-VLOOKUP($A17,[1]Hugst!$R$5:$W$9,MATCH(ROUNDUP((S$1)/10,0)*10,[1]Hugst!$R$4:$W$4,0))))</f>
        <v>363.44874031881761</v>
      </c>
      <c r="T17">
        <f ca="1">IF($C17-T$1&lt;År1,0,S16*(1-VLOOKUP($A17,[1]Hugst!$R$5:$W$9,MATCH(ROUNDUP((T$1)/10,0)*10,[1]Hugst!$R$4:$W$4,0))))</f>
        <v>363.98985181758314</v>
      </c>
      <c r="U17">
        <f ca="1">IF($C17-U$1&lt;År1,0,T16*(1-VLOOKUP($A17,[1]Hugst!$R$5:$W$9,MATCH(ROUNDUP((U$1)/10,0)*10,[1]Hugst!$R$4:$W$4,0))))</f>
        <v>364.53368246961463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55000000000000004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502.30408594319869</v>
      </c>
      <c r="G18">
        <f ca="1">IF($C18-G$1&lt;År1,0,F17*(1-VLOOKUP($A18,[1]Hugst!$R$5:$W$9,MATCH(ROUNDUP((G$1)/10,0)*10,[1]Hugst!$R$4:$W$4,0))))</f>
        <v>502.80852638031337</v>
      </c>
      <c r="H18">
        <f ca="1">IF($C18-H$1&lt;År1,0,G17*(1-VLOOKUP($A18,[1]Hugst!$R$5:$W$9,MATCH(ROUNDUP((H$1)/10,0)*10,[1]Hugst!$R$4:$W$4,0))))</f>
        <v>503.31550169399378</v>
      </c>
      <c r="I18">
        <f ca="1">IF($C18-I$1&lt;År1,0,H17*(1-VLOOKUP($A18,[1]Hugst!$R$5:$W$9,MATCH(ROUNDUP((I$1)/10,0)*10,[1]Hugst!$R$4:$W$4,0))))</f>
        <v>503.82502462231758</v>
      </c>
      <c r="J18">
        <f ca="1">IF($C18-J$1&lt;År1,0,I17*(1-VLOOKUP($A18,[1]Hugst!$R$5:$W$9,MATCH(ROUNDUP((J$1)/10,0)*10,[1]Hugst!$R$4:$W$4,0))))</f>
        <v>504.33710796736972</v>
      </c>
      <c r="K18">
        <f ca="1">IF($C18-K$1&lt;År1,0,J17*(1-VLOOKUP($A18,[1]Hugst!$R$5:$W$9,MATCH(ROUNDUP((K$1)/10,0)*10,[1]Hugst!$R$4:$W$4,0))))</f>
        <v>504.85176459555504</v>
      </c>
      <c r="L18">
        <f ca="1">IF($C18-L$1&lt;År1,0,K17*(1-VLOOKUP($A18,[1]Hugst!$R$5:$W$9,MATCH(ROUNDUP((L$1)/10,0)*10,[1]Hugst!$R$4:$W$4,0))))</f>
        <v>359.21612054433638</v>
      </c>
      <c r="M18">
        <f ca="1">IF($C18-M$1&lt;År1,0,L17*(1-VLOOKUP($A18,[1]Hugst!$R$5:$W$9,MATCH(ROUNDUP((M$1)/10,0)*10,[1]Hugst!$R$4:$W$4,0))))</f>
        <v>359.73596259699673</v>
      </c>
      <c r="N18">
        <f ca="1">IF($C18-N$1&lt;År1,0,M17*(1-VLOOKUP($A18,[1]Hugst!$R$5:$W$9,MATCH(ROUNDUP((N$1)/10,0)*10,[1]Hugst!$R$4:$W$4,0))))</f>
        <v>360.2584169212887</v>
      </c>
      <c r="O18">
        <f ca="1">IF($C18-O$1&lt;År1,0,N17*(1-VLOOKUP($A18,[1]Hugst!$R$5:$W$9,MATCH(ROUNDUP((O$1)/10,0)*10,[1]Hugst!$R$4:$W$4,0))))</f>
        <v>360.7834966441892</v>
      </c>
      <c r="P18">
        <f ca="1">IF($C18-P$1&lt;År1,0,O17*(1-VLOOKUP($A18,[1]Hugst!$R$5:$W$9,MATCH(ROUNDUP((P$1)/10,0)*10,[1]Hugst!$R$4:$W$4,0))))</f>
        <v>361.31121495866228</v>
      </c>
      <c r="Q18">
        <f ca="1">IF($C18-Q$1&lt;År1,0,P17*(1-VLOOKUP($A18,[1]Hugst!$R$5:$W$9,MATCH(ROUNDUP((Q$1)/10,0)*10,[1]Hugst!$R$4:$W$4,0))))</f>
        <v>361.84158512396232</v>
      </c>
      <c r="R18">
        <f ca="1">IF($C18-R$1&lt;År1,0,Q17*(1-VLOOKUP($A18,[1]Hugst!$R$5:$W$9,MATCH(ROUNDUP((R$1)/10,0)*10,[1]Hugst!$R$4:$W$4,0))))</f>
        <v>362.37462046597341</v>
      </c>
      <c r="S18">
        <f ca="1">IF($C18-S$1&lt;År1,0,R17*(1-VLOOKUP($A18,[1]Hugst!$R$5:$W$9,MATCH(ROUNDUP((S$1)/10,0)*10,[1]Hugst!$R$4:$W$4,0))))</f>
        <v>362.9103343775422</v>
      </c>
      <c r="T18">
        <f ca="1">IF($C18-T$1&lt;År1,0,S17*(1-VLOOKUP($A18,[1]Hugst!$R$5:$W$9,MATCH(ROUNDUP((T$1)/10,0)*10,[1]Hugst!$R$4:$W$4,0))))</f>
        <v>363.44874031881761</v>
      </c>
      <c r="U18">
        <f ca="1">IF($C18-U$1&lt;År1,0,T17*(1-VLOOKUP($A18,[1]Hugst!$R$5:$W$9,MATCH(ROUNDUP((U$1)/10,0)*10,[1]Hugst!$R$4:$W$4,0))))</f>
        <v>363.98985181758314</v>
      </c>
      <c r="V18">
        <f ca="1">IF($C18-V$1&lt;År1,0,U17*(1-VLOOKUP($A18,[1]Hugst!$R$5:$W$9,MATCH(ROUNDUP((V$1)/10,0)*10,[1]Hugst!$R$4:$W$4,0))))</f>
        <v>364.53368246961463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55000000000000004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501.80216770826922</v>
      </c>
      <c r="G19">
        <f ca="1">IF($C19-G$1&lt;År1,0,F18*(1-VLOOKUP($A19,[1]Hugst!$R$5:$W$9,MATCH(ROUNDUP((G$1)/10,0)*10,[1]Hugst!$R$4:$W$4,0))))</f>
        <v>502.30408594319869</v>
      </c>
      <c r="H19">
        <f ca="1">IF($C19-H$1&lt;År1,0,G18*(1-VLOOKUP($A19,[1]Hugst!$R$5:$W$9,MATCH(ROUNDUP((H$1)/10,0)*10,[1]Hugst!$R$4:$W$4,0))))</f>
        <v>502.80852638031337</v>
      </c>
      <c r="I19">
        <f ca="1">IF($C19-I$1&lt;År1,0,H18*(1-VLOOKUP($A19,[1]Hugst!$R$5:$W$9,MATCH(ROUNDUP((I$1)/10,0)*10,[1]Hugst!$R$4:$W$4,0))))</f>
        <v>503.31550169399378</v>
      </c>
      <c r="J19">
        <f ca="1">IF($C19-J$1&lt;År1,0,I18*(1-VLOOKUP($A19,[1]Hugst!$R$5:$W$9,MATCH(ROUNDUP((J$1)/10,0)*10,[1]Hugst!$R$4:$W$4,0))))</f>
        <v>503.82502462231758</v>
      </c>
      <c r="K19">
        <f ca="1">IF($C19-K$1&lt;År1,0,J18*(1-VLOOKUP($A19,[1]Hugst!$R$5:$W$9,MATCH(ROUNDUP((K$1)/10,0)*10,[1]Hugst!$R$4:$W$4,0))))</f>
        <v>504.33710796736972</v>
      </c>
      <c r="L19">
        <f ca="1">IF($C19-L$1&lt;År1,0,K18*(1-VLOOKUP($A19,[1]Hugst!$R$5:$W$9,MATCH(ROUNDUP((L$1)/10,0)*10,[1]Hugst!$R$4:$W$4,0))))</f>
        <v>504.85176459555504</v>
      </c>
      <c r="M19">
        <f ca="1">IF($C19-M$1&lt;År1,0,L18*(1-VLOOKUP($A19,[1]Hugst!$R$5:$W$9,MATCH(ROUNDUP((M$1)/10,0)*10,[1]Hugst!$R$4:$W$4,0))))</f>
        <v>359.21612054433638</v>
      </c>
      <c r="N19">
        <f ca="1">IF($C19-N$1&lt;År1,0,M18*(1-VLOOKUP($A19,[1]Hugst!$R$5:$W$9,MATCH(ROUNDUP((N$1)/10,0)*10,[1]Hugst!$R$4:$W$4,0))))</f>
        <v>359.73596259699673</v>
      </c>
      <c r="O19">
        <f ca="1">IF($C19-O$1&lt;År1,0,N18*(1-VLOOKUP($A19,[1]Hugst!$R$5:$W$9,MATCH(ROUNDUP((O$1)/10,0)*10,[1]Hugst!$R$4:$W$4,0))))</f>
        <v>360.2584169212887</v>
      </c>
      <c r="P19">
        <f ca="1">IF($C19-P$1&lt;År1,0,O18*(1-VLOOKUP($A19,[1]Hugst!$R$5:$W$9,MATCH(ROUNDUP((P$1)/10,0)*10,[1]Hugst!$R$4:$W$4,0))))</f>
        <v>360.7834966441892</v>
      </c>
      <c r="Q19">
        <f ca="1">IF($C19-Q$1&lt;År1,0,P18*(1-VLOOKUP($A19,[1]Hugst!$R$5:$W$9,MATCH(ROUNDUP((Q$1)/10,0)*10,[1]Hugst!$R$4:$W$4,0))))</f>
        <v>361.31121495866228</v>
      </c>
      <c r="R19">
        <f ca="1">IF($C19-R$1&lt;År1,0,Q18*(1-VLOOKUP($A19,[1]Hugst!$R$5:$W$9,MATCH(ROUNDUP((R$1)/10,0)*10,[1]Hugst!$R$4:$W$4,0))))</f>
        <v>361.84158512396232</v>
      </c>
      <c r="S19">
        <f ca="1">IF($C19-S$1&lt;År1,0,R18*(1-VLOOKUP($A19,[1]Hugst!$R$5:$W$9,MATCH(ROUNDUP((S$1)/10,0)*10,[1]Hugst!$R$4:$W$4,0))))</f>
        <v>362.37462046597341</v>
      </c>
      <c r="T19">
        <f ca="1">IF($C19-T$1&lt;År1,0,S18*(1-VLOOKUP($A19,[1]Hugst!$R$5:$W$9,MATCH(ROUNDUP((T$1)/10,0)*10,[1]Hugst!$R$4:$W$4,0))))</f>
        <v>362.9103343775422</v>
      </c>
      <c r="U19">
        <f ca="1">IF($C19-U$1&lt;År1,0,T18*(1-VLOOKUP($A19,[1]Hugst!$R$5:$W$9,MATCH(ROUNDUP((U$1)/10,0)*10,[1]Hugst!$R$4:$W$4,0))))</f>
        <v>363.44874031881761</v>
      </c>
      <c r="V19">
        <f ca="1">IF($C19-V$1&lt;År1,0,U18*(1-VLOOKUP($A19,[1]Hugst!$R$5:$W$9,MATCH(ROUNDUP((V$1)/10,0)*10,[1]Hugst!$R$4:$W$4,0))))</f>
        <v>363.98985181758314</v>
      </c>
      <c r="W19">
        <f ca="1">IF($C19-W$1&lt;År1,0,V18*(1-VLOOKUP($A19,[1]Hugst!$R$5:$W$9,MATCH(ROUNDUP((W$1)/10,0)*10,[1]Hugst!$R$4:$W$4,0))))</f>
        <v>364.53368246961463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55000000000000004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501.30275906451851</v>
      </c>
      <c r="G20">
        <f ca="1">IF($C20-G$1&lt;År1,0,F19*(1-VLOOKUP($A20,[1]Hugst!$R$5:$W$9,MATCH(ROUNDUP((G$1)/10,0)*10,[1]Hugst!$R$4:$W$4,0))))</f>
        <v>501.80216770826922</v>
      </c>
      <c r="H20">
        <f ca="1">IF($C20-H$1&lt;År1,0,G19*(1-VLOOKUP($A20,[1]Hugst!$R$5:$W$9,MATCH(ROUNDUP((H$1)/10,0)*10,[1]Hugst!$R$4:$W$4,0))))</f>
        <v>502.30408594319869</v>
      </c>
      <c r="I20">
        <f ca="1">IF($C20-I$1&lt;År1,0,H19*(1-VLOOKUP($A20,[1]Hugst!$R$5:$W$9,MATCH(ROUNDUP((I$1)/10,0)*10,[1]Hugst!$R$4:$W$4,0))))</f>
        <v>502.80852638031337</v>
      </c>
      <c r="J20">
        <f ca="1">IF($C20-J$1&lt;År1,0,I19*(1-VLOOKUP($A20,[1]Hugst!$R$5:$W$9,MATCH(ROUNDUP((J$1)/10,0)*10,[1]Hugst!$R$4:$W$4,0))))</f>
        <v>503.31550169399378</v>
      </c>
      <c r="K20">
        <f ca="1">IF($C20-K$1&lt;År1,0,J19*(1-VLOOKUP($A20,[1]Hugst!$R$5:$W$9,MATCH(ROUNDUP((K$1)/10,0)*10,[1]Hugst!$R$4:$W$4,0))))</f>
        <v>503.82502462231758</v>
      </c>
      <c r="L20">
        <f ca="1">IF($C20-L$1&lt;År1,0,K19*(1-VLOOKUP($A20,[1]Hugst!$R$5:$W$9,MATCH(ROUNDUP((L$1)/10,0)*10,[1]Hugst!$R$4:$W$4,0))))</f>
        <v>504.33710796736972</v>
      </c>
      <c r="M20">
        <f ca="1">IF($C20-M$1&lt;År1,0,L19*(1-VLOOKUP($A20,[1]Hugst!$R$5:$W$9,MATCH(ROUNDUP((M$1)/10,0)*10,[1]Hugst!$R$4:$W$4,0))))</f>
        <v>504.85176459555504</v>
      </c>
      <c r="N20">
        <f ca="1">IF($C20-N$1&lt;År1,0,M19*(1-VLOOKUP($A20,[1]Hugst!$R$5:$W$9,MATCH(ROUNDUP((N$1)/10,0)*10,[1]Hugst!$R$4:$W$4,0))))</f>
        <v>359.21612054433638</v>
      </c>
      <c r="O20">
        <f ca="1">IF($C20-O$1&lt;År1,0,N19*(1-VLOOKUP($A20,[1]Hugst!$R$5:$W$9,MATCH(ROUNDUP((O$1)/10,0)*10,[1]Hugst!$R$4:$W$4,0))))</f>
        <v>359.73596259699673</v>
      </c>
      <c r="P20">
        <f ca="1">IF($C20-P$1&lt;År1,0,O19*(1-VLOOKUP($A20,[1]Hugst!$R$5:$W$9,MATCH(ROUNDUP((P$1)/10,0)*10,[1]Hugst!$R$4:$W$4,0))))</f>
        <v>360.2584169212887</v>
      </c>
      <c r="Q20">
        <f ca="1">IF($C20-Q$1&lt;År1,0,P19*(1-VLOOKUP($A20,[1]Hugst!$R$5:$W$9,MATCH(ROUNDUP((Q$1)/10,0)*10,[1]Hugst!$R$4:$W$4,0))))</f>
        <v>360.7834966441892</v>
      </c>
      <c r="R20">
        <f ca="1">IF($C20-R$1&lt;År1,0,Q19*(1-VLOOKUP($A20,[1]Hugst!$R$5:$W$9,MATCH(ROUNDUP((R$1)/10,0)*10,[1]Hugst!$R$4:$W$4,0))))</f>
        <v>361.31121495866228</v>
      </c>
      <c r="S20">
        <f ca="1">IF($C20-S$1&lt;År1,0,R19*(1-VLOOKUP($A20,[1]Hugst!$R$5:$W$9,MATCH(ROUNDUP((S$1)/10,0)*10,[1]Hugst!$R$4:$W$4,0))))</f>
        <v>361.84158512396232</v>
      </c>
      <c r="T20">
        <f ca="1">IF($C20-T$1&lt;År1,0,S19*(1-VLOOKUP($A20,[1]Hugst!$R$5:$W$9,MATCH(ROUNDUP((T$1)/10,0)*10,[1]Hugst!$R$4:$W$4,0))))</f>
        <v>362.37462046597341</v>
      </c>
      <c r="U20">
        <f ca="1">IF($C20-U$1&lt;År1,0,T19*(1-VLOOKUP($A20,[1]Hugst!$R$5:$W$9,MATCH(ROUNDUP((U$1)/10,0)*10,[1]Hugst!$R$4:$W$4,0))))</f>
        <v>362.9103343775422</v>
      </c>
      <c r="V20">
        <f ca="1">IF($C20-V$1&lt;År1,0,U19*(1-VLOOKUP($A20,[1]Hugst!$R$5:$W$9,MATCH(ROUNDUP((V$1)/10,0)*10,[1]Hugst!$R$4:$W$4,0))))</f>
        <v>363.44874031881761</v>
      </c>
      <c r="W20">
        <f ca="1">IF($C20-W$1&lt;År1,0,V19*(1-VLOOKUP($A20,[1]Hugst!$R$5:$W$9,MATCH(ROUNDUP((W$1)/10,0)*10,[1]Hugst!$R$4:$W$4,0))))</f>
        <v>363.98985181758314</v>
      </c>
      <c r="X20">
        <f ca="1">IF($C20-X$1&lt;År1,0,W19*(1-VLOOKUP($A20,[1]Hugst!$R$5:$W$9,MATCH(ROUNDUP((X$1)/10,0)*10,[1]Hugst!$R$4:$W$4,0))))</f>
        <v>364.53368246961463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55000000000000004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500.80584746397761</v>
      </c>
      <c r="G21">
        <f ca="1">IF($C21-G$1&lt;År1,0,F20*(1-VLOOKUP($A21,[1]Hugst!$R$5:$W$9,MATCH(ROUNDUP((G$1)/10,0)*10,[1]Hugst!$R$4:$W$4,0))))</f>
        <v>501.30275906451851</v>
      </c>
      <c r="H21">
        <f ca="1">IF($C21-H$1&lt;År1,0,G20*(1-VLOOKUP($A21,[1]Hugst!$R$5:$W$9,MATCH(ROUNDUP((H$1)/10,0)*10,[1]Hugst!$R$4:$W$4,0))))</f>
        <v>501.80216770826922</v>
      </c>
      <c r="I21">
        <f ca="1">IF($C21-I$1&lt;År1,0,H20*(1-VLOOKUP($A21,[1]Hugst!$R$5:$W$9,MATCH(ROUNDUP((I$1)/10,0)*10,[1]Hugst!$R$4:$W$4,0))))</f>
        <v>502.30408594319869</v>
      </c>
      <c r="J21">
        <f ca="1">IF($C21-J$1&lt;År1,0,I20*(1-VLOOKUP($A21,[1]Hugst!$R$5:$W$9,MATCH(ROUNDUP((J$1)/10,0)*10,[1]Hugst!$R$4:$W$4,0))))</f>
        <v>502.80852638031337</v>
      </c>
      <c r="K21">
        <f ca="1">IF($C21-K$1&lt;År1,0,J20*(1-VLOOKUP($A21,[1]Hugst!$R$5:$W$9,MATCH(ROUNDUP((K$1)/10,0)*10,[1]Hugst!$R$4:$W$4,0))))</f>
        <v>503.31550169399378</v>
      </c>
      <c r="L21">
        <f ca="1">IF($C21-L$1&lt;År1,0,K20*(1-VLOOKUP($A21,[1]Hugst!$R$5:$W$9,MATCH(ROUNDUP((L$1)/10,0)*10,[1]Hugst!$R$4:$W$4,0))))</f>
        <v>503.82502462231758</v>
      </c>
      <c r="M21">
        <f ca="1">IF($C21-M$1&lt;År1,0,L20*(1-VLOOKUP($A21,[1]Hugst!$R$5:$W$9,MATCH(ROUNDUP((M$1)/10,0)*10,[1]Hugst!$R$4:$W$4,0))))</f>
        <v>504.33710796736972</v>
      </c>
      <c r="N21">
        <f ca="1">IF($C21-N$1&lt;År1,0,M20*(1-VLOOKUP($A21,[1]Hugst!$R$5:$W$9,MATCH(ROUNDUP((N$1)/10,0)*10,[1]Hugst!$R$4:$W$4,0))))</f>
        <v>504.85176459555504</v>
      </c>
      <c r="O21">
        <f ca="1">IF($C21-O$1&lt;År1,0,N20*(1-VLOOKUP($A21,[1]Hugst!$R$5:$W$9,MATCH(ROUNDUP((O$1)/10,0)*10,[1]Hugst!$R$4:$W$4,0))))</f>
        <v>359.21612054433638</v>
      </c>
      <c r="P21">
        <f ca="1">IF($C21-P$1&lt;År1,0,O20*(1-VLOOKUP($A21,[1]Hugst!$R$5:$W$9,MATCH(ROUNDUP((P$1)/10,0)*10,[1]Hugst!$R$4:$W$4,0))))</f>
        <v>359.73596259699673</v>
      </c>
      <c r="Q21">
        <f ca="1">IF($C21-Q$1&lt;År1,0,P20*(1-VLOOKUP($A21,[1]Hugst!$R$5:$W$9,MATCH(ROUNDUP((Q$1)/10,0)*10,[1]Hugst!$R$4:$W$4,0))))</f>
        <v>360.2584169212887</v>
      </c>
      <c r="R21">
        <f ca="1">IF($C21-R$1&lt;År1,0,Q20*(1-VLOOKUP($A21,[1]Hugst!$R$5:$W$9,MATCH(ROUNDUP((R$1)/10,0)*10,[1]Hugst!$R$4:$W$4,0))))</f>
        <v>360.7834966441892</v>
      </c>
      <c r="S21">
        <f ca="1">IF($C21-S$1&lt;År1,0,R20*(1-VLOOKUP($A21,[1]Hugst!$R$5:$W$9,MATCH(ROUNDUP((S$1)/10,0)*10,[1]Hugst!$R$4:$W$4,0))))</f>
        <v>361.31121495866228</v>
      </c>
      <c r="T21">
        <f ca="1">IF($C21-T$1&lt;År1,0,S20*(1-VLOOKUP($A21,[1]Hugst!$R$5:$W$9,MATCH(ROUNDUP((T$1)/10,0)*10,[1]Hugst!$R$4:$W$4,0))))</f>
        <v>361.84158512396232</v>
      </c>
      <c r="U21">
        <f ca="1">IF($C21-U$1&lt;År1,0,T20*(1-VLOOKUP($A21,[1]Hugst!$R$5:$W$9,MATCH(ROUNDUP((U$1)/10,0)*10,[1]Hugst!$R$4:$W$4,0))))</f>
        <v>362.37462046597341</v>
      </c>
      <c r="V21">
        <f ca="1">IF($C21-V$1&lt;År1,0,U20*(1-VLOOKUP($A21,[1]Hugst!$R$5:$W$9,MATCH(ROUNDUP((V$1)/10,0)*10,[1]Hugst!$R$4:$W$4,0))))</f>
        <v>362.9103343775422</v>
      </c>
      <c r="W21">
        <f ca="1">IF($C21-W$1&lt;År1,0,V20*(1-VLOOKUP($A21,[1]Hugst!$R$5:$W$9,MATCH(ROUNDUP((W$1)/10,0)*10,[1]Hugst!$R$4:$W$4,0))))</f>
        <v>363.44874031881761</v>
      </c>
      <c r="X21">
        <f ca="1">IF($C21-X$1&lt;År1,0,W20*(1-VLOOKUP($A21,[1]Hugst!$R$5:$W$9,MATCH(ROUNDUP((X$1)/10,0)*10,[1]Hugst!$R$4:$W$4,0))))</f>
        <v>363.98985181758314</v>
      </c>
      <c r="Y21">
        <f ca="1">IF($C21-Y$1&lt;År1,0,X20*(1-VLOOKUP($A21,[1]Hugst!$R$5:$W$9,MATCH(ROUNDUP((Y$1)/10,0)*10,[1]Hugst!$R$4:$W$4,0))))</f>
        <v>364.53368246961463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55000000000000004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500.31142042144751</v>
      </c>
      <c r="G22">
        <f ca="1">IF($C22-G$1&lt;År1,0,F21*(1-VLOOKUP($A22,[1]Hugst!$R$5:$W$9,MATCH(ROUNDUP((G$1)/10,0)*10,[1]Hugst!$R$4:$W$4,0))))</f>
        <v>500.80584746397761</v>
      </c>
      <c r="H22">
        <f ca="1">IF($C22-H$1&lt;År1,0,G21*(1-VLOOKUP($A22,[1]Hugst!$R$5:$W$9,MATCH(ROUNDUP((H$1)/10,0)*10,[1]Hugst!$R$4:$W$4,0))))</f>
        <v>501.30275906451851</v>
      </c>
      <c r="I22">
        <f ca="1">IF($C22-I$1&lt;År1,0,H21*(1-VLOOKUP($A22,[1]Hugst!$R$5:$W$9,MATCH(ROUNDUP((I$1)/10,0)*10,[1]Hugst!$R$4:$W$4,0))))</f>
        <v>501.80216770826922</v>
      </c>
      <c r="J22">
        <f ca="1">IF($C22-J$1&lt;År1,0,I21*(1-VLOOKUP($A22,[1]Hugst!$R$5:$W$9,MATCH(ROUNDUP((J$1)/10,0)*10,[1]Hugst!$R$4:$W$4,0))))</f>
        <v>502.30408594319869</v>
      </c>
      <c r="K22">
        <f ca="1">IF($C22-K$1&lt;År1,0,J21*(1-VLOOKUP($A22,[1]Hugst!$R$5:$W$9,MATCH(ROUNDUP((K$1)/10,0)*10,[1]Hugst!$R$4:$W$4,0))))</f>
        <v>502.80852638031337</v>
      </c>
      <c r="L22">
        <f ca="1">IF($C22-L$1&lt;År1,0,K21*(1-VLOOKUP($A22,[1]Hugst!$R$5:$W$9,MATCH(ROUNDUP((L$1)/10,0)*10,[1]Hugst!$R$4:$W$4,0))))</f>
        <v>503.31550169399378</v>
      </c>
      <c r="M22">
        <f ca="1">IF($C22-M$1&lt;År1,0,L21*(1-VLOOKUP($A22,[1]Hugst!$R$5:$W$9,MATCH(ROUNDUP((M$1)/10,0)*10,[1]Hugst!$R$4:$W$4,0))))</f>
        <v>503.82502462231758</v>
      </c>
      <c r="N22">
        <f ca="1">IF($C22-N$1&lt;År1,0,M21*(1-VLOOKUP($A22,[1]Hugst!$R$5:$W$9,MATCH(ROUNDUP((N$1)/10,0)*10,[1]Hugst!$R$4:$W$4,0))))</f>
        <v>504.33710796736972</v>
      </c>
      <c r="O22">
        <f ca="1">IF($C22-O$1&lt;År1,0,N21*(1-VLOOKUP($A22,[1]Hugst!$R$5:$W$9,MATCH(ROUNDUP((O$1)/10,0)*10,[1]Hugst!$R$4:$W$4,0))))</f>
        <v>504.85176459555504</v>
      </c>
      <c r="P22">
        <f ca="1">IF($C22-P$1&lt;År1,0,O21*(1-VLOOKUP($A22,[1]Hugst!$R$5:$W$9,MATCH(ROUNDUP((P$1)/10,0)*10,[1]Hugst!$R$4:$W$4,0))))</f>
        <v>359.21612054433638</v>
      </c>
      <c r="Q22">
        <f ca="1">IF($C22-Q$1&lt;År1,0,P21*(1-VLOOKUP($A22,[1]Hugst!$R$5:$W$9,MATCH(ROUNDUP((Q$1)/10,0)*10,[1]Hugst!$R$4:$W$4,0))))</f>
        <v>359.73596259699673</v>
      </c>
      <c r="R22">
        <f ca="1">IF($C22-R$1&lt;År1,0,Q21*(1-VLOOKUP($A22,[1]Hugst!$R$5:$W$9,MATCH(ROUNDUP((R$1)/10,0)*10,[1]Hugst!$R$4:$W$4,0))))</f>
        <v>360.2584169212887</v>
      </c>
      <c r="S22">
        <f ca="1">IF($C22-S$1&lt;År1,0,R21*(1-VLOOKUP($A22,[1]Hugst!$R$5:$W$9,MATCH(ROUNDUP((S$1)/10,0)*10,[1]Hugst!$R$4:$W$4,0))))</f>
        <v>360.7834966441892</v>
      </c>
      <c r="T22">
        <f ca="1">IF($C22-T$1&lt;År1,0,S21*(1-VLOOKUP($A22,[1]Hugst!$R$5:$W$9,MATCH(ROUNDUP((T$1)/10,0)*10,[1]Hugst!$R$4:$W$4,0))))</f>
        <v>361.31121495866228</v>
      </c>
      <c r="U22">
        <f ca="1">IF($C22-U$1&lt;År1,0,T21*(1-VLOOKUP($A22,[1]Hugst!$R$5:$W$9,MATCH(ROUNDUP((U$1)/10,0)*10,[1]Hugst!$R$4:$W$4,0))))</f>
        <v>361.84158512396232</v>
      </c>
      <c r="V22">
        <f ca="1">IF($C22-V$1&lt;År1,0,U21*(1-VLOOKUP($A22,[1]Hugst!$R$5:$W$9,MATCH(ROUNDUP((V$1)/10,0)*10,[1]Hugst!$R$4:$W$4,0))))</f>
        <v>362.37462046597341</v>
      </c>
      <c r="W22">
        <f ca="1">IF($C22-W$1&lt;År1,0,V21*(1-VLOOKUP($A22,[1]Hugst!$R$5:$W$9,MATCH(ROUNDUP((W$1)/10,0)*10,[1]Hugst!$R$4:$W$4,0))))</f>
        <v>362.9103343775422</v>
      </c>
      <c r="X22">
        <f ca="1">IF($C22-X$1&lt;År1,0,W21*(1-VLOOKUP($A22,[1]Hugst!$R$5:$W$9,MATCH(ROUNDUP((X$1)/10,0)*10,[1]Hugst!$R$4:$W$4,0))))</f>
        <v>363.44874031881761</v>
      </c>
      <c r="Y22">
        <f ca="1">IF($C22-Y$1&lt;År1,0,X21*(1-VLOOKUP($A22,[1]Hugst!$R$5:$W$9,MATCH(ROUNDUP((Y$1)/10,0)*10,[1]Hugst!$R$4:$W$4,0))))</f>
        <v>363.98985181758314</v>
      </c>
      <c r="Z22">
        <f ca="1">IF($C22-Z$1&lt;År1,0,Y21*(1-VLOOKUP($A22,[1]Hugst!$R$5:$W$9,MATCH(ROUNDUP((Z$1)/10,0)*10,[1]Hugst!$R$4:$W$4,0))))</f>
        <v>364.53368246961463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55000000000000004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499.8194655141296</v>
      </c>
      <c r="G23">
        <f ca="1">IF($C23-G$1&lt;År1,0,F22*(1-VLOOKUP($A23,[1]Hugst!$R$5:$W$9,MATCH(ROUNDUP((G$1)/10,0)*10,[1]Hugst!$R$4:$W$4,0))))</f>
        <v>500.31142042144751</v>
      </c>
      <c r="H23">
        <f ca="1">IF($C23-H$1&lt;År1,0,G22*(1-VLOOKUP($A23,[1]Hugst!$R$5:$W$9,MATCH(ROUNDUP((H$1)/10,0)*10,[1]Hugst!$R$4:$W$4,0))))</f>
        <v>500.80584746397761</v>
      </c>
      <c r="I23">
        <f ca="1">IF($C23-I$1&lt;År1,0,H22*(1-VLOOKUP($A23,[1]Hugst!$R$5:$W$9,MATCH(ROUNDUP((I$1)/10,0)*10,[1]Hugst!$R$4:$W$4,0))))</f>
        <v>501.30275906451851</v>
      </c>
      <c r="J23">
        <f ca="1">IF($C23-J$1&lt;År1,0,I22*(1-VLOOKUP($A23,[1]Hugst!$R$5:$W$9,MATCH(ROUNDUP((J$1)/10,0)*10,[1]Hugst!$R$4:$W$4,0))))</f>
        <v>501.80216770826922</v>
      </c>
      <c r="K23">
        <f ca="1">IF($C23-K$1&lt;År1,0,J22*(1-VLOOKUP($A23,[1]Hugst!$R$5:$W$9,MATCH(ROUNDUP((K$1)/10,0)*10,[1]Hugst!$R$4:$W$4,0))))</f>
        <v>502.30408594319869</v>
      </c>
      <c r="L23">
        <f ca="1">IF($C23-L$1&lt;År1,0,K22*(1-VLOOKUP($A23,[1]Hugst!$R$5:$W$9,MATCH(ROUNDUP((L$1)/10,0)*10,[1]Hugst!$R$4:$W$4,0))))</f>
        <v>502.80852638031337</v>
      </c>
      <c r="M23">
        <f ca="1">IF($C23-M$1&lt;År1,0,L22*(1-VLOOKUP($A23,[1]Hugst!$R$5:$W$9,MATCH(ROUNDUP((M$1)/10,0)*10,[1]Hugst!$R$4:$W$4,0))))</f>
        <v>503.31550169399378</v>
      </c>
      <c r="N23">
        <f ca="1">IF($C23-N$1&lt;År1,0,M22*(1-VLOOKUP($A23,[1]Hugst!$R$5:$W$9,MATCH(ROUNDUP((N$1)/10,0)*10,[1]Hugst!$R$4:$W$4,0))))</f>
        <v>503.82502462231758</v>
      </c>
      <c r="O23">
        <f ca="1">IF($C23-O$1&lt;År1,0,N22*(1-VLOOKUP($A23,[1]Hugst!$R$5:$W$9,MATCH(ROUNDUP((O$1)/10,0)*10,[1]Hugst!$R$4:$W$4,0))))</f>
        <v>504.33710796736972</v>
      </c>
      <c r="P23">
        <f ca="1">IF($C23-P$1&lt;År1,0,O22*(1-VLOOKUP($A23,[1]Hugst!$R$5:$W$9,MATCH(ROUNDUP((P$1)/10,0)*10,[1]Hugst!$R$4:$W$4,0))))</f>
        <v>504.85176459555504</v>
      </c>
      <c r="Q23">
        <f ca="1">IF($C23-Q$1&lt;År1,0,P22*(1-VLOOKUP($A23,[1]Hugst!$R$5:$W$9,MATCH(ROUNDUP((Q$1)/10,0)*10,[1]Hugst!$R$4:$W$4,0))))</f>
        <v>359.21612054433638</v>
      </c>
      <c r="R23">
        <f ca="1">IF($C23-R$1&lt;År1,0,Q22*(1-VLOOKUP($A23,[1]Hugst!$R$5:$W$9,MATCH(ROUNDUP((R$1)/10,0)*10,[1]Hugst!$R$4:$W$4,0))))</f>
        <v>359.73596259699673</v>
      </c>
      <c r="S23">
        <f ca="1">IF($C23-S$1&lt;År1,0,R22*(1-VLOOKUP($A23,[1]Hugst!$R$5:$W$9,MATCH(ROUNDUP((S$1)/10,0)*10,[1]Hugst!$R$4:$W$4,0))))</f>
        <v>360.2584169212887</v>
      </c>
      <c r="T23">
        <f ca="1">IF($C23-T$1&lt;År1,0,S22*(1-VLOOKUP($A23,[1]Hugst!$R$5:$W$9,MATCH(ROUNDUP((T$1)/10,0)*10,[1]Hugst!$R$4:$W$4,0))))</f>
        <v>360.7834966441892</v>
      </c>
      <c r="U23">
        <f ca="1">IF($C23-U$1&lt;År1,0,T22*(1-VLOOKUP($A23,[1]Hugst!$R$5:$W$9,MATCH(ROUNDUP((U$1)/10,0)*10,[1]Hugst!$R$4:$W$4,0))))</f>
        <v>361.31121495866228</v>
      </c>
      <c r="V23">
        <f ca="1">IF($C23-V$1&lt;År1,0,U22*(1-VLOOKUP($A23,[1]Hugst!$R$5:$W$9,MATCH(ROUNDUP((V$1)/10,0)*10,[1]Hugst!$R$4:$W$4,0))))</f>
        <v>361.84158512396232</v>
      </c>
      <c r="W23">
        <f ca="1">IF($C23-W$1&lt;År1,0,V22*(1-VLOOKUP($A23,[1]Hugst!$R$5:$W$9,MATCH(ROUNDUP((W$1)/10,0)*10,[1]Hugst!$R$4:$W$4,0))))</f>
        <v>362.37462046597341</v>
      </c>
      <c r="X23">
        <f ca="1">IF($C23-X$1&lt;År1,0,W22*(1-VLOOKUP($A23,[1]Hugst!$R$5:$W$9,MATCH(ROUNDUP((X$1)/10,0)*10,[1]Hugst!$R$4:$W$4,0))))</f>
        <v>362.9103343775422</v>
      </c>
      <c r="Y23">
        <f ca="1">IF($C23-Y$1&lt;År1,0,X22*(1-VLOOKUP($A23,[1]Hugst!$R$5:$W$9,MATCH(ROUNDUP((Y$1)/10,0)*10,[1]Hugst!$R$4:$W$4,0))))</f>
        <v>363.44874031881761</v>
      </c>
      <c r="Z23">
        <f ca="1">IF($C23-Z$1&lt;År1,0,Y22*(1-VLOOKUP($A23,[1]Hugst!$R$5:$W$9,MATCH(ROUNDUP((Z$1)/10,0)*10,[1]Hugst!$R$4:$W$4,0))))</f>
        <v>363.98985181758314</v>
      </c>
      <c r="AA23">
        <f ca="1">IF($C23-AA$1&lt;År1,0,Z22*(1-VLOOKUP($A23,[1]Hugst!$R$5:$W$9,MATCH(ROUNDUP((AA$1)/10,0)*10,[1]Hugst!$R$4:$W$4,0))))</f>
        <v>364.53368246961463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55000000000000004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499.32997038134494</v>
      </c>
      <c r="G24">
        <f ca="1">IF($C24-G$1&lt;År1,0,F23*(1-VLOOKUP($A24,[1]Hugst!$R$5:$W$9,MATCH(ROUNDUP((G$1)/10,0)*10,[1]Hugst!$R$4:$W$4,0))))</f>
        <v>499.8194655141296</v>
      </c>
      <c r="H24">
        <f ca="1">IF($C24-H$1&lt;År1,0,G23*(1-VLOOKUP($A24,[1]Hugst!$R$5:$W$9,MATCH(ROUNDUP((H$1)/10,0)*10,[1]Hugst!$R$4:$W$4,0))))</f>
        <v>500.31142042144751</v>
      </c>
      <c r="I24">
        <f ca="1">IF($C24-I$1&lt;År1,0,H23*(1-VLOOKUP($A24,[1]Hugst!$R$5:$W$9,MATCH(ROUNDUP((I$1)/10,0)*10,[1]Hugst!$R$4:$W$4,0))))</f>
        <v>500.80584746397761</v>
      </c>
      <c r="J24">
        <f ca="1">IF($C24-J$1&lt;År1,0,I23*(1-VLOOKUP($A24,[1]Hugst!$R$5:$W$9,MATCH(ROUNDUP((J$1)/10,0)*10,[1]Hugst!$R$4:$W$4,0))))</f>
        <v>501.30275906451851</v>
      </c>
      <c r="K24">
        <f ca="1">IF($C24-K$1&lt;År1,0,J23*(1-VLOOKUP($A24,[1]Hugst!$R$5:$W$9,MATCH(ROUNDUP((K$1)/10,0)*10,[1]Hugst!$R$4:$W$4,0))))</f>
        <v>501.80216770826922</v>
      </c>
      <c r="L24">
        <f ca="1">IF($C24-L$1&lt;År1,0,K23*(1-VLOOKUP($A24,[1]Hugst!$R$5:$W$9,MATCH(ROUNDUP((L$1)/10,0)*10,[1]Hugst!$R$4:$W$4,0))))</f>
        <v>502.30408594319869</v>
      </c>
      <c r="M24">
        <f ca="1">IF($C24-M$1&lt;År1,0,L23*(1-VLOOKUP($A24,[1]Hugst!$R$5:$W$9,MATCH(ROUNDUP((M$1)/10,0)*10,[1]Hugst!$R$4:$W$4,0))))</f>
        <v>502.80852638031337</v>
      </c>
      <c r="N24">
        <f ca="1">IF($C24-N$1&lt;År1,0,M23*(1-VLOOKUP($A24,[1]Hugst!$R$5:$W$9,MATCH(ROUNDUP((N$1)/10,0)*10,[1]Hugst!$R$4:$W$4,0))))</f>
        <v>503.31550169399378</v>
      </c>
      <c r="O24">
        <f ca="1">IF($C24-O$1&lt;År1,0,N23*(1-VLOOKUP($A24,[1]Hugst!$R$5:$W$9,MATCH(ROUNDUP((O$1)/10,0)*10,[1]Hugst!$R$4:$W$4,0))))</f>
        <v>503.82502462231758</v>
      </c>
      <c r="P24">
        <f ca="1">IF($C24-P$1&lt;År1,0,O23*(1-VLOOKUP($A24,[1]Hugst!$R$5:$W$9,MATCH(ROUNDUP((P$1)/10,0)*10,[1]Hugst!$R$4:$W$4,0))))</f>
        <v>504.33710796736972</v>
      </c>
      <c r="Q24">
        <f ca="1">IF($C24-Q$1&lt;År1,0,P23*(1-VLOOKUP($A24,[1]Hugst!$R$5:$W$9,MATCH(ROUNDUP((Q$1)/10,0)*10,[1]Hugst!$R$4:$W$4,0))))</f>
        <v>504.85176459555504</v>
      </c>
      <c r="R24">
        <f ca="1">IF($C24-R$1&lt;År1,0,Q23*(1-VLOOKUP($A24,[1]Hugst!$R$5:$W$9,MATCH(ROUNDUP((R$1)/10,0)*10,[1]Hugst!$R$4:$W$4,0))))</f>
        <v>359.21612054433638</v>
      </c>
      <c r="S24">
        <f ca="1">IF($C24-S$1&lt;År1,0,R23*(1-VLOOKUP($A24,[1]Hugst!$R$5:$W$9,MATCH(ROUNDUP((S$1)/10,0)*10,[1]Hugst!$R$4:$W$4,0))))</f>
        <v>359.73596259699673</v>
      </c>
      <c r="T24">
        <f ca="1">IF($C24-T$1&lt;År1,0,S23*(1-VLOOKUP($A24,[1]Hugst!$R$5:$W$9,MATCH(ROUNDUP((T$1)/10,0)*10,[1]Hugst!$R$4:$W$4,0))))</f>
        <v>360.2584169212887</v>
      </c>
      <c r="U24">
        <f ca="1">IF($C24-U$1&lt;År1,0,T23*(1-VLOOKUP($A24,[1]Hugst!$R$5:$W$9,MATCH(ROUNDUP((U$1)/10,0)*10,[1]Hugst!$R$4:$W$4,0))))</f>
        <v>360.7834966441892</v>
      </c>
      <c r="V24">
        <f ca="1">IF($C24-V$1&lt;År1,0,U23*(1-VLOOKUP($A24,[1]Hugst!$R$5:$W$9,MATCH(ROUNDUP((V$1)/10,0)*10,[1]Hugst!$R$4:$W$4,0))))</f>
        <v>361.31121495866228</v>
      </c>
      <c r="W24">
        <f ca="1">IF($C24-W$1&lt;År1,0,V23*(1-VLOOKUP($A24,[1]Hugst!$R$5:$W$9,MATCH(ROUNDUP((W$1)/10,0)*10,[1]Hugst!$R$4:$W$4,0))))</f>
        <v>361.84158512396232</v>
      </c>
      <c r="X24">
        <f ca="1">IF($C24-X$1&lt;År1,0,W23*(1-VLOOKUP($A24,[1]Hugst!$R$5:$W$9,MATCH(ROUNDUP((X$1)/10,0)*10,[1]Hugst!$R$4:$W$4,0))))</f>
        <v>362.37462046597341</v>
      </c>
      <c r="Y24">
        <f ca="1">IF($C24-Y$1&lt;År1,0,X23*(1-VLOOKUP($A24,[1]Hugst!$R$5:$W$9,MATCH(ROUNDUP((Y$1)/10,0)*10,[1]Hugst!$R$4:$W$4,0))))</f>
        <v>362.9103343775422</v>
      </c>
      <c r="Z24">
        <f ca="1">IF($C24-Z$1&lt;År1,0,Y23*(1-VLOOKUP($A24,[1]Hugst!$R$5:$W$9,MATCH(ROUNDUP((Z$1)/10,0)*10,[1]Hugst!$R$4:$W$4,0))))</f>
        <v>363.44874031881761</v>
      </c>
      <c r="AA24">
        <f ca="1">IF($C24-AA$1&lt;År1,0,Z23*(1-VLOOKUP($A24,[1]Hugst!$R$5:$W$9,MATCH(ROUNDUP((AA$1)/10,0)*10,[1]Hugst!$R$4:$W$4,0))))</f>
        <v>363.98985181758314</v>
      </c>
      <c r="AB24">
        <f ca="1">IF($C24-AB$1&lt;År1,0,AA23*(1-VLOOKUP($A24,[1]Hugst!$R$5:$W$9,MATCH(ROUNDUP((AB$1)/10,0)*10,[1]Hugst!$R$4:$W$4,0))))</f>
        <v>364.53368246961463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55000000000000004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498.84292272422448</v>
      </c>
      <c r="G25">
        <f ca="1">IF($C25-G$1&lt;År1,0,F24*(1-VLOOKUP($A25,[1]Hugst!$R$5:$W$9,MATCH(ROUNDUP((G$1)/10,0)*10,[1]Hugst!$R$4:$W$4,0))))</f>
        <v>499.32997038134494</v>
      </c>
      <c r="H25">
        <f ca="1">IF($C25-H$1&lt;År1,0,G24*(1-VLOOKUP($A25,[1]Hugst!$R$5:$W$9,MATCH(ROUNDUP((H$1)/10,0)*10,[1]Hugst!$R$4:$W$4,0))))</f>
        <v>499.8194655141296</v>
      </c>
      <c r="I25">
        <f ca="1">IF($C25-I$1&lt;År1,0,H24*(1-VLOOKUP($A25,[1]Hugst!$R$5:$W$9,MATCH(ROUNDUP((I$1)/10,0)*10,[1]Hugst!$R$4:$W$4,0))))</f>
        <v>500.31142042144751</v>
      </c>
      <c r="J25">
        <f ca="1">IF($C25-J$1&lt;År1,0,I24*(1-VLOOKUP($A25,[1]Hugst!$R$5:$W$9,MATCH(ROUNDUP((J$1)/10,0)*10,[1]Hugst!$R$4:$W$4,0))))</f>
        <v>500.80584746397761</v>
      </c>
      <c r="K25">
        <f ca="1">IF($C25-K$1&lt;År1,0,J24*(1-VLOOKUP($A25,[1]Hugst!$R$5:$W$9,MATCH(ROUNDUP((K$1)/10,0)*10,[1]Hugst!$R$4:$W$4,0))))</f>
        <v>501.30275906451851</v>
      </c>
      <c r="L25">
        <f ca="1">IF($C25-L$1&lt;År1,0,K24*(1-VLOOKUP($A25,[1]Hugst!$R$5:$W$9,MATCH(ROUNDUP((L$1)/10,0)*10,[1]Hugst!$R$4:$W$4,0))))</f>
        <v>501.80216770826922</v>
      </c>
      <c r="M25">
        <f ca="1">IF($C25-M$1&lt;År1,0,L24*(1-VLOOKUP($A25,[1]Hugst!$R$5:$W$9,MATCH(ROUNDUP((M$1)/10,0)*10,[1]Hugst!$R$4:$W$4,0))))</f>
        <v>502.30408594319869</v>
      </c>
      <c r="N25">
        <f ca="1">IF($C25-N$1&lt;År1,0,M24*(1-VLOOKUP($A25,[1]Hugst!$R$5:$W$9,MATCH(ROUNDUP((N$1)/10,0)*10,[1]Hugst!$R$4:$W$4,0))))</f>
        <v>502.80852638031337</v>
      </c>
      <c r="O25">
        <f ca="1">IF($C25-O$1&lt;År1,0,N24*(1-VLOOKUP($A25,[1]Hugst!$R$5:$W$9,MATCH(ROUNDUP((O$1)/10,0)*10,[1]Hugst!$R$4:$W$4,0))))</f>
        <v>503.31550169399378</v>
      </c>
      <c r="P25">
        <f ca="1">IF($C25-P$1&lt;År1,0,O24*(1-VLOOKUP($A25,[1]Hugst!$R$5:$W$9,MATCH(ROUNDUP((P$1)/10,0)*10,[1]Hugst!$R$4:$W$4,0))))</f>
        <v>503.82502462231758</v>
      </c>
      <c r="Q25">
        <f ca="1">IF($C25-Q$1&lt;År1,0,P24*(1-VLOOKUP($A25,[1]Hugst!$R$5:$W$9,MATCH(ROUNDUP((Q$1)/10,0)*10,[1]Hugst!$R$4:$W$4,0))))</f>
        <v>504.33710796736972</v>
      </c>
      <c r="R25">
        <f ca="1">IF($C25-R$1&lt;År1,0,Q24*(1-VLOOKUP($A25,[1]Hugst!$R$5:$W$9,MATCH(ROUNDUP((R$1)/10,0)*10,[1]Hugst!$R$4:$W$4,0))))</f>
        <v>504.85176459555504</v>
      </c>
      <c r="S25">
        <f ca="1">IF($C25-S$1&lt;År1,0,R24*(1-VLOOKUP($A25,[1]Hugst!$R$5:$W$9,MATCH(ROUNDUP((S$1)/10,0)*10,[1]Hugst!$R$4:$W$4,0))))</f>
        <v>359.21612054433638</v>
      </c>
      <c r="T25">
        <f ca="1">IF($C25-T$1&lt;År1,0,S24*(1-VLOOKUP($A25,[1]Hugst!$R$5:$W$9,MATCH(ROUNDUP((T$1)/10,0)*10,[1]Hugst!$R$4:$W$4,0))))</f>
        <v>359.73596259699673</v>
      </c>
      <c r="U25">
        <f ca="1">IF($C25-U$1&lt;År1,0,T24*(1-VLOOKUP($A25,[1]Hugst!$R$5:$W$9,MATCH(ROUNDUP((U$1)/10,0)*10,[1]Hugst!$R$4:$W$4,0))))</f>
        <v>360.2584169212887</v>
      </c>
      <c r="V25">
        <f ca="1">IF($C25-V$1&lt;År1,0,U24*(1-VLOOKUP($A25,[1]Hugst!$R$5:$W$9,MATCH(ROUNDUP((V$1)/10,0)*10,[1]Hugst!$R$4:$W$4,0))))</f>
        <v>360.7834966441892</v>
      </c>
      <c r="W25">
        <f ca="1">IF($C25-W$1&lt;År1,0,V24*(1-VLOOKUP($A25,[1]Hugst!$R$5:$W$9,MATCH(ROUNDUP((W$1)/10,0)*10,[1]Hugst!$R$4:$W$4,0))))</f>
        <v>361.31121495866228</v>
      </c>
      <c r="X25">
        <f ca="1">IF($C25-X$1&lt;År1,0,W24*(1-VLOOKUP($A25,[1]Hugst!$R$5:$W$9,MATCH(ROUNDUP((X$1)/10,0)*10,[1]Hugst!$R$4:$W$4,0))))</f>
        <v>361.84158512396232</v>
      </c>
      <c r="Y25">
        <f ca="1">IF($C25-Y$1&lt;År1,0,X24*(1-VLOOKUP($A25,[1]Hugst!$R$5:$W$9,MATCH(ROUNDUP((Y$1)/10,0)*10,[1]Hugst!$R$4:$W$4,0))))</f>
        <v>362.37462046597341</v>
      </c>
      <c r="Z25">
        <f ca="1">IF($C25-Z$1&lt;År1,0,Y24*(1-VLOOKUP($A25,[1]Hugst!$R$5:$W$9,MATCH(ROUNDUP((Z$1)/10,0)*10,[1]Hugst!$R$4:$W$4,0))))</f>
        <v>362.9103343775422</v>
      </c>
      <c r="AA25">
        <f ca="1">IF($C25-AA$1&lt;År1,0,Z24*(1-VLOOKUP($A25,[1]Hugst!$R$5:$W$9,MATCH(ROUNDUP((AA$1)/10,0)*10,[1]Hugst!$R$4:$W$4,0))))</f>
        <v>363.44874031881761</v>
      </c>
      <c r="AB25">
        <f ca="1">IF($C25-AB$1&lt;År1,0,AA24*(1-VLOOKUP($A25,[1]Hugst!$R$5:$W$9,MATCH(ROUNDUP((AB$1)/10,0)*10,[1]Hugst!$R$4:$W$4,0))))</f>
        <v>363.98985181758314</v>
      </c>
      <c r="AC25">
        <f ca="1">IF($C25-AC$1&lt;År1,0,AB24*(1-VLOOKUP($A25,[1]Hugst!$R$5:$W$9,MATCH(ROUNDUP((AC$1)/10,0)*10,[1]Hugst!$R$4:$W$4,0))))</f>
        <v>364.53368246961463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55000000000000004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498.35831030539106</v>
      </c>
      <c r="G26">
        <f ca="1">IF($C26-G$1&lt;År1,0,F25*(1-VLOOKUP($A26,[1]Hugst!$R$5:$W$9,MATCH(ROUNDUP((G$1)/10,0)*10,[1]Hugst!$R$4:$W$4,0))))</f>
        <v>498.84292272422448</v>
      </c>
      <c r="H26">
        <f ca="1">IF($C26-H$1&lt;År1,0,G25*(1-VLOOKUP($A26,[1]Hugst!$R$5:$W$9,MATCH(ROUNDUP((H$1)/10,0)*10,[1]Hugst!$R$4:$W$4,0))))</f>
        <v>499.32997038134494</v>
      </c>
      <c r="I26">
        <f ca="1">IF($C26-I$1&lt;År1,0,H25*(1-VLOOKUP($A26,[1]Hugst!$R$5:$W$9,MATCH(ROUNDUP((I$1)/10,0)*10,[1]Hugst!$R$4:$W$4,0))))</f>
        <v>499.8194655141296</v>
      </c>
      <c r="J26">
        <f ca="1">IF($C26-J$1&lt;År1,0,I25*(1-VLOOKUP($A26,[1]Hugst!$R$5:$W$9,MATCH(ROUNDUP((J$1)/10,0)*10,[1]Hugst!$R$4:$W$4,0))))</f>
        <v>500.31142042144751</v>
      </c>
      <c r="K26">
        <f ca="1">IF($C26-K$1&lt;År1,0,J25*(1-VLOOKUP($A26,[1]Hugst!$R$5:$W$9,MATCH(ROUNDUP((K$1)/10,0)*10,[1]Hugst!$R$4:$W$4,0))))</f>
        <v>500.80584746397761</v>
      </c>
      <c r="L26">
        <f ca="1">IF($C26-L$1&lt;År1,0,K25*(1-VLOOKUP($A26,[1]Hugst!$R$5:$W$9,MATCH(ROUNDUP((L$1)/10,0)*10,[1]Hugst!$R$4:$W$4,0))))</f>
        <v>501.30275906451851</v>
      </c>
      <c r="M26">
        <f ca="1">IF($C26-M$1&lt;År1,0,L25*(1-VLOOKUP($A26,[1]Hugst!$R$5:$W$9,MATCH(ROUNDUP((M$1)/10,0)*10,[1]Hugst!$R$4:$W$4,0))))</f>
        <v>501.80216770826922</v>
      </c>
      <c r="N26">
        <f ca="1">IF($C26-N$1&lt;År1,0,M25*(1-VLOOKUP($A26,[1]Hugst!$R$5:$W$9,MATCH(ROUNDUP((N$1)/10,0)*10,[1]Hugst!$R$4:$W$4,0))))</f>
        <v>502.30408594319869</v>
      </c>
      <c r="O26">
        <f ca="1">IF($C26-O$1&lt;År1,0,N25*(1-VLOOKUP($A26,[1]Hugst!$R$5:$W$9,MATCH(ROUNDUP((O$1)/10,0)*10,[1]Hugst!$R$4:$W$4,0))))</f>
        <v>502.80852638031337</v>
      </c>
      <c r="P26">
        <f ca="1">IF($C26-P$1&lt;År1,0,O25*(1-VLOOKUP($A26,[1]Hugst!$R$5:$W$9,MATCH(ROUNDUP((P$1)/10,0)*10,[1]Hugst!$R$4:$W$4,0))))</f>
        <v>503.31550169399378</v>
      </c>
      <c r="Q26">
        <f ca="1">IF($C26-Q$1&lt;År1,0,P25*(1-VLOOKUP($A26,[1]Hugst!$R$5:$W$9,MATCH(ROUNDUP((Q$1)/10,0)*10,[1]Hugst!$R$4:$W$4,0))))</f>
        <v>503.82502462231758</v>
      </c>
      <c r="R26">
        <f ca="1">IF($C26-R$1&lt;År1,0,Q25*(1-VLOOKUP($A26,[1]Hugst!$R$5:$W$9,MATCH(ROUNDUP((R$1)/10,0)*10,[1]Hugst!$R$4:$W$4,0))))</f>
        <v>504.33710796736972</v>
      </c>
      <c r="S26">
        <f ca="1">IF($C26-S$1&lt;År1,0,R25*(1-VLOOKUP($A26,[1]Hugst!$R$5:$W$9,MATCH(ROUNDUP((S$1)/10,0)*10,[1]Hugst!$R$4:$W$4,0))))</f>
        <v>504.85176459555504</v>
      </c>
      <c r="T26">
        <f ca="1">IF($C26-T$1&lt;År1,0,S25*(1-VLOOKUP($A26,[1]Hugst!$R$5:$W$9,MATCH(ROUNDUP((T$1)/10,0)*10,[1]Hugst!$R$4:$W$4,0))))</f>
        <v>359.21612054433638</v>
      </c>
      <c r="U26">
        <f ca="1">IF($C26-U$1&lt;År1,0,T25*(1-VLOOKUP($A26,[1]Hugst!$R$5:$W$9,MATCH(ROUNDUP((U$1)/10,0)*10,[1]Hugst!$R$4:$W$4,0))))</f>
        <v>359.73596259699673</v>
      </c>
      <c r="V26">
        <f ca="1">IF($C26-V$1&lt;År1,0,U25*(1-VLOOKUP($A26,[1]Hugst!$R$5:$W$9,MATCH(ROUNDUP((V$1)/10,0)*10,[1]Hugst!$R$4:$W$4,0))))</f>
        <v>360.2584169212887</v>
      </c>
      <c r="W26">
        <f ca="1">IF($C26-W$1&lt;År1,0,V25*(1-VLOOKUP($A26,[1]Hugst!$R$5:$W$9,MATCH(ROUNDUP((W$1)/10,0)*10,[1]Hugst!$R$4:$W$4,0))))</f>
        <v>360.7834966441892</v>
      </c>
      <c r="X26">
        <f ca="1">IF($C26-X$1&lt;År1,0,W25*(1-VLOOKUP($A26,[1]Hugst!$R$5:$W$9,MATCH(ROUNDUP((X$1)/10,0)*10,[1]Hugst!$R$4:$W$4,0))))</f>
        <v>361.31121495866228</v>
      </c>
      <c r="Y26">
        <f ca="1">IF($C26-Y$1&lt;År1,0,X25*(1-VLOOKUP($A26,[1]Hugst!$R$5:$W$9,MATCH(ROUNDUP((Y$1)/10,0)*10,[1]Hugst!$R$4:$W$4,0))))</f>
        <v>361.84158512396232</v>
      </c>
      <c r="Z26">
        <f ca="1">IF($C26-Z$1&lt;År1,0,Y25*(1-VLOOKUP($A26,[1]Hugst!$R$5:$W$9,MATCH(ROUNDUP((Z$1)/10,0)*10,[1]Hugst!$R$4:$W$4,0))))</f>
        <v>362.37462046597341</v>
      </c>
      <c r="AA26">
        <f ca="1">IF($C26-AA$1&lt;År1,0,Z25*(1-VLOOKUP($A26,[1]Hugst!$R$5:$W$9,MATCH(ROUNDUP((AA$1)/10,0)*10,[1]Hugst!$R$4:$W$4,0))))</f>
        <v>362.9103343775422</v>
      </c>
      <c r="AB26">
        <f ca="1">IF($C26-AB$1&lt;År1,0,AA25*(1-VLOOKUP($A26,[1]Hugst!$R$5:$W$9,MATCH(ROUNDUP((AB$1)/10,0)*10,[1]Hugst!$R$4:$W$4,0))))</f>
        <v>363.44874031881761</v>
      </c>
      <c r="AC26">
        <f ca="1">IF($C26-AC$1&lt;År1,0,AB25*(1-VLOOKUP($A26,[1]Hugst!$R$5:$W$9,MATCH(ROUNDUP((AC$1)/10,0)*10,[1]Hugst!$R$4:$W$4,0))))</f>
        <v>363.98985181758314</v>
      </c>
      <c r="AD26">
        <f ca="1">IF($C26-AD$1&lt;År1,0,AC25*(1-VLOOKUP($A26,[1]Hugst!$R$5:$W$9,MATCH(ROUNDUP((AD$1)/10,0)*10,[1]Hugst!$R$4:$W$4,0))))</f>
        <v>364.53368246961463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55000000000000004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497.87612094865148</v>
      </c>
      <c r="G27">
        <f ca="1">IF($C27-G$1&lt;År1,0,F26*(1-VLOOKUP($A27,[1]Hugst!$R$5:$W$9,MATCH(ROUNDUP((G$1)/10,0)*10,[1]Hugst!$R$4:$W$4,0))))</f>
        <v>498.35831030539106</v>
      </c>
      <c r="H27">
        <f ca="1">IF($C27-H$1&lt;År1,0,G26*(1-VLOOKUP($A27,[1]Hugst!$R$5:$W$9,MATCH(ROUNDUP((H$1)/10,0)*10,[1]Hugst!$R$4:$W$4,0))))</f>
        <v>498.84292272422448</v>
      </c>
      <c r="I27">
        <f ca="1">IF($C27-I$1&lt;År1,0,H26*(1-VLOOKUP($A27,[1]Hugst!$R$5:$W$9,MATCH(ROUNDUP((I$1)/10,0)*10,[1]Hugst!$R$4:$W$4,0))))</f>
        <v>499.32997038134494</v>
      </c>
      <c r="J27">
        <f ca="1">IF($C27-J$1&lt;År1,0,I26*(1-VLOOKUP($A27,[1]Hugst!$R$5:$W$9,MATCH(ROUNDUP((J$1)/10,0)*10,[1]Hugst!$R$4:$W$4,0))))</f>
        <v>499.8194655141296</v>
      </c>
      <c r="K27">
        <f ca="1">IF($C27-K$1&lt;År1,0,J26*(1-VLOOKUP($A27,[1]Hugst!$R$5:$W$9,MATCH(ROUNDUP((K$1)/10,0)*10,[1]Hugst!$R$4:$W$4,0))))</f>
        <v>500.31142042144751</v>
      </c>
      <c r="L27">
        <f ca="1">IF($C27-L$1&lt;År1,0,K26*(1-VLOOKUP($A27,[1]Hugst!$R$5:$W$9,MATCH(ROUNDUP((L$1)/10,0)*10,[1]Hugst!$R$4:$W$4,0))))</f>
        <v>500.80584746397761</v>
      </c>
      <c r="M27">
        <f ca="1">IF($C27-M$1&lt;År1,0,L26*(1-VLOOKUP($A27,[1]Hugst!$R$5:$W$9,MATCH(ROUNDUP((M$1)/10,0)*10,[1]Hugst!$R$4:$W$4,0))))</f>
        <v>501.30275906451851</v>
      </c>
      <c r="N27">
        <f ca="1">IF($C27-N$1&lt;År1,0,M26*(1-VLOOKUP($A27,[1]Hugst!$R$5:$W$9,MATCH(ROUNDUP((N$1)/10,0)*10,[1]Hugst!$R$4:$W$4,0))))</f>
        <v>501.80216770826922</v>
      </c>
      <c r="O27">
        <f ca="1">IF($C27-O$1&lt;År1,0,N26*(1-VLOOKUP($A27,[1]Hugst!$R$5:$W$9,MATCH(ROUNDUP((O$1)/10,0)*10,[1]Hugst!$R$4:$W$4,0))))</f>
        <v>502.30408594319869</v>
      </c>
      <c r="P27">
        <f ca="1">IF($C27-P$1&lt;År1,0,O26*(1-VLOOKUP($A27,[1]Hugst!$R$5:$W$9,MATCH(ROUNDUP((P$1)/10,0)*10,[1]Hugst!$R$4:$W$4,0))))</f>
        <v>502.80852638031337</v>
      </c>
      <c r="Q27">
        <f ca="1">IF($C27-Q$1&lt;År1,0,P26*(1-VLOOKUP($A27,[1]Hugst!$R$5:$W$9,MATCH(ROUNDUP((Q$1)/10,0)*10,[1]Hugst!$R$4:$W$4,0))))</f>
        <v>503.31550169399378</v>
      </c>
      <c r="R27">
        <f ca="1">IF($C27-R$1&lt;År1,0,Q26*(1-VLOOKUP($A27,[1]Hugst!$R$5:$W$9,MATCH(ROUNDUP((R$1)/10,0)*10,[1]Hugst!$R$4:$W$4,0))))</f>
        <v>503.82502462231758</v>
      </c>
      <c r="S27">
        <f ca="1">IF($C27-S$1&lt;År1,0,R26*(1-VLOOKUP($A27,[1]Hugst!$R$5:$W$9,MATCH(ROUNDUP((S$1)/10,0)*10,[1]Hugst!$R$4:$W$4,0))))</f>
        <v>504.33710796736972</v>
      </c>
      <c r="T27">
        <f ca="1">IF($C27-T$1&lt;År1,0,S26*(1-VLOOKUP($A27,[1]Hugst!$R$5:$W$9,MATCH(ROUNDUP((T$1)/10,0)*10,[1]Hugst!$R$4:$W$4,0))))</f>
        <v>504.85176459555504</v>
      </c>
      <c r="U27">
        <f ca="1">IF($C27-U$1&lt;År1,0,T26*(1-VLOOKUP($A27,[1]Hugst!$R$5:$W$9,MATCH(ROUNDUP((U$1)/10,0)*10,[1]Hugst!$R$4:$W$4,0))))</f>
        <v>359.21612054433638</v>
      </c>
      <c r="V27">
        <f ca="1">IF($C27-V$1&lt;År1,0,U26*(1-VLOOKUP($A27,[1]Hugst!$R$5:$W$9,MATCH(ROUNDUP((V$1)/10,0)*10,[1]Hugst!$R$4:$W$4,0))))</f>
        <v>359.73596259699673</v>
      </c>
      <c r="W27">
        <f ca="1">IF($C27-W$1&lt;År1,0,V26*(1-VLOOKUP($A27,[1]Hugst!$R$5:$W$9,MATCH(ROUNDUP((W$1)/10,0)*10,[1]Hugst!$R$4:$W$4,0))))</f>
        <v>360.2584169212887</v>
      </c>
      <c r="X27">
        <f ca="1">IF($C27-X$1&lt;År1,0,W26*(1-VLOOKUP($A27,[1]Hugst!$R$5:$W$9,MATCH(ROUNDUP((X$1)/10,0)*10,[1]Hugst!$R$4:$W$4,0))))</f>
        <v>360.7834966441892</v>
      </c>
      <c r="Y27">
        <f ca="1">IF($C27-Y$1&lt;År1,0,X26*(1-VLOOKUP($A27,[1]Hugst!$R$5:$W$9,MATCH(ROUNDUP((Y$1)/10,0)*10,[1]Hugst!$R$4:$W$4,0))))</f>
        <v>361.31121495866228</v>
      </c>
      <c r="Z27">
        <f ca="1">IF($C27-Z$1&lt;År1,0,Y26*(1-VLOOKUP($A27,[1]Hugst!$R$5:$W$9,MATCH(ROUNDUP((Z$1)/10,0)*10,[1]Hugst!$R$4:$W$4,0))))</f>
        <v>361.84158512396232</v>
      </c>
      <c r="AA27">
        <f ca="1">IF($C27-AA$1&lt;År1,0,Z26*(1-VLOOKUP($A27,[1]Hugst!$R$5:$W$9,MATCH(ROUNDUP((AA$1)/10,0)*10,[1]Hugst!$R$4:$W$4,0))))</f>
        <v>362.37462046597341</v>
      </c>
      <c r="AB27">
        <f ca="1">IF($C27-AB$1&lt;År1,0,AA26*(1-VLOOKUP($A27,[1]Hugst!$R$5:$W$9,MATCH(ROUNDUP((AB$1)/10,0)*10,[1]Hugst!$R$4:$W$4,0))))</f>
        <v>362.9103343775422</v>
      </c>
      <c r="AC27">
        <f ca="1">IF($C27-AC$1&lt;År1,0,AB26*(1-VLOOKUP($A27,[1]Hugst!$R$5:$W$9,MATCH(ROUNDUP((AC$1)/10,0)*10,[1]Hugst!$R$4:$W$4,0))))</f>
        <v>363.44874031881761</v>
      </c>
      <c r="AD27">
        <f ca="1">IF($C27-AD$1&lt;År1,0,AC26*(1-VLOOKUP($A27,[1]Hugst!$R$5:$W$9,MATCH(ROUNDUP((AD$1)/10,0)*10,[1]Hugst!$R$4:$W$4,0))))</f>
        <v>363.98985181758314</v>
      </c>
      <c r="AE27">
        <f ca="1">IF($C27-AE$1&lt;År1,0,AD26*(1-VLOOKUP($A27,[1]Hugst!$R$5:$W$9,MATCH(ROUNDUP((AE$1)/10,0)*10,[1]Hugst!$R$4:$W$4,0))))</f>
        <v>364.53368246961463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55000000000000004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497.39634253869866</v>
      </c>
      <c r="G28">
        <f ca="1">IF($C28-G$1&lt;År1,0,F27*(1-VLOOKUP($A28,[1]Hugst!$R$5:$W$9,MATCH(ROUNDUP((G$1)/10,0)*10,[1]Hugst!$R$4:$W$4,0))))</f>
        <v>497.87612094865148</v>
      </c>
      <c r="H28">
        <f ca="1">IF($C28-H$1&lt;År1,0,G27*(1-VLOOKUP($A28,[1]Hugst!$R$5:$W$9,MATCH(ROUNDUP((H$1)/10,0)*10,[1]Hugst!$R$4:$W$4,0))))</f>
        <v>498.35831030539106</v>
      </c>
      <c r="I28">
        <f ca="1">IF($C28-I$1&lt;År1,0,H27*(1-VLOOKUP($A28,[1]Hugst!$R$5:$W$9,MATCH(ROUNDUP((I$1)/10,0)*10,[1]Hugst!$R$4:$W$4,0))))</f>
        <v>498.84292272422448</v>
      </c>
      <c r="J28">
        <f ca="1">IF($C28-J$1&lt;År1,0,I27*(1-VLOOKUP($A28,[1]Hugst!$R$5:$W$9,MATCH(ROUNDUP((J$1)/10,0)*10,[1]Hugst!$R$4:$W$4,0))))</f>
        <v>499.32997038134494</v>
      </c>
      <c r="K28">
        <f ca="1">IF($C28-K$1&lt;År1,0,J27*(1-VLOOKUP($A28,[1]Hugst!$R$5:$W$9,MATCH(ROUNDUP((K$1)/10,0)*10,[1]Hugst!$R$4:$W$4,0))))</f>
        <v>499.8194655141296</v>
      </c>
      <c r="L28">
        <f ca="1">IF($C28-L$1&lt;År1,0,K27*(1-VLOOKUP($A28,[1]Hugst!$R$5:$W$9,MATCH(ROUNDUP((L$1)/10,0)*10,[1]Hugst!$R$4:$W$4,0))))</f>
        <v>500.31142042144751</v>
      </c>
      <c r="M28">
        <f ca="1">IF($C28-M$1&lt;År1,0,L27*(1-VLOOKUP($A28,[1]Hugst!$R$5:$W$9,MATCH(ROUNDUP((M$1)/10,0)*10,[1]Hugst!$R$4:$W$4,0))))</f>
        <v>500.80584746397761</v>
      </c>
      <c r="N28">
        <f ca="1">IF($C28-N$1&lt;År1,0,M27*(1-VLOOKUP($A28,[1]Hugst!$R$5:$W$9,MATCH(ROUNDUP((N$1)/10,0)*10,[1]Hugst!$R$4:$W$4,0))))</f>
        <v>501.30275906451851</v>
      </c>
      <c r="O28">
        <f ca="1">IF($C28-O$1&lt;År1,0,N27*(1-VLOOKUP($A28,[1]Hugst!$R$5:$W$9,MATCH(ROUNDUP((O$1)/10,0)*10,[1]Hugst!$R$4:$W$4,0))))</f>
        <v>501.80216770826922</v>
      </c>
      <c r="P28">
        <f ca="1">IF($C28-P$1&lt;År1,0,O27*(1-VLOOKUP($A28,[1]Hugst!$R$5:$W$9,MATCH(ROUNDUP((P$1)/10,0)*10,[1]Hugst!$R$4:$W$4,0))))</f>
        <v>502.30408594319869</v>
      </c>
      <c r="Q28">
        <f ca="1">IF($C28-Q$1&lt;År1,0,P27*(1-VLOOKUP($A28,[1]Hugst!$R$5:$W$9,MATCH(ROUNDUP((Q$1)/10,0)*10,[1]Hugst!$R$4:$W$4,0))))</f>
        <v>502.80852638031337</v>
      </c>
      <c r="R28">
        <f ca="1">IF($C28-R$1&lt;År1,0,Q27*(1-VLOOKUP($A28,[1]Hugst!$R$5:$W$9,MATCH(ROUNDUP((R$1)/10,0)*10,[1]Hugst!$R$4:$W$4,0))))</f>
        <v>503.31550169399378</v>
      </c>
      <c r="S28">
        <f ca="1">IF($C28-S$1&lt;År1,0,R27*(1-VLOOKUP($A28,[1]Hugst!$R$5:$W$9,MATCH(ROUNDUP((S$1)/10,0)*10,[1]Hugst!$R$4:$W$4,0))))</f>
        <v>503.82502462231758</v>
      </c>
      <c r="T28">
        <f ca="1">IF($C28-T$1&lt;År1,0,S27*(1-VLOOKUP($A28,[1]Hugst!$R$5:$W$9,MATCH(ROUNDUP((T$1)/10,0)*10,[1]Hugst!$R$4:$W$4,0))))</f>
        <v>504.33710796736972</v>
      </c>
      <c r="U28">
        <f ca="1">IF($C28-U$1&lt;År1,0,T27*(1-VLOOKUP($A28,[1]Hugst!$R$5:$W$9,MATCH(ROUNDUP((U$1)/10,0)*10,[1]Hugst!$R$4:$W$4,0))))</f>
        <v>504.85176459555504</v>
      </c>
      <c r="V28">
        <f ca="1">IF($C28-V$1&lt;År1,0,U27*(1-VLOOKUP($A28,[1]Hugst!$R$5:$W$9,MATCH(ROUNDUP((V$1)/10,0)*10,[1]Hugst!$R$4:$W$4,0))))</f>
        <v>359.21612054433638</v>
      </c>
      <c r="W28">
        <f ca="1">IF($C28-W$1&lt;År1,0,V27*(1-VLOOKUP($A28,[1]Hugst!$R$5:$W$9,MATCH(ROUNDUP((W$1)/10,0)*10,[1]Hugst!$R$4:$W$4,0))))</f>
        <v>359.73596259699673</v>
      </c>
      <c r="X28">
        <f ca="1">IF($C28-X$1&lt;År1,0,W27*(1-VLOOKUP($A28,[1]Hugst!$R$5:$W$9,MATCH(ROUNDUP((X$1)/10,0)*10,[1]Hugst!$R$4:$W$4,0))))</f>
        <v>360.2584169212887</v>
      </c>
      <c r="Y28">
        <f ca="1">IF($C28-Y$1&lt;År1,0,X27*(1-VLOOKUP($A28,[1]Hugst!$R$5:$W$9,MATCH(ROUNDUP((Y$1)/10,0)*10,[1]Hugst!$R$4:$W$4,0))))</f>
        <v>360.7834966441892</v>
      </c>
      <c r="Z28">
        <f ca="1">IF($C28-Z$1&lt;År1,0,Y27*(1-VLOOKUP($A28,[1]Hugst!$R$5:$W$9,MATCH(ROUNDUP((Z$1)/10,0)*10,[1]Hugst!$R$4:$W$4,0))))</f>
        <v>361.31121495866228</v>
      </c>
      <c r="AA28">
        <f ca="1">IF($C28-AA$1&lt;År1,0,Z27*(1-VLOOKUP($A28,[1]Hugst!$R$5:$W$9,MATCH(ROUNDUP((AA$1)/10,0)*10,[1]Hugst!$R$4:$W$4,0))))</f>
        <v>361.84158512396232</v>
      </c>
      <c r="AB28">
        <f ca="1">IF($C28-AB$1&lt;År1,0,AA27*(1-VLOOKUP($A28,[1]Hugst!$R$5:$W$9,MATCH(ROUNDUP((AB$1)/10,0)*10,[1]Hugst!$R$4:$W$4,0))))</f>
        <v>362.37462046597341</v>
      </c>
      <c r="AC28">
        <f ca="1">IF($C28-AC$1&lt;År1,0,AB27*(1-VLOOKUP($A28,[1]Hugst!$R$5:$W$9,MATCH(ROUNDUP((AC$1)/10,0)*10,[1]Hugst!$R$4:$W$4,0))))</f>
        <v>362.9103343775422</v>
      </c>
      <c r="AD28">
        <f ca="1">IF($C28-AD$1&lt;År1,0,AC27*(1-VLOOKUP($A28,[1]Hugst!$R$5:$W$9,MATCH(ROUNDUP((AD$1)/10,0)*10,[1]Hugst!$R$4:$W$4,0))))</f>
        <v>363.44874031881761</v>
      </c>
      <c r="AE28">
        <f ca="1">IF($C28-AE$1&lt;År1,0,AD27*(1-VLOOKUP($A28,[1]Hugst!$R$5:$W$9,MATCH(ROUNDUP((AE$1)/10,0)*10,[1]Hugst!$R$4:$W$4,0))))</f>
        <v>363.98985181758314</v>
      </c>
      <c r="AF28">
        <f ca="1">IF($C28-AF$1&lt;År1,0,AE27*(1-VLOOKUP($A28,[1]Hugst!$R$5:$W$9,MATCH(ROUNDUP((AF$1)/10,0)*10,[1]Hugst!$R$4:$W$4,0))))</f>
        <v>364.53368246961463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55000000000000004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496.91896302078652</v>
      </c>
      <c r="G29">
        <f ca="1">IF($C29-G$1&lt;År1,0,F28*(1-VLOOKUP($A29,[1]Hugst!$R$5:$W$9,MATCH(ROUNDUP((G$1)/10,0)*10,[1]Hugst!$R$4:$W$4,0))))</f>
        <v>497.39634253869866</v>
      </c>
      <c r="H29">
        <f ca="1">IF($C29-H$1&lt;År1,0,G28*(1-VLOOKUP($A29,[1]Hugst!$R$5:$W$9,MATCH(ROUNDUP((H$1)/10,0)*10,[1]Hugst!$R$4:$W$4,0))))</f>
        <v>497.87612094865148</v>
      </c>
      <c r="I29">
        <f ca="1">IF($C29-I$1&lt;År1,0,H28*(1-VLOOKUP($A29,[1]Hugst!$R$5:$W$9,MATCH(ROUNDUP((I$1)/10,0)*10,[1]Hugst!$R$4:$W$4,0))))</f>
        <v>498.35831030539106</v>
      </c>
      <c r="J29">
        <f ca="1">IF($C29-J$1&lt;År1,0,I28*(1-VLOOKUP($A29,[1]Hugst!$R$5:$W$9,MATCH(ROUNDUP((J$1)/10,0)*10,[1]Hugst!$R$4:$W$4,0))))</f>
        <v>498.84292272422448</v>
      </c>
      <c r="K29">
        <f ca="1">IF($C29-K$1&lt;År1,0,J28*(1-VLOOKUP($A29,[1]Hugst!$R$5:$W$9,MATCH(ROUNDUP((K$1)/10,0)*10,[1]Hugst!$R$4:$W$4,0))))</f>
        <v>499.32997038134494</v>
      </c>
      <c r="L29">
        <f ca="1">IF($C29-L$1&lt;År1,0,K28*(1-VLOOKUP($A29,[1]Hugst!$R$5:$W$9,MATCH(ROUNDUP((L$1)/10,0)*10,[1]Hugst!$R$4:$W$4,0))))</f>
        <v>499.8194655141296</v>
      </c>
      <c r="M29">
        <f ca="1">IF($C29-M$1&lt;År1,0,L28*(1-VLOOKUP($A29,[1]Hugst!$R$5:$W$9,MATCH(ROUNDUP((M$1)/10,0)*10,[1]Hugst!$R$4:$W$4,0))))</f>
        <v>500.31142042144751</v>
      </c>
      <c r="N29">
        <f ca="1">IF($C29-N$1&lt;År1,0,M28*(1-VLOOKUP($A29,[1]Hugst!$R$5:$W$9,MATCH(ROUNDUP((N$1)/10,0)*10,[1]Hugst!$R$4:$W$4,0))))</f>
        <v>500.80584746397761</v>
      </c>
      <c r="O29">
        <f ca="1">IF($C29-O$1&lt;År1,0,N28*(1-VLOOKUP($A29,[1]Hugst!$R$5:$W$9,MATCH(ROUNDUP((O$1)/10,0)*10,[1]Hugst!$R$4:$W$4,0))))</f>
        <v>501.30275906451851</v>
      </c>
      <c r="P29">
        <f ca="1">IF($C29-P$1&lt;År1,0,O28*(1-VLOOKUP($A29,[1]Hugst!$R$5:$W$9,MATCH(ROUNDUP((P$1)/10,0)*10,[1]Hugst!$R$4:$W$4,0))))</f>
        <v>501.80216770826922</v>
      </c>
      <c r="Q29">
        <f ca="1">IF($C29-Q$1&lt;År1,0,P28*(1-VLOOKUP($A29,[1]Hugst!$R$5:$W$9,MATCH(ROUNDUP((Q$1)/10,0)*10,[1]Hugst!$R$4:$W$4,0))))</f>
        <v>502.30408594319869</v>
      </c>
      <c r="R29">
        <f ca="1">IF($C29-R$1&lt;År1,0,Q28*(1-VLOOKUP($A29,[1]Hugst!$R$5:$W$9,MATCH(ROUNDUP((R$1)/10,0)*10,[1]Hugst!$R$4:$W$4,0))))</f>
        <v>502.80852638031337</v>
      </c>
      <c r="S29">
        <f ca="1">IF($C29-S$1&lt;År1,0,R28*(1-VLOOKUP($A29,[1]Hugst!$R$5:$W$9,MATCH(ROUNDUP((S$1)/10,0)*10,[1]Hugst!$R$4:$W$4,0))))</f>
        <v>503.31550169399378</v>
      </c>
      <c r="T29">
        <f ca="1">IF($C29-T$1&lt;År1,0,S28*(1-VLOOKUP($A29,[1]Hugst!$R$5:$W$9,MATCH(ROUNDUP((T$1)/10,0)*10,[1]Hugst!$R$4:$W$4,0))))</f>
        <v>503.82502462231758</v>
      </c>
      <c r="U29">
        <f ca="1">IF($C29-U$1&lt;År1,0,T28*(1-VLOOKUP($A29,[1]Hugst!$R$5:$W$9,MATCH(ROUNDUP((U$1)/10,0)*10,[1]Hugst!$R$4:$W$4,0))))</f>
        <v>504.33710796736972</v>
      </c>
      <c r="V29">
        <f ca="1">IF($C29-V$1&lt;År1,0,U28*(1-VLOOKUP($A29,[1]Hugst!$R$5:$W$9,MATCH(ROUNDUP((V$1)/10,0)*10,[1]Hugst!$R$4:$W$4,0))))</f>
        <v>504.85176459555504</v>
      </c>
      <c r="W29">
        <f ca="1">IF($C29-W$1&lt;År1,0,V28*(1-VLOOKUP($A29,[1]Hugst!$R$5:$W$9,MATCH(ROUNDUP((W$1)/10,0)*10,[1]Hugst!$R$4:$W$4,0))))</f>
        <v>359.21612054433638</v>
      </c>
      <c r="X29">
        <f ca="1">IF($C29-X$1&lt;År1,0,W28*(1-VLOOKUP($A29,[1]Hugst!$R$5:$W$9,MATCH(ROUNDUP((X$1)/10,0)*10,[1]Hugst!$R$4:$W$4,0))))</f>
        <v>359.73596259699673</v>
      </c>
      <c r="Y29">
        <f ca="1">IF($C29-Y$1&lt;År1,0,X28*(1-VLOOKUP($A29,[1]Hugst!$R$5:$W$9,MATCH(ROUNDUP((Y$1)/10,0)*10,[1]Hugst!$R$4:$W$4,0))))</f>
        <v>360.2584169212887</v>
      </c>
      <c r="Z29">
        <f ca="1">IF($C29-Z$1&lt;År1,0,Y28*(1-VLOOKUP($A29,[1]Hugst!$R$5:$W$9,MATCH(ROUNDUP((Z$1)/10,0)*10,[1]Hugst!$R$4:$W$4,0))))</f>
        <v>360.7834966441892</v>
      </c>
      <c r="AA29">
        <f ca="1">IF($C29-AA$1&lt;År1,0,Z28*(1-VLOOKUP($A29,[1]Hugst!$R$5:$W$9,MATCH(ROUNDUP((AA$1)/10,0)*10,[1]Hugst!$R$4:$W$4,0))))</f>
        <v>361.31121495866228</v>
      </c>
      <c r="AB29">
        <f ca="1">IF($C29-AB$1&lt;År1,0,AA28*(1-VLOOKUP($A29,[1]Hugst!$R$5:$W$9,MATCH(ROUNDUP((AB$1)/10,0)*10,[1]Hugst!$R$4:$W$4,0))))</f>
        <v>361.84158512396232</v>
      </c>
      <c r="AC29">
        <f ca="1">IF($C29-AC$1&lt;År1,0,AB28*(1-VLOOKUP($A29,[1]Hugst!$R$5:$W$9,MATCH(ROUNDUP((AC$1)/10,0)*10,[1]Hugst!$R$4:$W$4,0))))</f>
        <v>362.37462046597341</v>
      </c>
      <c r="AD29">
        <f ca="1">IF($C29-AD$1&lt;År1,0,AC28*(1-VLOOKUP($A29,[1]Hugst!$R$5:$W$9,MATCH(ROUNDUP((AD$1)/10,0)*10,[1]Hugst!$R$4:$W$4,0))))</f>
        <v>362.9103343775422</v>
      </c>
      <c r="AE29">
        <f ca="1">IF($C29-AE$1&lt;År1,0,AD28*(1-VLOOKUP($A29,[1]Hugst!$R$5:$W$9,MATCH(ROUNDUP((AE$1)/10,0)*10,[1]Hugst!$R$4:$W$4,0))))</f>
        <v>363.44874031881761</v>
      </c>
      <c r="AF29">
        <f ca="1">IF($C29-AF$1&lt;År1,0,AE28*(1-VLOOKUP($A29,[1]Hugst!$R$5:$W$9,MATCH(ROUNDUP((AF$1)/10,0)*10,[1]Hugst!$R$4:$W$4,0))))</f>
        <v>363.98985181758314</v>
      </c>
      <c r="AG29">
        <f ca="1">IF($C29-AG$1&lt;År1,0,AF28*(1-VLOOKUP($A29,[1]Hugst!$R$5:$W$9,MATCH(ROUNDUP((AG$1)/10,0)*10,[1]Hugst!$R$4:$W$4,0))))</f>
        <v>364.53368246961463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55000000000000004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496.44397040047301</v>
      </c>
      <c r="G30">
        <f ca="1">IF($C30-G$1&lt;År1,0,F29*(1-VLOOKUP($A30,[1]Hugst!$R$5:$W$9,MATCH(ROUNDUP((G$1)/10,0)*10,[1]Hugst!$R$4:$W$4,0))))</f>
        <v>496.91896302078652</v>
      </c>
      <c r="H30">
        <f ca="1">IF($C30-H$1&lt;År1,0,G29*(1-VLOOKUP($A30,[1]Hugst!$R$5:$W$9,MATCH(ROUNDUP((H$1)/10,0)*10,[1]Hugst!$R$4:$W$4,0))))</f>
        <v>497.39634253869866</v>
      </c>
      <c r="I30">
        <f ca="1">IF($C30-I$1&lt;År1,0,H29*(1-VLOOKUP($A30,[1]Hugst!$R$5:$W$9,MATCH(ROUNDUP((I$1)/10,0)*10,[1]Hugst!$R$4:$W$4,0))))</f>
        <v>497.87612094865148</v>
      </c>
      <c r="J30">
        <f ca="1">IF($C30-J$1&lt;År1,0,I29*(1-VLOOKUP($A30,[1]Hugst!$R$5:$W$9,MATCH(ROUNDUP((J$1)/10,0)*10,[1]Hugst!$R$4:$W$4,0))))</f>
        <v>498.35831030539106</v>
      </c>
      <c r="K30">
        <f ca="1">IF($C30-K$1&lt;År1,0,J29*(1-VLOOKUP($A30,[1]Hugst!$R$5:$W$9,MATCH(ROUNDUP((K$1)/10,0)*10,[1]Hugst!$R$4:$W$4,0))))</f>
        <v>498.84292272422448</v>
      </c>
      <c r="L30">
        <f ca="1">IF($C30-L$1&lt;År1,0,K29*(1-VLOOKUP($A30,[1]Hugst!$R$5:$W$9,MATCH(ROUNDUP((L$1)/10,0)*10,[1]Hugst!$R$4:$W$4,0))))</f>
        <v>499.32997038134494</v>
      </c>
      <c r="M30">
        <f ca="1">IF($C30-M$1&lt;År1,0,L29*(1-VLOOKUP($A30,[1]Hugst!$R$5:$W$9,MATCH(ROUNDUP((M$1)/10,0)*10,[1]Hugst!$R$4:$W$4,0))))</f>
        <v>499.8194655141296</v>
      </c>
      <c r="N30">
        <f ca="1">IF($C30-N$1&lt;År1,0,M29*(1-VLOOKUP($A30,[1]Hugst!$R$5:$W$9,MATCH(ROUNDUP((N$1)/10,0)*10,[1]Hugst!$R$4:$W$4,0))))</f>
        <v>500.31142042144751</v>
      </c>
      <c r="O30">
        <f ca="1">IF($C30-O$1&lt;År1,0,N29*(1-VLOOKUP($A30,[1]Hugst!$R$5:$W$9,MATCH(ROUNDUP((O$1)/10,0)*10,[1]Hugst!$R$4:$W$4,0))))</f>
        <v>500.80584746397761</v>
      </c>
      <c r="P30">
        <f ca="1">IF($C30-P$1&lt;År1,0,O29*(1-VLOOKUP($A30,[1]Hugst!$R$5:$W$9,MATCH(ROUNDUP((P$1)/10,0)*10,[1]Hugst!$R$4:$W$4,0))))</f>
        <v>501.30275906451851</v>
      </c>
      <c r="Q30">
        <f ca="1">IF($C30-Q$1&lt;År1,0,P29*(1-VLOOKUP($A30,[1]Hugst!$R$5:$W$9,MATCH(ROUNDUP((Q$1)/10,0)*10,[1]Hugst!$R$4:$W$4,0))))</f>
        <v>501.80216770826922</v>
      </c>
      <c r="R30">
        <f ca="1">IF($C30-R$1&lt;År1,0,Q29*(1-VLOOKUP($A30,[1]Hugst!$R$5:$W$9,MATCH(ROUNDUP((R$1)/10,0)*10,[1]Hugst!$R$4:$W$4,0))))</f>
        <v>502.30408594319869</v>
      </c>
      <c r="S30">
        <f ca="1">IF($C30-S$1&lt;År1,0,R29*(1-VLOOKUP($A30,[1]Hugst!$R$5:$W$9,MATCH(ROUNDUP((S$1)/10,0)*10,[1]Hugst!$R$4:$W$4,0))))</f>
        <v>502.80852638031337</v>
      </c>
      <c r="T30">
        <f ca="1">IF($C30-T$1&lt;År1,0,S29*(1-VLOOKUP($A30,[1]Hugst!$R$5:$W$9,MATCH(ROUNDUP((T$1)/10,0)*10,[1]Hugst!$R$4:$W$4,0))))</f>
        <v>503.31550169399378</v>
      </c>
      <c r="U30">
        <f ca="1">IF($C30-U$1&lt;År1,0,T29*(1-VLOOKUP($A30,[1]Hugst!$R$5:$W$9,MATCH(ROUNDUP((U$1)/10,0)*10,[1]Hugst!$R$4:$W$4,0))))</f>
        <v>503.82502462231758</v>
      </c>
      <c r="V30">
        <f ca="1">IF($C30-V$1&lt;År1,0,U29*(1-VLOOKUP($A30,[1]Hugst!$R$5:$W$9,MATCH(ROUNDUP((V$1)/10,0)*10,[1]Hugst!$R$4:$W$4,0))))</f>
        <v>504.33710796736972</v>
      </c>
      <c r="W30">
        <f ca="1">IF($C30-W$1&lt;År1,0,V29*(1-VLOOKUP($A30,[1]Hugst!$R$5:$W$9,MATCH(ROUNDUP((W$1)/10,0)*10,[1]Hugst!$R$4:$W$4,0))))</f>
        <v>504.85176459555504</v>
      </c>
      <c r="X30">
        <f ca="1">IF($C30-X$1&lt;År1,0,W29*(1-VLOOKUP($A30,[1]Hugst!$R$5:$W$9,MATCH(ROUNDUP((X$1)/10,0)*10,[1]Hugst!$R$4:$W$4,0))))</f>
        <v>359.21612054433638</v>
      </c>
      <c r="Y30">
        <f ca="1">IF($C30-Y$1&lt;År1,0,X29*(1-VLOOKUP($A30,[1]Hugst!$R$5:$W$9,MATCH(ROUNDUP((Y$1)/10,0)*10,[1]Hugst!$R$4:$W$4,0))))</f>
        <v>359.73596259699673</v>
      </c>
      <c r="Z30">
        <f ca="1">IF($C30-Z$1&lt;År1,0,Y29*(1-VLOOKUP($A30,[1]Hugst!$R$5:$W$9,MATCH(ROUNDUP((Z$1)/10,0)*10,[1]Hugst!$R$4:$W$4,0))))</f>
        <v>360.2584169212887</v>
      </c>
      <c r="AA30">
        <f ca="1">IF($C30-AA$1&lt;År1,0,Z29*(1-VLOOKUP($A30,[1]Hugst!$R$5:$W$9,MATCH(ROUNDUP((AA$1)/10,0)*10,[1]Hugst!$R$4:$W$4,0))))</f>
        <v>360.7834966441892</v>
      </c>
      <c r="AB30">
        <f ca="1">IF($C30-AB$1&lt;År1,0,AA29*(1-VLOOKUP($A30,[1]Hugst!$R$5:$W$9,MATCH(ROUNDUP((AB$1)/10,0)*10,[1]Hugst!$R$4:$W$4,0))))</f>
        <v>361.31121495866228</v>
      </c>
      <c r="AC30">
        <f ca="1">IF($C30-AC$1&lt;År1,0,AB29*(1-VLOOKUP($A30,[1]Hugst!$R$5:$W$9,MATCH(ROUNDUP((AC$1)/10,0)*10,[1]Hugst!$R$4:$W$4,0))))</f>
        <v>361.84158512396232</v>
      </c>
      <c r="AD30">
        <f ca="1">IF($C30-AD$1&lt;År1,0,AC29*(1-VLOOKUP($A30,[1]Hugst!$R$5:$W$9,MATCH(ROUNDUP((AD$1)/10,0)*10,[1]Hugst!$R$4:$W$4,0))))</f>
        <v>362.37462046597341</v>
      </c>
      <c r="AE30">
        <f ca="1">IF($C30-AE$1&lt;År1,0,AD29*(1-VLOOKUP($A30,[1]Hugst!$R$5:$W$9,MATCH(ROUNDUP((AE$1)/10,0)*10,[1]Hugst!$R$4:$W$4,0))))</f>
        <v>362.9103343775422</v>
      </c>
      <c r="AF30">
        <f ca="1">IF($C30-AF$1&lt;År1,0,AE29*(1-VLOOKUP($A30,[1]Hugst!$R$5:$W$9,MATCH(ROUNDUP((AF$1)/10,0)*10,[1]Hugst!$R$4:$W$4,0))))</f>
        <v>363.44874031881761</v>
      </c>
      <c r="AG30">
        <f ca="1">IF($C30-AG$1&lt;År1,0,AF29*(1-VLOOKUP($A30,[1]Hugst!$R$5:$W$9,MATCH(ROUNDUP((AG$1)/10,0)*10,[1]Hugst!$R$4:$W$4,0))))</f>
        <v>363.98985181758314</v>
      </c>
      <c r="AH30">
        <f ca="1">IF($C30-AH$1&lt;År1,0,AG29*(1-VLOOKUP($A30,[1]Hugst!$R$5:$W$9,MATCH(ROUNDUP((AH$1)/10,0)*10,[1]Hugst!$R$4:$W$4,0))))</f>
        <v>364.53368246961463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55000000000000004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495.97135274325814</v>
      </c>
      <c r="G31">
        <f ca="1">IF($C31-G$1&lt;År1,0,F30*(1-VLOOKUP($A31,[1]Hugst!$R$5:$W$9,MATCH(ROUNDUP((G$1)/10,0)*10,[1]Hugst!$R$4:$W$4,0))))</f>
        <v>496.44397040047301</v>
      </c>
      <c r="H31">
        <f ca="1">IF($C31-H$1&lt;År1,0,G30*(1-VLOOKUP($A31,[1]Hugst!$R$5:$W$9,MATCH(ROUNDUP((H$1)/10,0)*10,[1]Hugst!$R$4:$W$4,0))))</f>
        <v>496.91896302078652</v>
      </c>
      <c r="I31">
        <f ca="1">IF($C31-I$1&lt;År1,0,H30*(1-VLOOKUP($A31,[1]Hugst!$R$5:$W$9,MATCH(ROUNDUP((I$1)/10,0)*10,[1]Hugst!$R$4:$W$4,0))))</f>
        <v>497.39634253869866</v>
      </c>
      <c r="J31">
        <f ca="1">IF($C31-J$1&lt;År1,0,I30*(1-VLOOKUP($A31,[1]Hugst!$R$5:$W$9,MATCH(ROUNDUP((J$1)/10,0)*10,[1]Hugst!$R$4:$W$4,0))))</f>
        <v>497.87612094865148</v>
      </c>
      <c r="K31">
        <f ca="1">IF($C31-K$1&lt;År1,0,J30*(1-VLOOKUP($A31,[1]Hugst!$R$5:$W$9,MATCH(ROUNDUP((K$1)/10,0)*10,[1]Hugst!$R$4:$W$4,0))))</f>
        <v>498.35831030539106</v>
      </c>
      <c r="L31">
        <f ca="1">IF($C31-L$1&lt;År1,0,K30*(1-VLOOKUP($A31,[1]Hugst!$R$5:$W$9,MATCH(ROUNDUP((L$1)/10,0)*10,[1]Hugst!$R$4:$W$4,0))))</f>
        <v>498.84292272422448</v>
      </c>
      <c r="M31">
        <f ca="1">IF($C31-M$1&lt;År1,0,L30*(1-VLOOKUP($A31,[1]Hugst!$R$5:$W$9,MATCH(ROUNDUP((M$1)/10,0)*10,[1]Hugst!$R$4:$W$4,0))))</f>
        <v>499.32997038134494</v>
      </c>
      <c r="N31">
        <f ca="1">IF($C31-N$1&lt;År1,0,M30*(1-VLOOKUP($A31,[1]Hugst!$R$5:$W$9,MATCH(ROUNDUP((N$1)/10,0)*10,[1]Hugst!$R$4:$W$4,0))))</f>
        <v>499.8194655141296</v>
      </c>
      <c r="O31">
        <f ca="1">IF($C31-O$1&lt;År1,0,N30*(1-VLOOKUP($A31,[1]Hugst!$R$5:$W$9,MATCH(ROUNDUP((O$1)/10,0)*10,[1]Hugst!$R$4:$W$4,0))))</f>
        <v>500.31142042144751</v>
      </c>
      <c r="P31">
        <f ca="1">IF($C31-P$1&lt;År1,0,O30*(1-VLOOKUP($A31,[1]Hugst!$R$5:$W$9,MATCH(ROUNDUP((P$1)/10,0)*10,[1]Hugst!$R$4:$W$4,0))))</f>
        <v>500.80584746397761</v>
      </c>
      <c r="Q31">
        <f ca="1">IF($C31-Q$1&lt;År1,0,P30*(1-VLOOKUP($A31,[1]Hugst!$R$5:$W$9,MATCH(ROUNDUP((Q$1)/10,0)*10,[1]Hugst!$R$4:$W$4,0))))</f>
        <v>501.30275906451851</v>
      </c>
      <c r="R31">
        <f ca="1">IF($C31-R$1&lt;År1,0,Q30*(1-VLOOKUP($A31,[1]Hugst!$R$5:$W$9,MATCH(ROUNDUP((R$1)/10,0)*10,[1]Hugst!$R$4:$W$4,0))))</f>
        <v>501.80216770826922</v>
      </c>
      <c r="S31">
        <f ca="1">IF($C31-S$1&lt;År1,0,R30*(1-VLOOKUP($A31,[1]Hugst!$R$5:$W$9,MATCH(ROUNDUP((S$1)/10,0)*10,[1]Hugst!$R$4:$W$4,0))))</f>
        <v>502.30408594319869</v>
      </c>
      <c r="T31">
        <f ca="1">IF($C31-T$1&lt;År1,0,S30*(1-VLOOKUP($A31,[1]Hugst!$R$5:$W$9,MATCH(ROUNDUP((T$1)/10,0)*10,[1]Hugst!$R$4:$W$4,0))))</f>
        <v>502.80852638031337</v>
      </c>
      <c r="U31">
        <f ca="1">IF($C31-U$1&lt;År1,0,T30*(1-VLOOKUP($A31,[1]Hugst!$R$5:$W$9,MATCH(ROUNDUP((U$1)/10,0)*10,[1]Hugst!$R$4:$W$4,0))))</f>
        <v>503.31550169399378</v>
      </c>
      <c r="V31">
        <f ca="1">IF($C31-V$1&lt;År1,0,U30*(1-VLOOKUP($A31,[1]Hugst!$R$5:$W$9,MATCH(ROUNDUP((V$1)/10,0)*10,[1]Hugst!$R$4:$W$4,0))))</f>
        <v>503.82502462231758</v>
      </c>
      <c r="W31">
        <f ca="1">IF($C31-W$1&lt;År1,0,V30*(1-VLOOKUP($A31,[1]Hugst!$R$5:$W$9,MATCH(ROUNDUP((W$1)/10,0)*10,[1]Hugst!$R$4:$W$4,0))))</f>
        <v>504.33710796736972</v>
      </c>
      <c r="X31">
        <f ca="1">IF($C31-X$1&lt;År1,0,W30*(1-VLOOKUP($A31,[1]Hugst!$R$5:$W$9,MATCH(ROUNDUP((X$1)/10,0)*10,[1]Hugst!$R$4:$W$4,0))))</f>
        <v>504.85176459555504</v>
      </c>
      <c r="Y31">
        <f ca="1">IF($C31-Y$1&lt;År1,0,X30*(1-VLOOKUP($A31,[1]Hugst!$R$5:$W$9,MATCH(ROUNDUP((Y$1)/10,0)*10,[1]Hugst!$R$4:$W$4,0))))</f>
        <v>359.21612054433638</v>
      </c>
      <c r="Z31">
        <f ca="1">IF($C31-Z$1&lt;År1,0,Y30*(1-VLOOKUP($A31,[1]Hugst!$R$5:$W$9,MATCH(ROUNDUP((Z$1)/10,0)*10,[1]Hugst!$R$4:$W$4,0))))</f>
        <v>359.73596259699673</v>
      </c>
      <c r="AA31">
        <f ca="1">IF($C31-AA$1&lt;År1,0,Z30*(1-VLOOKUP($A31,[1]Hugst!$R$5:$W$9,MATCH(ROUNDUP((AA$1)/10,0)*10,[1]Hugst!$R$4:$W$4,0))))</f>
        <v>360.2584169212887</v>
      </c>
      <c r="AB31">
        <f ca="1">IF($C31-AB$1&lt;År1,0,AA30*(1-VLOOKUP($A31,[1]Hugst!$R$5:$W$9,MATCH(ROUNDUP((AB$1)/10,0)*10,[1]Hugst!$R$4:$W$4,0))))</f>
        <v>360.7834966441892</v>
      </c>
      <c r="AC31">
        <f ca="1">IF($C31-AC$1&lt;År1,0,AB30*(1-VLOOKUP($A31,[1]Hugst!$R$5:$W$9,MATCH(ROUNDUP((AC$1)/10,0)*10,[1]Hugst!$R$4:$W$4,0))))</f>
        <v>361.31121495866228</v>
      </c>
      <c r="AD31">
        <f ca="1">IF($C31-AD$1&lt;År1,0,AC30*(1-VLOOKUP($A31,[1]Hugst!$R$5:$W$9,MATCH(ROUNDUP((AD$1)/10,0)*10,[1]Hugst!$R$4:$W$4,0))))</f>
        <v>361.84158512396232</v>
      </c>
      <c r="AE31">
        <f ca="1">IF($C31-AE$1&lt;År1,0,AD30*(1-VLOOKUP($A31,[1]Hugst!$R$5:$W$9,MATCH(ROUNDUP((AE$1)/10,0)*10,[1]Hugst!$R$4:$W$4,0))))</f>
        <v>362.37462046597341</v>
      </c>
      <c r="AF31">
        <f ca="1">IF($C31-AF$1&lt;År1,0,AE30*(1-VLOOKUP($A31,[1]Hugst!$R$5:$W$9,MATCH(ROUNDUP((AF$1)/10,0)*10,[1]Hugst!$R$4:$W$4,0))))</f>
        <v>362.9103343775422</v>
      </c>
      <c r="AG31">
        <f ca="1">IF($C31-AG$1&lt;År1,0,AF30*(1-VLOOKUP($A31,[1]Hugst!$R$5:$W$9,MATCH(ROUNDUP((AG$1)/10,0)*10,[1]Hugst!$R$4:$W$4,0))))</f>
        <v>363.44874031881761</v>
      </c>
      <c r="AH31">
        <f ca="1">IF($C31-AH$1&lt;År1,0,AG30*(1-VLOOKUP($A31,[1]Hugst!$R$5:$W$9,MATCH(ROUNDUP((AH$1)/10,0)*10,[1]Hugst!$R$4:$W$4,0))))</f>
        <v>363.98985181758314</v>
      </c>
      <c r="AI31">
        <f ca="1">IF($C31-AI$1&lt;År1,0,AH30*(1-VLOOKUP($A31,[1]Hugst!$R$5:$W$9,MATCH(ROUNDUP((AI$1)/10,0)*10,[1]Hugst!$R$4:$W$4,0))))</f>
        <v>364.53368246961463</v>
      </c>
      <c r="AJ31">
        <f>IF($C31-AJ$1&lt;År1,0,AI30*(1-VLOOKUP($A31,[1]Hugst!$R$5:$W$9,MATCH(ROUNDUP((AJ$1)/10,0)*10,[1]Hugst!$R$4:$W$4,0))))</f>
        <v>0</v>
      </c>
    </row>
    <row r="32" spans="1:38" x14ac:dyDescent="0.55000000000000004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1.2021855485709239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496.70328372290163</v>
      </c>
      <c r="G32">
        <f ca="1">IF($C32-G$1&lt;År1,0,F31*(1-VLOOKUP($A32,[1]Hugst!$R$5:$W$9,MATCH(ROUNDUP((G$1)/10,0)*10,[1]Hugst!$R$4:$W$4,0))))</f>
        <v>495.97135274325814</v>
      </c>
      <c r="H32">
        <f ca="1">IF($C32-H$1&lt;År1,0,G31*(1-VLOOKUP($A32,[1]Hugst!$R$5:$W$9,MATCH(ROUNDUP((H$1)/10,0)*10,[1]Hugst!$R$4:$W$4,0))))</f>
        <v>496.44397040047301</v>
      </c>
      <c r="I32">
        <f ca="1">IF($C32-I$1&lt;År1,0,H31*(1-VLOOKUP($A32,[1]Hugst!$R$5:$W$9,MATCH(ROUNDUP((I$1)/10,0)*10,[1]Hugst!$R$4:$W$4,0))))</f>
        <v>496.91896302078652</v>
      </c>
      <c r="J32">
        <f ca="1">IF($C32-J$1&lt;År1,0,I31*(1-VLOOKUP($A32,[1]Hugst!$R$5:$W$9,MATCH(ROUNDUP((J$1)/10,0)*10,[1]Hugst!$R$4:$W$4,0))))</f>
        <v>497.39634253869866</v>
      </c>
      <c r="K32">
        <f ca="1">IF($C32-K$1&lt;År1,0,J31*(1-VLOOKUP($A32,[1]Hugst!$R$5:$W$9,MATCH(ROUNDUP((K$1)/10,0)*10,[1]Hugst!$R$4:$W$4,0))))</f>
        <v>497.87612094865148</v>
      </c>
      <c r="L32">
        <f ca="1">IF($C32-L$1&lt;År1,0,K31*(1-VLOOKUP($A32,[1]Hugst!$R$5:$W$9,MATCH(ROUNDUP((L$1)/10,0)*10,[1]Hugst!$R$4:$W$4,0))))</f>
        <v>498.35831030539106</v>
      </c>
      <c r="M32">
        <f ca="1">IF($C32-M$1&lt;År1,0,L31*(1-VLOOKUP($A32,[1]Hugst!$R$5:$W$9,MATCH(ROUNDUP((M$1)/10,0)*10,[1]Hugst!$R$4:$W$4,0))))</f>
        <v>498.84292272422448</v>
      </c>
      <c r="N32">
        <f ca="1">IF($C32-N$1&lt;År1,0,M31*(1-VLOOKUP($A32,[1]Hugst!$R$5:$W$9,MATCH(ROUNDUP((N$1)/10,0)*10,[1]Hugst!$R$4:$W$4,0))))</f>
        <v>499.32997038134494</v>
      </c>
      <c r="O32">
        <f ca="1">IF($C32-O$1&lt;År1,0,N31*(1-VLOOKUP($A32,[1]Hugst!$R$5:$W$9,MATCH(ROUNDUP((O$1)/10,0)*10,[1]Hugst!$R$4:$W$4,0))))</f>
        <v>499.8194655141296</v>
      </c>
      <c r="P32">
        <f ca="1">IF($C32-P$1&lt;År1,0,O31*(1-VLOOKUP($A32,[1]Hugst!$R$5:$W$9,MATCH(ROUNDUP((P$1)/10,0)*10,[1]Hugst!$R$4:$W$4,0))))</f>
        <v>500.31142042144751</v>
      </c>
      <c r="Q32">
        <f ca="1">IF($C32-Q$1&lt;År1,0,P31*(1-VLOOKUP($A32,[1]Hugst!$R$5:$W$9,MATCH(ROUNDUP((Q$1)/10,0)*10,[1]Hugst!$R$4:$W$4,0))))</f>
        <v>500.80584746397761</v>
      </c>
      <c r="R32">
        <f ca="1">IF($C32-R$1&lt;År1,0,Q31*(1-VLOOKUP($A32,[1]Hugst!$R$5:$W$9,MATCH(ROUNDUP((R$1)/10,0)*10,[1]Hugst!$R$4:$W$4,0))))</f>
        <v>501.30275906451851</v>
      </c>
      <c r="S32">
        <f ca="1">IF($C32-S$1&lt;År1,0,R31*(1-VLOOKUP($A32,[1]Hugst!$R$5:$W$9,MATCH(ROUNDUP((S$1)/10,0)*10,[1]Hugst!$R$4:$W$4,0))))</f>
        <v>501.80216770826922</v>
      </c>
      <c r="T32">
        <f ca="1">IF($C32-T$1&lt;År1,0,S31*(1-VLOOKUP($A32,[1]Hugst!$R$5:$W$9,MATCH(ROUNDUP((T$1)/10,0)*10,[1]Hugst!$R$4:$W$4,0))))</f>
        <v>502.30408594319869</v>
      </c>
      <c r="U32">
        <f ca="1">IF($C32-U$1&lt;År1,0,T31*(1-VLOOKUP($A32,[1]Hugst!$R$5:$W$9,MATCH(ROUNDUP((U$1)/10,0)*10,[1]Hugst!$R$4:$W$4,0))))</f>
        <v>502.80852638031337</v>
      </c>
      <c r="V32">
        <f ca="1">IF($C32-V$1&lt;År1,0,U31*(1-VLOOKUP($A32,[1]Hugst!$R$5:$W$9,MATCH(ROUNDUP((V$1)/10,0)*10,[1]Hugst!$R$4:$W$4,0))))</f>
        <v>503.31550169399378</v>
      </c>
      <c r="W32">
        <f ca="1">IF($C32-W$1&lt;År1,0,V31*(1-VLOOKUP($A32,[1]Hugst!$R$5:$W$9,MATCH(ROUNDUP((W$1)/10,0)*10,[1]Hugst!$R$4:$W$4,0))))</f>
        <v>503.82502462231758</v>
      </c>
      <c r="X32">
        <f ca="1">IF($C32-X$1&lt;År1,0,W31*(1-VLOOKUP($A32,[1]Hugst!$R$5:$W$9,MATCH(ROUNDUP((X$1)/10,0)*10,[1]Hugst!$R$4:$W$4,0))))</f>
        <v>504.33710796736972</v>
      </c>
      <c r="Y32">
        <f ca="1">IF($C32-Y$1&lt;År1,0,X31*(1-VLOOKUP($A32,[1]Hugst!$R$5:$W$9,MATCH(ROUNDUP((Y$1)/10,0)*10,[1]Hugst!$R$4:$W$4,0))))</f>
        <v>504.85176459555504</v>
      </c>
      <c r="Z32">
        <f ca="1">IF($C32-Z$1&lt;År1,0,Y31*(1-VLOOKUP($A32,[1]Hugst!$R$5:$W$9,MATCH(ROUNDUP((Z$1)/10,0)*10,[1]Hugst!$R$4:$W$4,0))))</f>
        <v>359.21612054433638</v>
      </c>
      <c r="AA32">
        <f ca="1">IF($C32-AA$1&lt;År1,0,Z31*(1-VLOOKUP($A32,[1]Hugst!$R$5:$W$9,MATCH(ROUNDUP((AA$1)/10,0)*10,[1]Hugst!$R$4:$W$4,0))))</f>
        <v>359.73596259699673</v>
      </c>
      <c r="AB32">
        <f ca="1">IF($C32-AB$1&lt;År1,0,AA31*(1-VLOOKUP($A32,[1]Hugst!$R$5:$W$9,MATCH(ROUNDUP((AB$1)/10,0)*10,[1]Hugst!$R$4:$W$4,0))))</f>
        <v>360.2584169212887</v>
      </c>
      <c r="AC32">
        <f ca="1">IF($C32-AC$1&lt;År1,0,AB31*(1-VLOOKUP($A32,[1]Hugst!$R$5:$W$9,MATCH(ROUNDUP((AC$1)/10,0)*10,[1]Hugst!$R$4:$W$4,0))))</f>
        <v>360.7834966441892</v>
      </c>
      <c r="AD32">
        <f ca="1">IF($C32-AD$1&lt;År1,0,AC31*(1-VLOOKUP($A32,[1]Hugst!$R$5:$W$9,MATCH(ROUNDUP((AD$1)/10,0)*10,[1]Hugst!$R$4:$W$4,0))))</f>
        <v>361.31121495866228</v>
      </c>
      <c r="AE32">
        <f ca="1">IF($C32-AE$1&lt;År1,0,AD31*(1-VLOOKUP($A32,[1]Hugst!$R$5:$W$9,MATCH(ROUNDUP((AE$1)/10,0)*10,[1]Hugst!$R$4:$W$4,0))))</f>
        <v>361.84158512396232</v>
      </c>
      <c r="AF32">
        <f ca="1">IF($C32-AF$1&lt;År1,0,AE31*(1-VLOOKUP($A32,[1]Hugst!$R$5:$W$9,MATCH(ROUNDUP((AF$1)/10,0)*10,[1]Hugst!$R$4:$W$4,0))))</f>
        <v>362.37462046597341</v>
      </c>
      <c r="AG32">
        <f ca="1">IF($C32-AG$1&lt;År1,0,AF31*(1-VLOOKUP($A32,[1]Hugst!$R$5:$W$9,MATCH(ROUNDUP((AG$1)/10,0)*10,[1]Hugst!$R$4:$W$4,0))))</f>
        <v>362.9103343775422</v>
      </c>
      <c r="AH32">
        <f ca="1">IF($C32-AH$1&lt;År1,0,AG31*(1-VLOOKUP($A32,[1]Hugst!$R$5:$W$9,MATCH(ROUNDUP((AH$1)/10,0)*10,[1]Hugst!$R$4:$W$4,0))))</f>
        <v>363.44874031881761</v>
      </c>
      <c r="AI32">
        <f ca="1">IF($C32-AI$1&lt;År1,0,AH31*(1-VLOOKUP($A32,[1]Hugst!$R$5:$W$9,MATCH(ROUNDUP((AI$1)/10,0)*10,[1]Hugst!$R$4:$W$4,0))))</f>
        <v>363.98985181758314</v>
      </c>
      <c r="AJ32">
        <f ca="1">IF($C32-AJ$1&lt;År1,0,AI31*(1-VLOOKUP($A32,[1]Hugst!$R$5:$W$9,MATCH(ROUNDUP((AJ$1)/10,0)*10,[1]Hugst!$R$4:$W$4,0))))</f>
        <v>363.33149692104462</v>
      </c>
      <c r="AL32">
        <f ca="1">SUM(F32:AJ32)</f>
        <v>13982.526748851215</v>
      </c>
    </row>
    <row r="33" spans="1:36" x14ac:dyDescent="0.55000000000000004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70.681612143180047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55000000000000004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70.522430295208849</v>
      </c>
      <c r="G34">
        <f ca="1">IF($C34-G$1&lt;År1,0,F33*(1-VLOOKUP($A34,[1]Hugst!$R$5:$W$9,MATCH(ROUNDUP((G$1)/10,0)*10,[1]Hugst!$R$4:$W$4,0))))</f>
        <v>70.681612143180047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55000000000000004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70.364044356477635</v>
      </c>
      <c r="G35">
        <f ca="1">IF($C35-G$1&lt;År1,0,F34*(1-VLOOKUP($A35,[1]Hugst!$R$5:$W$9,MATCH(ROUNDUP((G$1)/10,0)*10,[1]Hugst!$R$4:$W$4,0))))</f>
        <v>70.522430295208849</v>
      </c>
      <c r="H35">
        <f ca="1">IF($C35-H$1&lt;År1,0,G34*(1-VLOOKUP($A35,[1]Hugst!$R$5:$W$9,MATCH(ROUNDUP((H$1)/10,0)*10,[1]Hugst!$R$4:$W$4,0))))</f>
        <v>70.681612143180047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55000000000000004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70.206450347439187</v>
      </c>
      <c r="G36">
        <f ca="1">IF($C36-G$1&lt;År1,0,F35*(1-VLOOKUP($A36,[1]Hugst!$R$5:$W$9,MATCH(ROUNDUP((G$1)/10,0)*10,[1]Hugst!$R$4:$W$4,0))))</f>
        <v>70.364044356477635</v>
      </c>
      <c r="H36">
        <f ca="1">IF($C36-H$1&lt;År1,0,G35*(1-VLOOKUP($A36,[1]Hugst!$R$5:$W$9,MATCH(ROUNDUP((H$1)/10,0)*10,[1]Hugst!$R$4:$W$4,0))))</f>
        <v>70.522430295208849</v>
      </c>
      <c r="I36">
        <f ca="1">IF($C36-I$1&lt;År1,0,H35*(1-VLOOKUP($A36,[1]Hugst!$R$5:$W$9,MATCH(ROUNDUP((I$1)/10,0)*10,[1]Hugst!$R$4:$W$4,0))))</f>
        <v>70.681612143180047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55000000000000004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70.049644308447569</v>
      </c>
      <c r="G37">
        <f ca="1">IF($C37-G$1&lt;År1,0,F36*(1-VLOOKUP($A37,[1]Hugst!$R$5:$W$9,MATCH(ROUNDUP((G$1)/10,0)*10,[1]Hugst!$R$4:$W$4,0))))</f>
        <v>70.206450347439187</v>
      </c>
      <c r="H37">
        <f ca="1">IF($C37-H$1&lt;År1,0,G36*(1-VLOOKUP($A37,[1]Hugst!$R$5:$W$9,MATCH(ROUNDUP((H$1)/10,0)*10,[1]Hugst!$R$4:$W$4,0))))</f>
        <v>70.364044356477635</v>
      </c>
      <c r="I37">
        <f ca="1">IF($C37-I$1&lt;År1,0,H36*(1-VLOOKUP($A37,[1]Hugst!$R$5:$W$9,MATCH(ROUNDUP((I$1)/10,0)*10,[1]Hugst!$R$4:$W$4,0))))</f>
        <v>70.522430295208849</v>
      </c>
      <c r="J37">
        <f ca="1">IF($C37-J$1&lt;År1,0,I36*(1-VLOOKUP($A37,[1]Hugst!$R$5:$W$9,MATCH(ROUNDUP((J$1)/10,0)*10,[1]Hugst!$R$4:$W$4,0))))</f>
        <v>70.681612143180047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55000000000000004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69.893622299649508</v>
      </c>
      <c r="G38">
        <f ca="1">IF($C38-G$1&lt;År1,0,F37*(1-VLOOKUP($A38,[1]Hugst!$R$5:$W$9,MATCH(ROUNDUP((G$1)/10,0)*10,[1]Hugst!$R$4:$W$4,0))))</f>
        <v>70.049644308447569</v>
      </c>
      <c r="H38">
        <f ca="1">IF($C38-H$1&lt;År1,0,G37*(1-VLOOKUP($A38,[1]Hugst!$R$5:$W$9,MATCH(ROUNDUP((H$1)/10,0)*10,[1]Hugst!$R$4:$W$4,0))))</f>
        <v>70.206450347439187</v>
      </c>
      <c r="I38">
        <f ca="1">IF($C38-I$1&lt;År1,0,H37*(1-VLOOKUP($A38,[1]Hugst!$R$5:$W$9,MATCH(ROUNDUP((I$1)/10,0)*10,[1]Hugst!$R$4:$W$4,0))))</f>
        <v>70.364044356477635</v>
      </c>
      <c r="J38">
        <f ca="1">IF($C38-J$1&lt;År1,0,I37*(1-VLOOKUP($A38,[1]Hugst!$R$5:$W$9,MATCH(ROUNDUP((J$1)/10,0)*10,[1]Hugst!$R$4:$W$4,0))))</f>
        <v>70.522430295208849</v>
      </c>
      <c r="K38">
        <f ca="1">IF($C38-K$1&lt;År1,0,J37*(1-VLOOKUP($A38,[1]Hugst!$R$5:$W$9,MATCH(ROUNDUP((K$1)/10,0)*10,[1]Hugst!$R$4:$W$4,0))))</f>
        <v>70.681612143180047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55000000000000004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69.73838040089737</v>
      </c>
      <c r="G39">
        <f ca="1">IF($C39-G$1&lt;År1,0,F38*(1-VLOOKUP($A39,[1]Hugst!$R$5:$W$9,MATCH(ROUNDUP((G$1)/10,0)*10,[1]Hugst!$R$4:$W$4,0))))</f>
        <v>69.893622299649508</v>
      </c>
      <c r="H39">
        <f ca="1">IF($C39-H$1&lt;År1,0,G38*(1-VLOOKUP($A39,[1]Hugst!$R$5:$W$9,MATCH(ROUNDUP((H$1)/10,0)*10,[1]Hugst!$R$4:$W$4,0))))</f>
        <v>70.049644308447569</v>
      </c>
      <c r="I39">
        <f ca="1">IF($C39-I$1&lt;År1,0,H38*(1-VLOOKUP($A39,[1]Hugst!$R$5:$W$9,MATCH(ROUNDUP((I$1)/10,0)*10,[1]Hugst!$R$4:$W$4,0))))</f>
        <v>70.206450347439187</v>
      </c>
      <c r="J39">
        <f ca="1">IF($C39-J$1&lt;År1,0,I38*(1-VLOOKUP($A39,[1]Hugst!$R$5:$W$9,MATCH(ROUNDUP((J$1)/10,0)*10,[1]Hugst!$R$4:$W$4,0))))</f>
        <v>70.364044356477635</v>
      </c>
      <c r="K39">
        <f ca="1">IF($C39-K$1&lt;År1,0,J38*(1-VLOOKUP($A39,[1]Hugst!$R$5:$W$9,MATCH(ROUNDUP((K$1)/10,0)*10,[1]Hugst!$R$4:$W$4,0))))</f>
        <v>70.522430295208849</v>
      </c>
      <c r="L39">
        <f ca="1">IF($C39-L$1&lt;År1,0,K38*(1-VLOOKUP($A39,[1]Hugst!$R$5:$W$9,MATCH(ROUNDUP((L$1)/10,0)*10,[1]Hugst!$R$4:$W$4,0))))</f>
        <v>70.681612143180047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55000000000000004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69.583914711636112</v>
      </c>
      <c r="G40">
        <f ca="1">IF($C40-G$1&lt;År1,0,F39*(1-VLOOKUP($A40,[1]Hugst!$R$5:$W$9,MATCH(ROUNDUP((G$1)/10,0)*10,[1]Hugst!$R$4:$W$4,0))))</f>
        <v>69.73838040089737</v>
      </c>
      <c r="H40">
        <f ca="1">IF($C40-H$1&lt;År1,0,G39*(1-VLOOKUP($A40,[1]Hugst!$R$5:$W$9,MATCH(ROUNDUP((H$1)/10,0)*10,[1]Hugst!$R$4:$W$4,0))))</f>
        <v>69.893622299649508</v>
      </c>
      <c r="I40">
        <f ca="1">IF($C40-I$1&lt;År1,0,H39*(1-VLOOKUP($A40,[1]Hugst!$R$5:$W$9,MATCH(ROUNDUP((I$1)/10,0)*10,[1]Hugst!$R$4:$W$4,0))))</f>
        <v>70.049644308447569</v>
      </c>
      <c r="J40">
        <f ca="1">IF($C40-J$1&lt;År1,0,I39*(1-VLOOKUP($A40,[1]Hugst!$R$5:$W$9,MATCH(ROUNDUP((J$1)/10,0)*10,[1]Hugst!$R$4:$W$4,0))))</f>
        <v>70.206450347439187</v>
      </c>
      <c r="K40">
        <f ca="1">IF($C40-K$1&lt;År1,0,J39*(1-VLOOKUP($A40,[1]Hugst!$R$5:$W$9,MATCH(ROUNDUP((K$1)/10,0)*10,[1]Hugst!$R$4:$W$4,0))))</f>
        <v>70.364044356477635</v>
      </c>
      <c r="L40">
        <f ca="1">IF($C40-L$1&lt;År1,0,K39*(1-VLOOKUP($A40,[1]Hugst!$R$5:$W$9,MATCH(ROUNDUP((L$1)/10,0)*10,[1]Hugst!$R$4:$W$4,0))))</f>
        <v>70.522430295208849</v>
      </c>
      <c r="M40">
        <f ca="1">IF($C40-M$1&lt;År1,0,L39*(1-VLOOKUP($A40,[1]Hugst!$R$5:$W$9,MATCH(ROUNDUP((M$1)/10,0)*10,[1]Hugst!$R$4:$W$4,0))))</f>
        <v>70.681612143180047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55000000000000004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69.430221350823388</v>
      </c>
      <c r="G41">
        <f ca="1">IF($C41-G$1&lt;År1,0,F40*(1-VLOOKUP($A41,[1]Hugst!$R$5:$W$9,MATCH(ROUNDUP((G$1)/10,0)*10,[1]Hugst!$R$4:$W$4,0))))</f>
        <v>69.583914711636112</v>
      </c>
      <c r="H41">
        <f ca="1">IF($C41-H$1&lt;År1,0,G40*(1-VLOOKUP($A41,[1]Hugst!$R$5:$W$9,MATCH(ROUNDUP((H$1)/10,0)*10,[1]Hugst!$R$4:$W$4,0))))</f>
        <v>69.73838040089737</v>
      </c>
      <c r="I41">
        <f ca="1">IF($C41-I$1&lt;År1,0,H40*(1-VLOOKUP($A41,[1]Hugst!$R$5:$W$9,MATCH(ROUNDUP((I$1)/10,0)*10,[1]Hugst!$R$4:$W$4,0))))</f>
        <v>69.893622299649508</v>
      </c>
      <c r="J41">
        <f ca="1">IF($C41-J$1&lt;År1,0,I40*(1-VLOOKUP($A41,[1]Hugst!$R$5:$W$9,MATCH(ROUNDUP((J$1)/10,0)*10,[1]Hugst!$R$4:$W$4,0))))</f>
        <v>70.049644308447569</v>
      </c>
      <c r="K41">
        <f ca="1">IF($C41-K$1&lt;År1,0,J40*(1-VLOOKUP($A41,[1]Hugst!$R$5:$W$9,MATCH(ROUNDUP((K$1)/10,0)*10,[1]Hugst!$R$4:$W$4,0))))</f>
        <v>70.206450347439187</v>
      </c>
      <c r="L41">
        <f ca="1">IF($C41-L$1&lt;År1,0,K40*(1-VLOOKUP($A41,[1]Hugst!$R$5:$W$9,MATCH(ROUNDUP((L$1)/10,0)*10,[1]Hugst!$R$4:$W$4,0))))</f>
        <v>70.364044356477635</v>
      </c>
      <c r="M41">
        <f ca="1">IF($C41-M$1&lt;År1,0,L40*(1-VLOOKUP($A41,[1]Hugst!$R$5:$W$9,MATCH(ROUNDUP((M$1)/10,0)*10,[1]Hugst!$R$4:$W$4,0))))</f>
        <v>70.522430295208849</v>
      </c>
      <c r="N41">
        <f ca="1">IF($C41-N$1&lt;År1,0,M40*(1-VLOOKUP($A41,[1]Hugst!$R$5:$W$9,MATCH(ROUNDUP((N$1)/10,0)*10,[1]Hugst!$R$4:$W$4,0))))</f>
        <v>70.681612143180047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55000000000000004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69.277296456813701</v>
      </c>
      <c r="G42">
        <f ca="1">IF($C42-G$1&lt;År1,0,F41*(1-VLOOKUP($A42,[1]Hugst!$R$5:$W$9,MATCH(ROUNDUP((G$1)/10,0)*10,[1]Hugst!$R$4:$W$4,0))))</f>
        <v>69.430221350823388</v>
      </c>
      <c r="H42">
        <f ca="1">IF($C42-H$1&lt;År1,0,G41*(1-VLOOKUP($A42,[1]Hugst!$R$5:$W$9,MATCH(ROUNDUP((H$1)/10,0)*10,[1]Hugst!$R$4:$W$4,0))))</f>
        <v>69.583914711636112</v>
      </c>
      <c r="I42">
        <f ca="1">IF($C42-I$1&lt;År1,0,H41*(1-VLOOKUP($A42,[1]Hugst!$R$5:$W$9,MATCH(ROUNDUP((I$1)/10,0)*10,[1]Hugst!$R$4:$W$4,0))))</f>
        <v>69.73838040089737</v>
      </c>
      <c r="J42">
        <f ca="1">IF($C42-J$1&lt;År1,0,I41*(1-VLOOKUP($A42,[1]Hugst!$R$5:$W$9,MATCH(ROUNDUP((J$1)/10,0)*10,[1]Hugst!$R$4:$W$4,0))))</f>
        <v>69.893622299649508</v>
      </c>
      <c r="K42">
        <f ca="1">IF($C42-K$1&lt;År1,0,J41*(1-VLOOKUP($A42,[1]Hugst!$R$5:$W$9,MATCH(ROUNDUP((K$1)/10,0)*10,[1]Hugst!$R$4:$W$4,0))))</f>
        <v>70.049644308447569</v>
      </c>
      <c r="L42">
        <f ca="1">IF($C42-L$1&lt;År1,0,K41*(1-VLOOKUP($A42,[1]Hugst!$R$5:$W$9,MATCH(ROUNDUP((L$1)/10,0)*10,[1]Hugst!$R$4:$W$4,0))))</f>
        <v>70.206450347439187</v>
      </c>
      <c r="M42">
        <f ca="1">IF($C42-M$1&lt;År1,0,L41*(1-VLOOKUP($A42,[1]Hugst!$R$5:$W$9,MATCH(ROUNDUP((M$1)/10,0)*10,[1]Hugst!$R$4:$W$4,0))))</f>
        <v>70.364044356477635</v>
      </c>
      <c r="N42">
        <f ca="1">IF($C42-N$1&lt;År1,0,M41*(1-VLOOKUP($A42,[1]Hugst!$R$5:$W$9,MATCH(ROUNDUP((N$1)/10,0)*10,[1]Hugst!$R$4:$W$4,0))))</f>
        <v>70.522430295208849</v>
      </c>
      <c r="O42">
        <f ca="1">IF($C42-O$1&lt;År1,0,N41*(1-VLOOKUP($A42,[1]Hugst!$R$5:$W$9,MATCH(ROUNDUP((O$1)/10,0)*10,[1]Hugst!$R$4:$W$4,0))))</f>
        <v>70.681612143180047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55000000000000004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69.125136187275132</v>
      </c>
      <c r="G43">
        <f ca="1">IF($C43-G$1&lt;År1,0,F42*(1-VLOOKUP($A43,[1]Hugst!$R$5:$W$9,MATCH(ROUNDUP((G$1)/10,0)*10,[1]Hugst!$R$4:$W$4,0))))</f>
        <v>69.277296456813701</v>
      </c>
      <c r="H43">
        <f ca="1">IF($C43-H$1&lt;År1,0,G42*(1-VLOOKUP($A43,[1]Hugst!$R$5:$W$9,MATCH(ROUNDUP((H$1)/10,0)*10,[1]Hugst!$R$4:$W$4,0))))</f>
        <v>69.430221350823388</v>
      </c>
      <c r="I43">
        <f ca="1">IF($C43-I$1&lt;År1,0,H42*(1-VLOOKUP($A43,[1]Hugst!$R$5:$W$9,MATCH(ROUNDUP((I$1)/10,0)*10,[1]Hugst!$R$4:$W$4,0))))</f>
        <v>69.583914711636112</v>
      </c>
      <c r="J43">
        <f ca="1">IF($C43-J$1&lt;År1,0,I42*(1-VLOOKUP($A43,[1]Hugst!$R$5:$W$9,MATCH(ROUNDUP((J$1)/10,0)*10,[1]Hugst!$R$4:$W$4,0))))</f>
        <v>69.73838040089737</v>
      </c>
      <c r="K43">
        <f ca="1">IF($C43-K$1&lt;År1,0,J42*(1-VLOOKUP($A43,[1]Hugst!$R$5:$W$9,MATCH(ROUNDUP((K$1)/10,0)*10,[1]Hugst!$R$4:$W$4,0))))</f>
        <v>69.893622299649508</v>
      </c>
      <c r="L43">
        <f ca="1">IF($C43-L$1&lt;År1,0,K42*(1-VLOOKUP($A43,[1]Hugst!$R$5:$W$9,MATCH(ROUNDUP((L$1)/10,0)*10,[1]Hugst!$R$4:$W$4,0))))</f>
        <v>70.049644308447569</v>
      </c>
      <c r="M43">
        <f ca="1">IF($C43-M$1&lt;År1,0,L42*(1-VLOOKUP($A43,[1]Hugst!$R$5:$W$9,MATCH(ROUNDUP((M$1)/10,0)*10,[1]Hugst!$R$4:$W$4,0))))</f>
        <v>70.206450347439187</v>
      </c>
      <c r="N43">
        <f ca="1">IF($C43-N$1&lt;År1,0,M42*(1-VLOOKUP($A43,[1]Hugst!$R$5:$W$9,MATCH(ROUNDUP((N$1)/10,0)*10,[1]Hugst!$R$4:$W$4,0))))</f>
        <v>70.364044356477635</v>
      </c>
      <c r="O43">
        <f ca="1">IF($C43-O$1&lt;År1,0,N42*(1-VLOOKUP($A43,[1]Hugst!$R$5:$W$9,MATCH(ROUNDUP((O$1)/10,0)*10,[1]Hugst!$R$4:$W$4,0))))</f>
        <v>70.522430295208849</v>
      </c>
      <c r="P43">
        <f ca="1">IF($C43-P$1&lt;År1,0,O42*(1-VLOOKUP($A43,[1]Hugst!$R$5:$W$9,MATCH(ROUNDUP((P$1)/10,0)*10,[1]Hugst!$R$4:$W$4,0))))</f>
        <v>70.681612143180047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55000000000000004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91.171018175622692</v>
      </c>
      <c r="G44">
        <f ca="1">IF($C44-G$1&lt;År1,0,F43*(1-VLOOKUP($A44,[1]Hugst!$R$5:$W$9,MATCH(ROUNDUP((G$1)/10,0)*10,[1]Hugst!$R$4:$W$4,0))))</f>
        <v>69.125136187275132</v>
      </c>
      <c r="H44">
        <f ca="1">IF($C44-H$1&lt;År1,0,G43*(1-VLOOKUP($A44,[1]Hugst!$R$5:$W$9,MATCH(ROUNDUP((H$1)/10,0)*10,[1]Hugst!$R$4:$W$4,0))))</f>
        <v>69.277296456813701</v>
      </c>
      <c r="I44">
        <f ca="1">IF($C44-I$1&lt;År1,0,H43*(1-VLOOKUP($A44,[1]Hugst!$R$5:$W$9,MATCH(ROUNDUP((I$1)/10,0)*10,[1]Hugst!$R$4:$W$4,0))))</f>
        <v>69.430221350823388</v>
      </c>
      <c r="J44">
        <f ca="1">IF($C44-J$1&lt;År1,0,I43*(1-VLOOKUP($A44,[1]Hugst!$R$5:$W$9,MATCH(ROUNDUP((J$1)/10,0)*10,[1]Hugst!$R$4:$W$4,0))))</f>
        <v>69.583914711636112</v>
      </c>
      <c r="K44">
        <f ca="1">IF($C44-K$1&lt;År1,0,J43*(1-VLOOKUP($A44,[1]Hugst!$R$5:$W$9,MATCH(ROUNDUP((K$1)/10,0)*10,[1]Hugst!$R$4:$W$4,0))))</f>
        <v>69.73838040089737</v>
      </c>
      <c r="L44">
        <f ca="1">IF($C44-L$1&lt;År1,0,K43*(1-VLOOKUP($A44,[1]Hugst!$R$5:$W$9,MATCH(ROUNDUP((L$1)/10,0)*10,[1]Hugst!$R$4:$W$4,0))))</f>
        <v>69.893622299649508</v>
      </c>
      <c r="M44">
        <f ca="1">IF($C44-M$1&lt;År1,0,L43*(1-VLOOKUP($A44,[1]Hugst!$R$5:$W$9,MATCH(ROUNDUP((M$1)/10,0)*10,[1]Hugst!$R$4:$W$4,0))))</f>
        <v>70.049644308447569</v>
      </c>
      <c r="N44">
        <f ca="1">IF($C44-N$1&lt;År1,0,M43*(1-VLOOKUP($A44,[1]Hugst!$R$5:$W$9,MATCH(ROUNDUP((N$1)/10,0)*10,[1]Hugst!$R$4:$W$4,0))))</f>
        <v>70.206450347439187</v>
      </c>
      <c r="O44">
        <f ca="1">IF($C44-O$1&lt;År1,0,N43*(1-VLOOKUP($A44,[1]Hugst!$R$5:$W$9,MATCH(ROUNDUP((O$1)/10,0)*10,[1]Hugst!$R$4:$W$4,0))))</f>
        <v>70.364044356477635</v>
      </c>
      <c r="P44">
        <f ca="1">IF($C44-P$1&lt;År1,0,O43*(1-VLOOKUP($A44,[1]Hugst!$R$5:$W$9,MATCH(ROUNDUP((P$1)/10,0)*10,[1]Hugst!$R$4:$W$4,0))))</f>
        <v>70.522430295208849</v>
      </c>
      <c r="Q44">
        <f ca="1">IF($C44-Q$1&lt;År1,0,P43*(1-VLOOKUP($A44,[1]Hugst!$R$5:$W$9,MATCH(ROUNDUP((Q$1)/10,0)*10,[1]Hugst!$R$4:$W$4,0))))</f>
        <v>70.681612143180047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55000000000000004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91.02037570477313</v>
      </c>
      <c r="G45">
        <f ca="1">IF($C45-G$1&lt;År1,0,F44*(1-VLOOKUP($A45,[1]Hugst!$R$5:$W$9,MATCH(ROUNDUP((G$1)/10,0)*10,[1]Hugst!$R$4:$W$4,0))))</f>
        <v>91.171018175622692</v>
      </c>
      <c r="H45">
        <f ca="1">IF($C45-H$1&lt;År1,0,G44*(1-VLOOKUP($A45,[1]Hugst!$R$5:$W$9,MATCH(ROUNDUP((H$1)/10,0)*10,[1]Hugst!$R$4:$W$4,0))))</f>
        <v>69.125136187275132</v>
      </c>
      <c r="I45">
        <f ca="1">IF($C45-I$1&lt;År1,0,H44*(1-VLOOKUP($A45,[1]Hugst!$R$5:$W$9,MATCH(ROUNDUP((I$1)/10,0)*10,[1]Hugst!$R$4:$W$4,0))))</f>
        <v>69.277296456813701</v>
      </c>
      <c r="J45">
        <f ca="1">IF($C45-J$1&lt;År1,0,I44*(1-VLOOKUP($A45,[1]Hugst!$R$5:$W$9,MATCH(ROUNDUP((J$1)/10,0)*10,[1]Hugst!$R$4:$W$4,0))))</f>
        <v>69.430221350823388</v>
      </c>
      <c r="K45">
        <f ca="1">IF($C45-K$1&lt;År1,0,J44*(1-VLOOKUP($A45,[1]Hugst!$R$5:$W$9,MATCH(ROUNDUP((K$1)/10,0)*10,[1]Hugst!$R$4:$W$4,0))))</f>
        <v>69.583914711636112</v>
      </c>
      <c r="L45">
        <f ca="1">IF($C45-L$1&lt;År1,0,K44*(1-VLOOKUP($A45,[1]Hugst!$R$5:$W$9,MATCH(ROUNDUP((L$1)/10,0)*10,[1]Hugst!$R$4:$W$4,0))))</f>
        <v>69.73838040089737</v>
      </c>
      <c r="M45">
        <f ca="1">IF($C45-M$1&lt;År1,0,L44*(1-VLOOKUP($A45,[1]Hugst!$R$5:$W$9,MATCH(ROUNDUP((M$1)/10,0)*10,[1]Hugst!$R$4:$W$4,0))))</f>
        <v>69.893622299649508</v>
      </c>
      <c r="N45">
        <f ca="1">IF($C45-N$1&lt;År1,0,M44*(1-VLOOKUP($A45,[1]Hugst!$R$5:$W$9,MATCH(ROUNDUP((N$1)/10,0)*10,[1]Hugst!$R$4:$W$4,0))))</f>
        <v>70.049644308447569</v>
      </c>
      <c r="O45">
        <f ca="1">IF($C45-O$1&lt;År1,0,N44*(1-VLOOKUP($A45,[1]Hugst!$R$5:$W$9,MATCH(ROUNDUP((O$1)/10,0)*10,[1]Hugst!$R$4:$W$4,0))))</f>
        <v>70.206450347439187</v>
      </c>
      <c r="P45">
        <f ca="1">IF($C45-P$1&lt;År1,0,O44*(1-VLOOKUP($A45,[1]Hugst!$R$5:$W$9,MATCH(ROUNDUP((P$1)/10,0)*10,[1]Hugst!$R$4:$W$4,0))))</f>
        <v>70.364044356477635</v>
      </c>
      <c r="Q45">
        <f ca="1">IF($C45-Q$1&lt;År1,0,P44*(1-VLOOKUP($A45,[1]Hugst!$R$5:$W$9,MATCH(ROUNDUP((Q$1)/10,0)*10,[1]Hugst!$R$4:$W$4,0))))</f>
        <v>70.522430295208849</v>
      </c>
      <c r="R45">
        <f ca="1">IF($C45-R$1&lt;År1,0,Q44*(1-VLOOKUP($A45,[1]Hugst!$R$5:$W$9,MATCH(ROUNDUP((R$1)/10,0)*10,[1]Hugst!$R$4:$W$4,0))))</f>
        <v>70.681612143180047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55000000000000004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90.870486446276232</v>
      </c>
      <c r="G46">
        <f ca="1">IF($C46-G$1&lt;År1,0,F45*(1-VLOOKUP($A46,[1]Hugst!$R$5:$W$9,MATCH(ROUNDUP((G$1)/10,0)*10,[1]Hugst!$R$4:$W$4,0))))</f>
        <v>91.02037570477313</v>
      </c>
      <c r="H46">
        <f ca="1">IF($C46-H$1&lt;År1,0,G45*(1-VLOOKUP($A46,[1]Hugst!$R$5:$W$9,MATCH(ROUNDUP((H$1)/10,0)*10,[1]Hugst!$R$4:$W$4,0))))</f>
        <v>91.171018175622692</v>
      </c>
      <c r="I46">
        <f ca="1">IF($C46-I$1&lt;År1,0,H45*(1-VLOOKUP($A46,[1]Hugst!$R$5:$W$9,MATCH(ROUNDUP((I$1)/10,0)*10,[1]Hugst!$R$4:$W$4,0))))</f>
        <v>69.125136187275132</v>
      </c>
      <c r="J46">
        <f ca="1">IF($C46-J$1&lt;År1,0,I45*(1-VLOOKUP($A46,[1]Hugst!$R$5:$W$9,MATCH(ROUNDUP((J$1)/10,0)*10,[1]Hugst!$R$4:$W$4,0))))</f>
        <v>69.277296456813701</v>
      </c>
      <c r="K46">
        <f ca="1">IF($C46-K$1&lt;År1,0,J45*(1-VLOOKUP($A46,[1]Hugst!$R$5:$W$9,MATCH(ROUNDUP((K$1)/10,0)*10,[1]Hugst!$R$4:$W$4,0))))</f>
        <v>69.430221350823388</v>
      </c>
      <c r="L46">
        <f ca="1">IF($C46-L$1&lt;År1,0,K45*(1-VLOOKUP($A46,[1]Hugst!$R$5:$W$9,MATCH(ROUNDUP((L$1)/10,0)*10,[1]Hugst!$R$4:$W$4,0))))</f>
        <v>69.583914711636112</v>
      </c>
      <c r="M46">
        <f ca="1">IF($C46-M$1&lt;År1,0,L45*(1-VLOOKUP($A46,[1]Hugst!$R$5:$W$9,MATCH(ROUNDUP((M$1)/10,0)*10,[1]Hugst!$R$4:$W$4,0))))</f>
        <v>69.73838040089737</v>
      </c>
      <c r="N46">
        <f ca="1">IF($C46-N$1&lt;År1,0,M45*(1-VLOOKUP($A46,[1]Hugst!$R$5:$W$9,MATCH(ROUNDUP((N$1)/10,0)*10,[1]Hugst!$R$4:$W$4,0))))</f>
        <v>69.893622299649508</v>
      </c>
      <c r="O46">
        <f ca="1">IF($C46-O$1&lt;År1,0,N45*(1-VLOOKUP($A46,[1]Hugst!$R$5:$W$9,MATCH(ROUNDUP((O$1)/10,0)*10,[1]Hugst!$R$4:$W$4,0))))</f>
        <v>70.049644308447569</v>
      </c>
      <c r="P46">
        <f ca="1">IF($C46-P$1&lt;År1,0,O45*(1-VLOOKUP($A46,[1]Hugst!$R$5:$W$9,MATCH(ROUNDUP((P$1)/10,0)*10,[1]Hugst!$R$4:$W$4,0))))</f>
        <v>70.206450347439187</v>
      </c>
      <c r="Q46">
        <f ca="1">IF($C46-Q$1&lt;År1,0,P45*(1-VLOOKUP($A46,[1]Hugst!$R$5:$W$9,MATCH(ROUNDUP((Q$1)/10,0)*10,[1]Hugst!$R$4:$W$4,0))))</f>
        <v>70.364044356477635</v>
      </c>
      <c r="R46">
        <f ca="1">IF($C46-R$1&lt;År1,0,Q45*(1-VLOOKUP($A46,[1]Hugst!$R$5:$W$9,MATCH(ROUNDUP((R$1)/10,0)*10,[1]Hugst!$R$4:$W$4,0))))</f>
        <v>70.522430295208849</v>
      </c>
      <c r="S46">
        <f ca="1">IF($C46-S$1&lt;År1,0,R45*(1-VLOOKUP($A46,[1]Hugst!$R$5:$W$9,MATCH(ROUNDUP((S$1)/10,0)*10,[1]Hugst!$R$4:$W$4,0))))</f>
        <v>70.681612143180047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55000000000000004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90.721346634072461</v>
      </c>
      <c r="G47">
        <f ca="1">IF($C47-G$1&lt;År1,0,F46*(1-VLOOKUP($A47,[1]Hugst!$R$5:$W$9,MATCH(ROUNDUP((G$1)/10,0)*10,[1]Hugst!$R$4:$W$4,0))))</f>
        <v>90.870486446276232</v>
      </c>
      <c r="H47">
        <f ca="1">IF($C47-H$1&lt;År1,0,G46*(1-VLOOKUP($A47,[1]Hugst!$R$5:$W$9,MATCH(ROUNDUP((H$1)/10,0)*10,[1]Hugst!$R$4:$W$4,0))))</f>
        <v>91.02037570477313</v>
      </c>
      <c r="I47">
        <f ca="1">IF($C47-I$1&lt;År1,0,H46*(1-VLOOKUP($A47,[1]Hugst!$R$5:$W$9,MATCH(ROUNDUP((I$1)/10,0)*10,[1]Hugst!$R$4:$W$4,0))))</f>
        <v>91.171018175622692</v>
      </c>
      <c r="J47">
        <f ca="1">IF($C47-J$1&lt;År1,0,I46*(1-VLOOKUP($A47,[1]Hugst!$R$5:$W$9,MATCH(ROUNDUP((J$1)/10,0)*10,[1]Hugst!$R$4:$W$4,0))))</f>
        <v>69.125136187275132</v>
      </c>
      <c r="K47">
        <f ca="1">IF($C47-K$1&lt;År1,0,J46*(1-VLOOKUP($A47,[1]Hugst!$R$5:$W$9,MATCH(ROUNDUP((K$1)/10,0)*10,[1]Hugst!$R$4:$W$4,0))))</f>
        <v>69.277296456813701</v>
      </c>
      <c r="L47">
        <f ca="1">IF($C47-L$1&lt;År1,0,K46*(1-VLOOKUP($A47,[1]Hugst!$R$5:$W$9,MATCH(ROUNDUP((L$1)/10,0)*10,[1]Hugst!$R$4:$W$4,0))))</f>
        <v>69.430221350823388</v>
      </c>
      <c r="M47">
        <f ca="1">IF($C47-M$1&lt;År1,0,L46*(1-VLOOKUP($A47,[1]Hugst!$R$5:$W$9,MATCH(ROUNDUP((M$1)/10,0)*10,[1]Hugst!$R$4:$W$4,0))))</f>
        <v>69.583914711636112</v>
      </c>
      <c r="N47">
        <f ca="1">IF($C47-N$1&lt;År1,0,M46*(1-VLOOKUP($A47,[1]Hugst!$R$5:$W$9,MATCH(ROUNDUP((N$1)/10,0)*10,[1]Hugst!$R$4:$W$4,0))))</f>
        <v>69.73838040089737</v>
      </c>
      <c r="O47">
        <f ca="1">IF($C47-O$1&lt;År1,0,N46*(1-VLOOKUP($A47,[1]Hugst!$R$5:$W$9,MATCH(ROUNDUP((O$1)/10,0)*10,[1]Hugst!$R$4:$W$4,0))))</f>
        <v>69.893622299649508</v>
      </c>
      <c r="P47">
        <f ca="1">IF($C47-P$1&lt;År1,0,O46*(1-VLOOKUP($A47,[1]Hugst!$R$5:$W$9,MATCH(ROUNDUP((P$1)/10,0)*10,[1]Hugst!$R$4:$W$4,0))))</f>
        <v>70.049644308447569</v>
      </c>
      <c r="Q47">
        <f ca="1">IF($C47-Q$1&lt;År1,0,P46*(1-VLOOKUP($A47,[1]Hugst!$R$5:$W$9,MATCH(ROUNDUP((Q$1)/10,0)*10,[1]Hugst!$R$4:$W$4,0))))</f>
        <v>70.206450347439187</v>
      </c>
      <c r="R47">
        <f ca="1">IF($C47-R$1&lt;År1,0,Q46*(1-VLOOKUP($A47,[1]Hugst!$R$5:$W$9,MATCH(ROUNDUP((R$1)/10,0)*10,[1]Hugst!$R$4:$W$4,0))))</f>
        <v>70.364044356477635</v>
      </c>
      <c r="S47">
        <f ca="1">IF($C47-S$1&lt;År1,0,R46*(1-VLOOKUP($A47,[1]Hugst!$R$5:$W$9,MATCH(ROUNDUP((S$1)/10,0)*10,[1]Hugst!$R$4:$W$4,0))))</f>
        <v>70.522430295208849</v>
      </c>
      <c r="T47">
        <f ca="1">IF($C47-T$1&lt;År1,0,S46*(1-VLOOKUP($A47,[1]Hugst!$R$5:$W$9,MATCH(ROUNDUP((T$1)/10,0)*10,[1]Hugst!$R$4:$W$4,0))))</f>
        <v>70.681612143180047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55000000000000004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90.572952520930073</v>
      </c>
      <c r="G48">
        <f ca="1">IF($C48-G$1&lt;År1,0,F47*(1-VLOOKUP($A48,[1]Hugst!$R$5:$W$9,MATCH(ROUNDUP((G$1)/10,0)*10,[1]Hugst!$R$4:$W$4,0))))</f>
        <v>90.721346634072461</v>
      </c>
      <c r="H48">
        <f ca="1">IF($C48-H$1&lt;År1,0,G47*(1-VLOOKUP($A48,[1]Hugst!$R$5:$W$9,MATCH(ROUNDUP((H$1)/10,0)*10,[1]Hugst!$R$4:$W$4,0))))</f>
        <v>90.870486446276232</v>
      </c>
      <c r="I48">
        <f ca="1">IF($C48-I$1&lt;År1,0,H47*(1-VLOOKUP($A48,[1]Hugst!$R$5:$W$9,MATCH(ROUNDUP((I$1)/10,0)*10,[1]Hugst!$R$4:$W$4,0))))</f>
        <v>91.02037570477313</v>
      </c>
      <c r="J48">
        <f ca="1">IF($C48-J$1&lt;År1,0,I47*(1-VLOOKUP($A48,[1]Hugst!$R$5:$W$9,MATCH(ROUNDUP((J$1)/10,0)*10,[1]Hugst!$R$4:$W$4,0))))</f>
        <v>91.171018175622692</v>
      </c>
      <c r="K48">
        <f ca="1">IF($C48-K$1&lt;År1,0,J47*(1-VLOOKUP($A48,[1]Hugst!$R$5:$W$9,MATCH(ROUNDUP((K$1)/10,0)*10,[1]Hugst!$R$4:$W$4,0))))</f>
        <v>69.125136187275132</v>
      </c>
      <c r="L48">
        <f ca="1">IF($C48-L$1&lt;År1,0,K47*(1-VLOOKUP($A48,[1]Hugst!$R$5:$W$9,MATCH(ROUNDUP((L$1)/10,0)*10,[1]Hugst!$R$4:$W$4,0))))</f>
        <v>69.277296456813701</v>
      </c>
      <c r="M48">
        <f ca="1">IF($C48-M$1&lt;År1,0,L47*(1-VLOOKUP($A48,[1]Hugst!$R$5:$W$9,MATCH(ROUNDUP((M$1)/10,0)*10,[1]Hugst!$R$4:$W$4,0))))</f>
        <v>69.430221350823388</v>
      </c>
      <c r="N48">
        <f ca="1">IF($C48-N$1&lt;År1,0,M47*(1-VLOOKUP($A48,[1]Hugst!$R$5:$W$9,MATCH(ROUNDUP((N$1)/10,0)*10,[1]Hugst!$R$4:$W$4,0))))</f>
        <v>69.583914711636112</v>
      </c>
      <c r="O48">
        <f ca="1">IF($C48-O$1&lt;År1,0,N47*(1-VLOOKUP($A48,[1]Hugst!$R$5:$W$9,MATCH(ROUNDUP((O$1)/10,0)*10,[1]Hugst!$R$4:$W$4,0))))</f>
        <v>69.73838040089737</v>
      </c>
      <c r="P48">
        <f ca="1">IF($C48-P$1&lt;År1,0,O47*(1-VLOOKUP($A48,[1]Hugst!$R$5:$W$9,MATCH(ROUNDUP((P$1)/10,0)*10,[1]Hugst!$R$4:$W$4,0))))</f>
        <v>69.893622299649508</v>
      </c>
      <c r="Q48">
        <f ca="1">IF($C48-Q$1&lt;År1,0,P47*(1-VLOOKUP($A48,[1]Hugst!$R$5:$W$9,MATCH(ROUNDUP((Q$1)/10,0)*10,[1]Hugst!$R$4:$W$4,0))))</f>
        <v>70.049644308447569</v>
      </c>
      <c r="R48">
        <f ca="1">IF($C48-R$1&lt;År1,0,Q47*(1-VLOOKUP($A48,[1]Hugst!$R$5:$W$9,MATCH(ROUNDUP((R$1)/10,0)*10,[1]Hugst!$R$4:$W$4,0))))</f>
        <v>70.206450347439187</v>
      </c>
      <c r="S48">
        <f ca="1">IF($C48-S$1&lt;År1,0,R47*(1-VLOOKUP($A48,[1]Hugst!$R$5:$W$9,MATCH(ROUNDUP((S$1)/10,0)*10,[1]Hugst!$R$4:$W$4,0))))</f>
        <v>70.364044356477635</v>
      </c>
      <c r="T48">
        <f ca="1">IF($C48-T$1&lt;År1,0,S47*(1-VLOOKUP($A48,[1]Hugst!$R$5:$W$9,MATCH(ROUNDUP((T$1)/10,0)*10,[1]Hugst!$R$4:$W$4,0))))</f>
        <v>70.522430295208849</v>
      </c>
      <c r="U48">
        <f ca="1">IF($C48-U$1&lt;År1,0,T47*(1-VLOOKUP($A48,[1]Hugst!$R$5:$W$9,MATCH(ROUNDUP((U$1)/10,0)*10,[1]Hugst!$R$4:$W$4,0))))</f>
        <v>70.681612143180047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55000000000000004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90.425300378352233</v>
      </c>
      <c r="G49">
        <f ca="1">IF($C49-G$1&lt;År1,0,F48*(1-VLOOKUP($A49,[1]Hugst!$R$5:$W$9,MATCH(ROUNDUP((G$1)/10,0)*10,[1]Hugst!$R$4:$W$4,0))))</f>
        <v>90.572952520930073</v>
      </c>
      <c r="H49">
        <f ca="1">IF($C49-H$1&lt;År1,0,G48*(1-VLOOKUP($A49,[1]Hugst!$R$5:$W$9,MATCH(ROUNDUP((H$1)/10,0)*10,[1]Hugst!$R$4:$W$4,0))))</f>
        <v>90.721346634072461</v>
      </c>
      <c r="I49">
        <f ca="1">IF($C49-I$1&lt;År1,0,H48*(1-VLOOKUP($A49,[1]Hugst!$R$5:$W$9,MATCH(ROUNDUP((I$1)/10,0)*10,[1]Hugst!$R$4:$W$4,0))))</f>
        <v>90.870486446276232</v>
      </c>
      <c r="J49">
        <f ca="1">IF($C49-J$1&lt;År1,0,I48*(1-VLOOKUP($A49,[1]Hugst!$R$5:$W$9,MATCH(ROUNDUP((J$1)/10,0)*10,[1]Hugst!$R$4:$W$4,0))))</f>
        <v>91.02037570477313</v>
      </c>
      <c r="K49">
        <f ca="1">IF($C49-K$1&lt;År1,0,J48*(1-VLOOKUP($A49,[1]Hugst!$R$5:$W$9,MATCH(ROUNDUP((K$1)/10,0)*10,[1]Hugst!$R$4:$W$4,0))))</f>
        <v>91.171018175622692</v>
      </c>
      <c r="L49">
        <f ca="1">IF($C49-L$1&lt;År1,0,K48*(1-VLOOKUP($A49,[1]Hugst!$R$5:$W$9,MATCH(ROUNDUP((L$1)/10,0)*10,[1]Hugst!$R$4:$W$4,0))))</f>
        <v>69.125136187275132</v>
      </c>
      <c r="M49">
        <f ca="1">IF($C49-M$1&lt;År1,0,L48*(1-VLOOKUP($A49,[1]Hugst!$R$5:$W$9,MATCH(ROUNDUP((M$1)/10,0)*10,[1]Hugst!$R$4:$W$4,0))))</f>
        <v>69.277296456813701</v>
      </c>
      <c r="N49">
        <f ca="1">IF($C49-N$1&lt;År1,0,M48*(1-VLOOKUP($A49,[1]Hugst!$R$5:$W$9,MATCH(ROUNDUP((N$1)/10,0)*10,[1]Hugst!$R$4:$W$4,0))))</f>
        <v>69.430221350823388</v>
      </c>
      <c r="O49">
        <f ca="1">IF($C49-O$1&lt;År1,0,N48*(1-VLOOKUP($A49,[1]Hugst!$R$5:$W$9,MATCH(ROUNDUP((O$1)/10,0)*10,[1]Hugst!$R$4:$W$4,0))))</f>
        <v>69.583914711636112</v>
      </c>
      <c r="P49">
        <f ca="1">IF($C49-P$1&lt;År1,0,O48*(1-VLOOKUP($A49,[1]Hugst!$R$5:$W$9,MATCH(ROUNDUP((P$1)/10,0)*10,[1]Hugst!$R$4:$W$4,0))))</f>
        <v>69.73838040089737</v>
      </c>
      <c r="Q49">
        <f ca="1">IF($C49-Q$1&lt;År1,0,P48*(1-VLOOKUP($A49,[1]Hugst!$R$5:$W$9,MATCH(ROUNDUP((Q$1)/10,0)*10,[1]Hugst!$R$4:$W$4,0))))</f>
        <v>69.893622299649508</v>
      </c>
      <c r="R49">
        <f ca="1">IF($C49-R$1&lt;År1,0,Q48*(1-VLOOKUP($A49,[1]Hugst!$R$5:$W$9,MATCH(ROUNDUP((R$1)/10,0)*10,[1]Hugst!$R$4:$W$4,0))))</f>
        <v>70.049644308447569</v>
      </c>
      <c r="S49">
        <f ca="1">IF($C49-S$1&lt;År1,0,R48*(1-VLOOKUP($A49,[1]Hugst!$R$5:$W$9,MATCH(ROUNDUP((S$1)/10,0)*10,[1]Hugst!$R$4:$W$4,0))))</f>
        <v>70.206450347439187</v>
      </c>
      <c r="T49">
        <f ca="1">IF($C49-T$1&lt;År1,0,S48*(1-VLOOKUP($A49,[1]Hugst!$R$5:$W$9,MATCH(ROUNDUP((T$1)/10,0)*10,[1]Hugst!$R$4:$W$4,0))))</f>
        <v>70.364044356477635</v>
      </c>
      <c r="U49">
        <f ca="1">IF($C49-U$1&lt;År1,0,T48*(1-VLOOKUP($A49,[1]Hugst!$R$5:$W$9,MATCH(ROUNDUP((U$1)/10,0)*10,[1]Hugst!$R$4:$W$4,0))))</f>
        <v>70.522430295208849</v>
      </c>
      <c r="V49">
        <f ca="1">IF($C49-V$1&lt;År1,0,U48*(1-VLOOKUP($A49,[1]Hugst!$R$5:$W$9,MATCH(ROUNDUP((V$1)/10,0)*10,[1]Hugst!$R$4:$W$4,0))))</f>
        <v>70.681612143180047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55000000000000004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90.278386496488167</v>
      </c>
      <c r="G50">
        <f ca="1">IF($C50-G$1&lt;År1,0,F49*(1-VLOOKUP($A50,[1]Hugst!$R$5:$W$9,MATCH(ROUNDUP((G$1)/10,0)*10,[1]Hugst!$R$4:$W$4,0))))</f>
        <v>90.425300378352233</v>
      </c>
      <c r="H50">
        <f ca="1">IF($C50-H$1&lt;År1,0,G49*(1-VLOOKUP($A50,[1]Hugst!$R$5:$W$9,MATCH(ROUNDUP((H$1)/10,0)*10,[1]Hugst!$R$4:$W$4,0))))</f>
        <v>90.572952520930073</v>
      </c>
      <c r="I50">
        <f ca="1">IF($C50-I$1&lt;År1,0,H49*(1-VLOOKUP($A50,[1]Hugst!$R$5:$W$9,MATCH(ROUNDUP((I$1)/10,0)*10,[1]Hugst!$R$4:$W$4,0))))</f>
        <v>90.721346634072461</v>
      </c>
      <c r="J50">
        <f ca="1">IF($C50-J$1&lt;År1,0,I49*(1-VLOOKUP($A50,[1]Hugst!$R$5:$W$9,MATCH(ROUNDUP((J$1)/10,0)*10,[1]Hugst!$R$4:$W$4,0))))</f>
        <v>90.870486446276232</v>
      </c>
      <c r="K50">
        <f ca="1">IF($C50-K$1&lt;År1,0,J49*(1-VLOOKUP($A50,[1]Hugst!$R$5:$W$9,MATCH(ROUNDUP((K$1)/10,0)*10,[1]Hugst!$R$4:$W$4,0))))</f>
        <v>91.02037570477313</v>
      </c>
      <c r="L50">
        <f ca="1">IF($C50-L$1&lt;År1,0,K49*(1-VLOOKUP($A50,[1]Hugst!$R$5:$W$9,MATCH(ROUNDUP((L$1)/10,0)*10,[1]Hugst!$R$4:$W$4,0))))</f>
        <v>91.171018175622692</v>
      </c>
      <c r="M50">
        <f ca="1">IF($C50-M$1&lt;År1,0,L49*(1-VLOOKUP($A50,[1]Hugst!$R$5:$W$9,MATCH(ROUNDUP((M$1)/10,0)*10,[1]Hugst!$R$4:$W$4,0))))</f>
        <v>69.125136187275132</v>
      </c>
      <c r="N50">
        <f ca="1">IF($C50-N$1&lt;År1,0,M49*(1-VLOOKUP($A50,[1]Hugst!$R$5:$W$9,MATCH(ROUNDUP((N$1)/10,0)*10,[1]Hugst!$R$4:$W$4,0))))</f>
        <v>69.277296456813701</v>
      </c>
      <c r="O50">
        <f ca="1">IF($C50-O$1&lt;År1,0,N49*(1-VLOOKUP($A50,[1]Hugst!$R$5:$W$9,MATCH(ROUNDUP((O$1)/10,0)*10,[1]Hugst!$R$4:$W$4,0))))</f>
        <v>69.430221350823388</v>
      </c>
      <c r="P50">
        <f ca="1">IF($C50-P$1&lt;År1,0,O49*(1-VLOOKUP($A50,[1]Hugst!$R$5:$W$9,MATCH(ROUNDUP((P$1)/10,0)*10,[1]Hugst!$R$4:$W$4,0))))</f>
        <v>69.583914711636112</v>
      </c>
      <c r="Q50">
        <f ca="1">IF($C50-Q$1&lt;År1,0,P49*(1-VLOOKUP($A50,[1]Hugst!$R$5:$W$9,MATCH(ROUNDUP((Q$1)/10,0)*10,[1]Hugst!$R$4:$W$4,0))))</f>
        <v>69.73838040089737</v>
      </c>
      <c r="R50">
        <f ca="1">IF($C50-R$1&lt;År1,0,Q49*(1-VLOOKUP($A50,[1]Hugst!$R$5:$W$9,MATCH(ROUNDUP((R$1)/10,0)*10,[1]Hugst!$R$4:$W$4,0))))</f>
        <v>69.893622299649508</v>
      </c>
      <c r="S50">
        <f ca="1">IF($C50-S$1&lt;År1,0,R49*(1-VLOOKUP($A50,[1]Hugst!$R$5:$W$9,MATCH(ROUNDUP((S$1)/10,0)*10,[1]Hugst!$R$4:$W$4,0))))</f>
        <v>70.049644308447569</v>
      </c>
      <c r="T50">
        <f ca="1">IF($C50-T$1&lt;År1,0,S49*(1-VLOOKUP($A50,[1]Hugst!$R$5:$W$9,MATCH(ROUNDUP((T$1)/10,0)*10,[1]Hugst!$R$4:$W$4,0))))</f>
        <v>70.206450347439187</v>
      </c>
      <c r="U50">
        <f ca="1">IF($C50-U$1&lt;År1,0,T49*(1-VLOOKUP($A50,[1]Hugst!$R$5:$W$9,MATCH(ROUNDUP((U$1)/10,0)*10,[1]Hugst!$R$4:$W$4,0))))</f>
        <v>70.364044356477635</v>
      </c>
      <c r="V50">
        <f ca="1">IF($C50-V$1&lt;År1,0,U49*(1-VLOOKUP($A50,[1]Hugst!$R$5:$W$9,MATCH(ROUNDUP((V$1)/10,0)*10,[1]Hugst!$R$4:$W$4,0))))</f>
        <v>70.522430295208849</v>
      </c>
      <c r="W50">
        <f ca="1">IF($C50-W$1&lt;År1,0,V49*(1-VLOOKUP($A50,[1]Hugst!$R$5:$W$9,MATCH(ROUNDUP((W$1)/10,0)*10,[1]Hugst!$R$4:$W$4,0))))</f>
        <v>70.681612143180047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55000000000000004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90.132207184033689</v>
      </c>
      <c r="G51">
        <f ca="1">IF($C51-G$1&lt;År1,0,F50*(1-VLOOKUP($A51,[1]Hugst!$R$5:$W$9,MATCH(ROUNDUP((G$1)/10,0)*10,[1]Hugst!$R$4:$W$4,0))))</f>
        <v>90.278386496488167</v>
      </c>
      <c r="H51">
        <f ca="1">IF($C51-H$1&lt;År1,0,G50*(1-VLOOKUP($A51,[1]Hugst!$R$5:$W$9,MATCH(ROUNDUP((H$1)/10,0)*10,[1]Hugst!$R$4:$W$4,0))))</f>
        <v>90.425300378352233</v>
      </c>
      <c r="I51">
        <f ca="1">IF($C51-I$1&lt;År1,0,H50*(1-VLOOKUP($A51,[1]Hugst!$R$5:$W$9,MATCH(ROUNDUP((I$1)/10,0)*10,[1]Hugst!$R$4:$W$4,0))))</f>
        <v>90.572952520930073</v>
      </c>
      <c r="J51">
        <f ca="1">IF($C51-J$1&lt;År1,0,I50*(1-VLOOKUP($A51,[1]Hugst!$R$5:$W$9,MATCH(ROUNDUP((J$1)/10,0)*10,[1]Hugst!$R$4:$W$4,0))))</f>
        <v>90.721346634072461</v>
      </c>
      <c r="K51">
        <f ca="1">IF($C51-K$1&lt;År1,0,J50*(1-VLOOKUP($A51,[1]Hugst!$R$5:$W$9,MATCH(ROUNDUP((K$1)/10,0)*10,[1]Hugst!$R$4:$W$4,0))))</f>
        <v>90.870486446276232</v>
      </c>
      <c r="L51">
        <f ca="1">IF($C51-L$1&lt;År1,0,K50*(1-VLOOKUP($A51,[1]Hugst!$R$5:$W$9,MATCH(ROUNDUP((L$1)/10,0)*10,[1]Hugst!$R$4:$W$4,0))))</f>
        <v>91.02037570477313</v>
      </c>
      <c r="M51">
        <f ca="1">IF($C51-M$1&lt;År1,0,L50*(1-VLOOKUP($A51,[1]Hugst!$R$5:$W$9,MATCH(ROUNDUP((M$1)/10,0)*10,[1]Hugst!$R$4:$W$4,0))))</f>
        <v>91.171018175622692</v>
      </c>
      <c r="N51">
        <f ca="1">IF($C51-N$1&lt;År1,0,M50*(1-VLOOKUP($A51,[1]Hugst!$R$5:$W$9,MATCH(ROUNDUP((N$1)/10,0)*10,[1]Hugst!$R$4:$W$4,0))))</f>
        <v>69.125136187275132</v>
      </c>
      <c r="O51">
        <f ca="1">IF($C51-O$1&lt;År1,0,N50*(1-VLOOKUP($A51,[1]Hugst!$R$5:$W$9,MATCH(ROUNDUP((O$1)/10,0)*10,[1]Hugst!$R$4:$W$4,0))))</f>
        <v>69.277296456813701</v>
      </c>
      <c r="P51">
        <f ca="1">IF($C51-P$1&lt;År1,0,O50*(1-VLOOKUP($A51,[1]Hugst!$R$5:$W$9,MATCH(ROUNDUP((P$1)/10,0)*10,[1]Hugst!$R$4:$W$4,0))))</f>
        <v>69.430221350823388</v>
      </c>
      <c r="Q51">
        <f ca="1">IF($C51-Q$1&lt;År1,0,P50*(1-VLOOKUP($A51,[1]Hugst!$R$5:$W$9,MATCH(ROUNDUP((Q$1)/10,0)*10,[1]Hugst!$R$4:$W$4,0))))</f>
        <v>69.583914711636112</v>
      </c>
      <c r="R51">
        <f ca="1">IF($C51-R$1&lt;År1,0,Q50*(1-VLOOKUP($A51,[1]Hugst!$R$5:$W$9,MATCH(ROUNDUP((R$1)/10,0)*10,[1]Hugst!$R$4:$W$4,0))))</f>
        <v>69.73838040089737</v>
      </c>
      <c r="S51">
        <f ca="1">IF($C51-S$1&lt;År1,0,R50*(1-VLOOKUP($A51,[1]Hugst!$R$5:$W$9,MATCH(ROUNDUP((S$1)/10,0)*10,[1]Hugst!$R$4:$W$4,0))))</f>
        <v>69.893622299649508</v>
      </c>
      <c r="T51">
        <f ca="1">IF($C51-T$1&lt;År1,0,S50*(1-VLOOKUP($A51,[1]Hugst!$R$5:$W$9,MATCH(ROUNDUP((T$1)/10,0)*10,[1]Hugst!$R$4:$W$4,0))))</f>
        <v>70.049644308447569</v>
      </c>
      <c r="U51">
        <f ca="1">IF($C51-U$1&lt;År1,0,T50*(1-VLOOKUP($A51,[1]Hugst!$R$5:$W$9,MATCH(ROUNDUP((U$1)/10,0)*10,[1]Hugst!$R$4:$W$4,0))))</f>
        <v>70.206450347439187</v>
      </c>
      <c r="V51">
        <f ca="1">IF($C51-V$1&lt;År1,0,U50*(1-VLOOKUP($A51,[1]Hugst!$R$5:$W$9,MATCH(ROUNDUP((V$1)/10,0)*10,[1]Hugst!$R$4:$W$4,0))))</f>
        <v>70.364044356477635</v>
      </c>
      <c r="W51">
        <f ca="1">IF($C51-W$1&lt;År1,0,V50*(1-VLOOKUP($A51,[1]Hugst!$R$5:$W$9,MATCH(ROUNDUP((W$1)/10,0)*10,[1]Hugst!$R$4:$W$4,0))))</f>
        <v>70.522430295208849</v>
      </c>
      <c r="X51">
        <f ca="1">IF($C51-X$1&lt;År1,0,W50*(1-VLOOKUP($A51,[1]Hugst!$R$5:$W$9,MATCH(ROUNDUP((X$1)/10,0)*10,[1]Hugst!$R$4:$W$4,0))))</f>
        <v>70.681612143180047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55000000000000004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89.98675876813985</v>
      </c>
      <c r="G52">
        <f ca="1">IF($C52-G$1&lt;År1,0,F51*(1-VLOOKUP($A52,[1]Hugst!$R$5:$W$9,MATCH(ROUNDUP((G$1)/10,0)*10,[1]Hugst!$R$4:$W$4,0))))</f>
        <v>90.132207184033689</v>
      </c>
      <c r="H52">
        <f ca="1">IF($C52-H$1&lt;År1,0,G51*(1-VLOOKUP($A52,[1]Hugst!$R$5:$W$9,MATCH(ROUNDUP((H$1)/10,0)*10,[1]Hugst!$R$4:$W$4,0))))</f>
        <v>90.278386496488167</v>
      </c>
      <c r="I52">
        <f ca="1">IF($C52-I$1&lt;År1,0,H51*(1-VLOOKUP($A52,[1]Hugst!$R$5:$W$9,MATCH(ROUNDUP((I$1)/10,0)*10,[1]Hugst!$R$4:$W$4,0))))</f>
        <v>90.425300378352233</v>
      </c>
      <c r="J52">
        <f ca="1">IF($C52-J$1&lt;År1,0,I51*(1-VLOOKUP($A52,[1]Hugst!$R$5:$W$9,MATCH(ROUNDUP((J$1)/10,0)*10,[1]Hugst!$R$4:$W$4,0))))</f>
        <v>90.572952520930073</v>
      </c>
      <c r="K52">
        <f ca="1">IF($C52-K$1&lt;År1,0,J51*(1-VLOOKUP($A52,[1]Hugst!$R$5:$W$9,MATCH(ROUNDUP((K$1)/10,0)*10,[1]Hugst!$R$4:$W$4,0))))</f>
        <v>90.721346634072461</v>
      </c>
      <c r="L52">
        <f ca="1">IF($C52-L$1&lt;År1,0,K51*(1-VLOOKUP($A52,[1]Hugst!$R$5:$W$9,MATCH(ROUNDUP((L$1)/10,0)*10,[1]Hugst!$R$4:$W$4,0))))</f>
        <v>90.870486446276232</v>
      </c>
      <c r="M52">
        <f ca="1">IF($C52-M$1&lt;År1,0,L51*(1-VLOOKUP($A52,[1]Hugst!$R$5:$W$9,MATCH(ROUNDUP((M$1)/10,0)*10,[1]Hugst!$R$4:$W$4,0))))</f>
        <v>91.02037570477313</v>
      </c>
      <c r="N52">
        <f ca="1">IF($C52-N$1&lt;År1,0,M51*(1-VLOOKUP($A52,[1]Hugst!$R$5:$W$9,MATCH(ROUNDUP((N$1)/10,0)*10,[1]Hugst!$R$4:$W$4,0))))</f>
        <v>91.171018175622692</v>
      </c>
      <c r="O52">
        <f ca="1">IF($C52-O$1&lt;År1,0,N51*(1-VLOOKUP($A52,[1]Hugst!$R$5:$W$9,MATCH(ROUNDUP((O$1)/10,0)*10,[1]Hugst!$R$4:$W$4,0))))</f>
        <v>69.125136187275132</v>
      </c>
      <c r="P52">
        <f ca="1">IF($C52-P$1&lt;År1,0,O51*(1-VLOOKUP($A52,[1]Hugst!$R$5:$W$9,MATCH(ROUNDUP((P$1)/10,0)*10,[1]Hugst!$R$4:$W$4,0))))</f>
        <v>69.277296456813701</v>
      </c>
      <c r="Q52">
        <f ca="1">IF($C52-Q$1&lt;År1,0,P51*(1-VLOOKUP($A52,[1]Hugst!$R$5:$W$9,MATCH(ROUNDUP((Q$1)/10,0)*10,[1]Hugst!$R$4:$W$4,0))))</f>
        <v>69.430221350823388</v>
      </c>
      <c r="R52">
        <f ca="1">IF($C52-R$1&lt;År1,0,Q51*(1-VLOOKUP($A52,[1]Hugst!$R$5:$W$9,MATCH(ROUNDUP((R$1)/10,0)*10,[1]Hugst!$R$4:$W$4,0))))</f>
        <v>69.583914711636112</v>
      </c>
      <c r="S52">
        <f ca="1">IF($C52-S$1&lt;År1,0,R51*(1-VLOOKUP($A52,[1]Hugst!$R$5:$W$9,MATCH(ROUNDUP((S$1)/10,0)*10,[1]Hugst!$R$4:$W$4,0))))</f>
        <v>69.73838040089737</v>
      </c>
      <c r="T52">
        <f ca="1">IF($C52-T$1&lt;År1,0,S51*(1-VLOOKUP($A52,[1]Hugst!$R$5:$W$9,MATCH(ROUNDUP((T$1)/10,0)*10,[1]Hugst!$R$4:$W$4,0))))</f>
        <v>69.893622299649508</v>
      </c>
      <c r="U52">
        <f ca="1">IF($C52-U$1&lt;År1,0,T51*(1-VLOOKUP($A52,[1]Hugst!$R$5:$W$9,MATCH(ROUNDUP((U$1)/10,0)*10,[1]Hugst!$R$4:$W$4,0))))</f>
        <v>70.049644308447569</v>
      </c>
      <c r="V52">
        <f ca="1">IF($C52-V$1&lt;År1,0,U51*(1-VLOOKUP($A52,[1]Hugst!$R$5:$W$9,MATCH(ROUNDUP((V$1)/10,0)*10,[1]Hugst!$R$4:$W$4,0))))</f>
        <v>70.206450347439187</v>
      </c>
      <c r="W52">
        <f ca="1">IF($C52-W$1&lt;År1,0,V51*(1-VLOOKUP($A52,[1]Hugst!$R$5:$W$9,MATCH(ROUNDUP((W$1)/10,0)*10,[1]Hugst!$R$4:$W$4,0))))</f>
        <v>70.364044356477635</v>
      </c>
      <c r="X52">
        <f ca="1">IF($C52-X$1&lt;År1,0,W51*(1-VLOOKUP($A52,[1]Hugst!$R$5:$W$9,MATCH(ROUNDUP((X$1)/10,0)*10,[1]Hugst!$R$4:$W$4,0))))</f>
        <v>70.522430295208849</v>
      </c>
      <c r="Y52">
        <f ca="1">IF($C52-Y$1&lt;År1,0,X51*(1-VLOOKUP($A52,[1]Hugst!$R$5:$W$9,MATCH(ROUNDUP((Y$1)/10,0)*10,[1]Hugst!$R$4:$W$4,0))))</f>
        <v>70.681612143180047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55000000000000004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89.842037594326996</v>
      </c>
      <c r="G53">
        <f ca="1">IF($C53-G$1&lt;År1,0,F52*(1-VLOOKUP($A53,[1]Hugst!$R$5:$W$9,MATCH(ROUNDUP((G$1)/10,0)*10,[1]Hugst!$R$4:$W$4,0))))</f>
        <v>89.98675876813985</v>
      </c>
      <c r="H53">
        <f ca="1">IF($C53-H$1&lt;År1,0,G52*(1-VLOOKUP($A53,[1]Hugst!$R$5:$W$9,MATCH(ROUNDUP((H$1)/10,0)*10,[1]Hugst!$R$4:$W$4,0))))</f>
        <v>90.132207184033689</v>
      </c>
      <c r="I53">
        <f ca="1">IF($C53-I$1&lt;År1,0,H52*(1-VLOOKUP($A53,[1]Hugst!$R$5:$W$9,MATCH(ROUNDUP((I$1)/10,0)*10,[1]Hugst!$R$4:$W$4,0))))</f>
        <v>90.278386496488167</v>
      </c>
      <c r="J53">
        <f ca="1">IF($C53-J$1&lt;År1,0,I52*(1-VLOOKUP($A53,[1]Hugst!$R$5:$W$9,MATCH(ROUNDUP((J$1)/10,0)*10,[1]Hugst!$R$4:$W$4,0))))</f>
        <v>90.425300378352233</v>
      </c>
      <c r="K53">
        <f ca="1">IF($C53-K$1&lt;År1,0,J52*(1-VLOOKUP($A53,[1]Hugst!$R$5:$W$9,MATCH(ROUNDUP((K$1)/10,0)*10,[1]Hugst!$R$4:$W$4,0))))</f>
        <v>90.572952520930073</v>
      </c>
      <c r="L53">
        <f ca="1">IF($C53-L$1&lt;År1,0,K52*(1-VLOOKUP($A53,[1]Hugst!$R$5:$W$9,MATCH(ROUNDUP((L$1)/10,0)*10,[1]Hugst!$R$4:$W$4,0))))</f>
        <v>90.721346634072461</v>
      </c>
      <c r="M53">
        <f ca="1">IF($C53-M$1&lt;År1,0,L52*(1-VLOOKUP($A53,[1]Hugst!$R$5:$W$9,MATCH(ROUNDUP((M$1)/10,0)*10,[1]Hugst!$R$4:$W$4,0))))</f>
        <v>90.870486446276232</v>
      </c>
      <c r="N53">
        <f ca="1">IF($C53-N$1&lt;År1,0,M52*(1-VLOOKUP($A53,[1]Hugst!$R$5:$W$9,MATCH(ROUNDUP((N$1)/10,0)*10,[1]Hugst!$R$4:$W$4,0))))</f>
        <v>91.02037570477313</v>
      </c>
      <c r="O53">
        <f ca="1">IF($C53-O$1&lt;År1,0,N52*(1-VLOOKUP($A53,[1]Hugst!$R$5:$W$9,MATCH(ROUNDUP((O$1)/10,0)*10,[1]Hugst!$R$4:$W$4,0))))</f>
        <v>91.171018175622692</v>
      </c>
      <c r="P53">
        <f ca="1">IF($C53-P$1&lt;År1,0,O52*(1-VLOOKUP($A53,[1]Hugst!$R$5:$W$9,MATCH(ROUNDUP((P$1)/10,0)*10,[1]Hugst!$R$4:$W$4,0))))</f>
        <v>69.125136187275132</v>
      </c>
      <c r="Q53">
        <f ca="1">IF($C53-Q$1&lt;År1,0,P52*(1-VLOOKUP($A53,[1]Hugst!$R$5:$W$9,MATCH(ROUNDUP((Q$1)/10,0)*10,[1]Hugst!$R$4:$W$4,0))))</f>
        <v>69.277296456813701</v>
      </c>
      <c r="R53">
        <f ca="1">IF($C53-R$1&lt;År1,0,Q52*(1-VLOOKUP($A53,[1]Hugst!$R$5:$W$9,MATCH(ROUNDUP((R$1)/10,0)*10,[1]Hugst!$R$4:$W$4,0))))</f>
        <v>69.430221350823388</v>
      </c>
      <c r="S53">
        <f ca="1">IF($C53-S$1&lt;År1,0,R52*(1-VLOOKUP($A53,[1]Hugst!$R$5:$W$9,MATCH(ROUNDUP((S$1)/10,0)*10,[1]Hugst!$R$4:$W$4,0))))</f>
        <v>69.583914711636112</v>
      </c>
      <c r="T53">
        <f ca="1">IF($C53-T$1&lt;År1,0,S52*(1-VLOOKUP($A53,[1]Hugst!$R$5:$W$9,MATCH(ROUNDUP((T$1)/10,0)*10,[1]Hugst!$R$4:$W$4,0))))</f>
        <v>69.73838040089737</v>
      </c>
      <c r="U53">
        <f ca="1">IF($C53-U$1&lt;År1,0,T52*(1-VLOOKUP($A53,[1]Hugst!$R$5:$W$9,MATCH(ROUNDUP((U$1)/10,0)*10,[1]Hugst!$R$4:$W$4,0))))</f>
        <v>69.893622299649508</v>
      </c>
      <c r="V53">
        <f ca="1">IF($C53-V$1&lt;År1,0,U52*(1-VLOOKUP($A53,[1]Hugst!$R$5:$W$9,MATCH(ROUNDUP((V$1)/10,0)*10,[1]Hugst!$R$4:$W$4,0))))</f>
        <v>70.049644308447569</v>
      </c>
      <c r="W53">
        <f ca="1">IF($C53-W$1&lt;År1,0,V52*(1-VLOOKUP($A53,[1]Hugst!$R$5:$W$9,MATCH(ROUNDUP((W$1)/10,0)*10,[1]Hugst!$R$4:$W$4,0))))</f>
        <v>70.206450347439187</v>
      </c>
      <c r="X53">
        <f ca="1">IF($C53-X$1&lt;År1,0,W52*(1-VLOOKUP($A53,[1]Hugst!$R$5:$W$9,MATCH(ROUNDUP((X$1)/10,0)*10,[1]Hugst!$R$4:$W$4,0))))</f>
        <v>70.364044356477635</v>
      </c>
      <c r="Y53">
        <f ca="1">IF($C53-Y$1&lt;År1,0,X52*(1-VLOOKUP($A53,[1]Hugst!$R$5:$W$9,MATCH(ROUNDUP((Y$1)/10,0)*10,[1]Hugst!$R$4:$W$4,0))))</f>
        <v>70.522430295208849</v>
      </c>
      <c r="Z53">
        <f ca="1">IF($C53-Z$1&lt;År1,0,Y52*(1-VLOOKUP($A53,[1]Hugst!$R$5:$W$9,MATCH(ROUNDUP((Z$1)/10,0)*10,[1]Hugst!$R$4:$W$4,0))))</f>
        <v>70.681612143180047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55000000000000004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89.698040026383126</v>
      </c>
      <c r="G54">
        <f ca="1">IF($C54-G$1&lt;År1,0,F53*(1-VLOOKUP($A54,[1]Hugst!$R$5:$W$9,MATCH(ROUNDUP((G$1)/10,0)*10,[1]Hugst!$R$4:$W$4,0))))</f>
        <v>89.842037594326996</v>
      </c>
      <c r="H54">
        <f ca="1">IF($C54-H$1&lt;År1,0,G53*(1-VLOOKUP($A54,[1]Hugst!$R$5:$W$9,MATCH(ROUNDUP((H$1)/10,0)*10,[1]Hugst!$R$4:$W$4,0))))</f>
        <v>89.98675876813985</v>
      </c>
      <c r="I54">
        <f ca="1">IF($C54-I$1&lt;År1,0,H53*(1-VLOOKUP($A54,[1]Hugst!$R$5:$W$9,MATCH(ROUNDUP((I$1)/10,0)*10,[1]Hugst!$R$4:$W$4,0))))</f>
        <v>90.132207184033689</v>
      </c>
      <c r="J54">
        <f ca="1">IF($C54-J$1&lt;År1,0,I53*(1-VLOOKUP($A54,[1]Hugst!$R$5:$W$9,MATCH(ROUNDUP((J$1)/10,0)*10,[1]Hugst!$R$4:$W$4,0))))</f>
        <v>90.278386496488167</v>
      </c>
      <c r="K54">
        <f ca="1">IF($C54-K$1&lt;År1,0,J53*(1-VLOOKUP($A54,[1]Hugst!$R$5:$W$9,MATCH(ROUNDUP((K$1)/10,0)*10,[1]Hugst!$R$4:$W$4,0))))</f>
        <v>90.425300378352233</v>
      </c>
      <c r="L54">
        <f ca="1">IF($C54-L$1&lt;År1,0,K53*(1-VLOOKUP($A54,[1]Hugst!$R$5:$W$9,MATCH(ROUNDUP((L$1)/10,0)*10,[1]Hugst!$R$4:$W$4,0))))</f>
        <v>90.572952520930073</v>
      </c>
      <c r="M54">
        <f ca="1">IF($C54-M$1&lt;År1,0,L53*(1-VLOOKUP($A54,[1]Hugst!$R$5:$W$9,MATCH(ROUNDUP((M$1)/10,0)*10,[1]Hugst!$R$4:$W$4,0))))</f>
        <v>90.721346634072461</v>
      </c>
      <c r="N54">
        <f ca="1">IF($C54-N$1&lt;År1,0,M53*(1-VLOOKUP($A54,[1]Hugst!$R$5:$W$9,MATCH(ROUNDUP((N$1)/10,0)*10,[1]Hugst!$R$4:$W$4,0))))</f>
        <v>90.870486446276232</v>
      </c>
      <c r="O54">
        <f ca="1">IF($C54-O$1&lt;År1,0,N53*(1-VLOOKUP($A54,[1]Hugst!$R$5:$W$9,MATCH(ROUNDUP((O$1)/10,0)*10,[1]Hugst!$R$4:$W$4,0))))</f>
        <v>91.02037570477313</v>
      </c>
      <c r="P54">
        <f ca="1">IF($C54-P$1&lt;År1,0,O53*(1-VLOOKUP($A54,[1]Hugst!$R$5:$W$9,MATCH(ROUNDUP((P$1)/10,0)*10,[1]Hugst!$R$4:$W$4,0))))</f>
        <v>91.171018175622692</v>
      </c>
      <c r="Q54">
        <f ca="1">IF($C54-Q$1&lt;År1,0,P53*(1-VLOOKUP($A54,[1]Hugst!$R$5:$W$9,MATCH(ROUNDUP((Q$1)/10,0)*10,[1]Hugst!$R$4:$W$4,0))))</f>
        <v>69.125136187275132</v>
      </c>
      <c r="R54">
        <f ca="1">IF($C54-R$1&lt;År1,0,Q53*(1-VLOOKUP($A54,[1]Hugst!$R$5:$W$9,MATCH(ROUNDUP((R$1)/10,0)*10,[1]Hugst!$R$4:$W$4,0))))</f>
        <v>69.277296456813701</v>
      </c>
      <c r="S54">
        <f ca="1">IF($C54-S$1&lt;År1,0,R53*(1-VLOOKUP($A54,[1]Hugst!$R$5:$W$9,MATCH(ROUNDUP((S$1)/10,0)*10,[1]Hugst!$R$4:$W$4,0))))</f>
        <v>69.430221350823388</v>
      </c>
      <c r="T54">
        <f ca="1">IF($C54-T$1&lt;År1,0,S53*(1-VLOOKUP($A54,[1]Hugst!$R$5:$W$9,MATCH(ROUNDUP((T$1)/10,0)*10,[1]Hugst!$R$4:$W$4,0))))</f>
        <v>69.583914711636112</v>
      </c>
      <c r="U54">
        <f ca="1">IF($C54-U$1&lt;År1,0,T53*(1-VLOOKUP($A54,[1]Hugst!$R$5:$W$9,MATCH(ROUNDUP((U$1)/10,0)*10,[1]Hugst!$R$4:$W$4,0))))</f>
        <v>69.73838040089737</v>
      </c>
      <c r="V54">
        <f ca="1">IF($C54-V$1&lt;År1,0,U53*(1-VLOOKUP($A54,[1]Hugst!$R$5:$W$9,MATCH(ROUNDUP((V$1)/10,0)*10,[1]Hugst!$R$4:$W$4,0))))</f>
        <v>69.893622299649508</v>
      </c>
      <c r="W54">
        <f ca="1">IF($C54-W$1&lt;År1,0,V53*(1-VLOOKUP($A54,[1]Hugst!$R$5:$W$9,MATCH(ROUNDUP((W$1)/10,0)*10,[1]Hugst!$R$4:$W$4,0))))</f>
        <v>70.049644308447569</v>
      </c>
      <c r="X54">
        <f ca="1">IF($C54-X$1&lt;År1,0,W53*(1-VLOOKUP($A54,[1]Hugst!$R$5:$W$9,MATCH(ROUNDUP((X$1)/10,0)*10,[1]Hugst!$R$4:$W$4,0))))</f>
        <v>70.206450347439187</v>
      </c>
      <c r="Y54">
        <f ca="1">IF($C54-Y$1&lt;År1,0,X53*(1-VLOOKUP($A54,[1]Hugst!$R$5:$W$9,MATCH(ROUNDUP((Y$1)/10,0)*10,[1]Hugst!$R$4:$W$4,0))))</f>
        <v>70.364044356477635</v>
      </c>
      <c r="Z54">
        <f ca="1">IF($C54-Z$1&lt;År1,0,Y53*(1-VLOOKUP($A54,[1]Hugst!$R$5:$W$9,MATCH(ROUNDUP((Z$1)/10,0)*10,[1]Hugst!$R$4:$W$4,0))))</f>
        <v>70.522430295208849</v>
      </c>
      <c r="AA54">
        <f ca="1">IF($C54-AA$1&lt;År1,0,Z53*(1-VLOOKUP($A54,[1]Hugst!$R$5:$W$9,MATCH(ROUNDUP((AA$1)/10,0)*10,[1]Hugst!$R$4:$W$4,0))))</f>
        <v>70.681612143180047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55000000000000004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89.554762446278403</v>
      </c>
      <c r="G55">
        <f ca="1">IF($C55-G$1&lt;År1,0,F54*(1-VLOOKUP($A55,[1]Hugst!$R$5:$W$9,MATCH(ROUNDUP((G$1)/10,0)*10,[1]Hugst!$R$4:$W$4,0))))</f>
        <v>89.698040026383126</v>
      </c>
      <c r="H55">
        <f ca="1">IF($C55-H$1&lt;År1,0,G54*(1-VLOOKUP($A55,[1]Hugst!$R$5:$W$9,MATCH(ROUNDUP((H$1)/10,0)*10,[1]Hugst!$R$4:$W$4,0))))</f>
        <v>89.842037594326996</v>
      </c>
      <c r="I55">
        <f ca="1">IF($C55-I$1&lt;År1,0,H54*(1-VLOOKUP($A55,[1]Hugst!$R$5:$W$9,MATCH(ROUNDUP((I$1)/10,0)*10,[1]Hugst!$R$4:$W$4,0))))</f>
        <v>89.98675876813985</v>
      </c>
      <c r="J55">
        <f ca="1">IF($C55-J$1&lt;År1,0,I54*(1-VLOOKUP($A55,[1]Hugst!$R$5:$W$9,MATCH(ROUNDUP((J$1)/10,0)*10,[1]Hugst!$R$4:$W$4,0))))</f>
        <v>90.132207184033689</v>
      </c>
      <c r="K55">
        <f ca="1">IF($C55-K$1&lt;År1,0,J54*(1-VLOOKUP($A55,[1]Hugst!$R$5:$W$9,MATCH(ROUNDUP((K$1)/10,0)*10,[1]Hugst!$R$4:$W$4,0))))</f>
        <v>90.278386496488167</v>
      </c>
      <c r="L55">
        <f ca="1">IF($C55-L$1&lt;År1,0,K54*(1-VLOOKUP($A55,[1]Hugst!$R$5:$W$9,MATCH(ROUNDUP((L$1)/10,0)*10,[1]Hugst!$R$4:$W$4,0))))</f>
        <v>90.425300378352233</v>
      </c>
      <c r="M55">
        <f ca="1">IF($C55-M$1&lt;År1,0,L54*(1-VLOOKUP($A55,[1]Hugst!$R$5:$W$9,MATCH(ROUNDUP((M$1)/10,0)*10,[1]Hugst!$R$4:$W$4,0))))</f>
        <v>90.572952520930073</v>
      </c>
      <c r="N55">
        <f ca="1">IF($C55-N$1&lt;År1,0,M54*(1-VLOOKUP($A55,[1]Hugst!$R$5:$W$9,MATCH(ROUNDUP((N$1)/10,0)*10,[1]Hugst!$R$4:$W$4,0))))</f>
        <v>90.721346634072461</v>
      </c>
      <c r="O55">
        <f ca="1">IF($C55-O$1&lt;År1,0,N54*(1-VLOOKUP($A55,[1]Hugst!$R$5:$W$9,MATCH(ROUNDUP((O$1)/10,0)*10,[1]Hugst!$R$4:$W$4,0))))</f>
        <v>90.870486446276232</v>
      </c>
      <c r="P55">
        <f ca="1">IF($C55-P$1&lt;År1,0,O54*(1-VLOOKUP($A55,[1]Hugst!$R$5:$W$9,MATCH(ROUNDUP((P$1)/10,0)*10,[1]Hugst!$R$4:$W$4,0))))</f>
        <v>91.02037570477313</v>
      </c>
      <c r="Q55">
        <f ca="1">IF($C55-Q$1&lt;År1,0,P54*(1-VLOOKUP($A55,[1]Hugst!$R$5:$W$9,MATCH(ROUNDUP((Q$1)/10,0)*10,[1]Hugst!$R$4:$W$4,0))))</f>
        <v>91.171018175622692</v>
      </c>
      <c r="R55">
        <f ca="1">IF($C55-R$1&lt;År1,0,Q54*(1-VLOOKUP($A55,[1]Hugst!$R$5:$W$9,MATCH(ROUNDUP((R$1)/10,0)*10,[1]Hugst!$R$4:$W$4,0))))</f>
        <v>69.125136187275132</v>
      </c>
      <c r="S55">
        <f ca="1">IF($C55-S$1&lt;År1,0,R54*(1-VLOOKUP($A55,[1]Hugst!$R$5:$W$9,MATCH(ROUNDUP((S$1)/10,0)*10,[1]Hugst!$R$4:$W$4,0))))</f>
        <v>69.277296456813701</v>
      </c>
      <c r="T55">
        <f ca="1">IF($C55-T$1&lt;År1,0,S54*(1-VLOOKUP($A55,[1]Hugst!$R$5:$W$9,MATCH(ROUNDUP((T$1)/10,0)*10,[1]Hugst!$R$4:$W$4,0))))</f>
        <v>69.430221350823388</v>
      </c>
      <c r="U55">
        <f ca="1">IF($C55-U$1&lt;År1,0,T54*(1-VLOOKUP($A55,[1]Hugst!$R$5:$W$9,MATCH(ROUNDUP((U$1)/10,0)*10,[1]Hugst!$R$4:$W$4,0))))</f>
        <v>69.583914711636112</v>
      </c>
      <c r="V55">
        <f ca="1">IF($C55-V$1&lt;År1,0,U54*(1-VLOOKUP($A55,[1]Hugst!$R$5:$W$9,MATCH(ROUNDUP((V$1)/10,0)*10,[1]Hugst!$R$4:$W$4,0))))</f>
        <v>69.73838040089737</v>
      </c>
      <c r="W55">
        <f ca="1">IF($C55-W$1&lt;År1,0,V54*(1-VLOOKUP($A55,[1]Hugst!$R$5:$W$9,MATCH(ROUNDUP((W$1)/10,0)*10,[1]Hugst!$R$4:$W$4,0))))</f>
        <v>69.893622299649508</v>
      </c>
      <c r="X55">
        <f ca="1">IF($C55-X$1&lt;År1,0,W54*(1-VLOOKUP($A55,[1]Hugst!$R$5:$W$9,MATCH(ROUNDUP((X$1)/10,0)*10,[1]Hugst!$R$4:$W$4,0))))</f>
        <v>70.049644308447569</v>
      </c>
      <c r="Y55">
        <f ca="1">IF($C55-Y$1&lt;År1,0,X54*(1-VLOOKUP($A55,[1]Hugst!$R$5:$W$9,MATCH(ROUNDUP((Y$1)/10,0)*10,[1]Hugst!$R$4:$W$4,0))))</f>
        <v>70.206450347439187</v>
      </c>
      <c r="Z55">
        <f ca="1">IF($C55-Z$1&lt;År1,0,Y54*(1-VLOOKUP($A55,[1]Hugst!$R$5:$W$9,MATCH(ROUNDUP((Z$1)/10,0)*10,[1]Hugst!$R$4:$W$4,0))))</f>
        <v>70.364044356477635</v>
      </c>
      <c r="AA55">
        <f ca="1">IF($C55-AA$1&lt;År1,0,Z54*(1-VLOOKUP($A55,[1]Hugst!$R$5:$W$9,MATCH(ROUNDUP((AA$1)/10,0)*10,[1]Hugst!$R$4:$W$4,0))))</f>
        <v>70.522430295208849</v>
      </c>
      <c r="AB55">
        <f ca="1">IF($C55-AB$1&lt;År1,0,AA54*(1-VLOOKUP($A55,[1]Hugst!$R$5:$W$9,MATCH(ROUNDUP((AB$1)/10,0)*10,[1]Hugst!$R$4:$W$4,0))))</f>
        <v>70.681612143180047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55000000000000004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89.41220125407466</v>
      </c>
      <c r="G56">
        <f ca="1">IF($C56-G$1&lt;År1,0,F55*(1-VLOOKUP($A56,[1]Hugst!$R$5:$W$9,MATCH(ROUNDUP((G$1)/10,0)*10,[1]Hugst!$R$4:$W$4,0))))</f>
        <v>89.554762446278403</v>
      </c>
      <c r="H56">
        <f ca="1">IF($C56-H$1&lt;År1,0,G55*(1-VLOOKUP($A56,[1]Hugst!$R$5:$W$9,MATCH(ROUNDUP((H$1)/10,0)*10,[1]Hugst!$R$4:$W$4,0))))</f>
        <v>89.698040026383126</v>
      </c>
      <c r="I56">
        <f ca="1">IF($C56-I$1&lt;År1,0,H55*(1-VLOOKUP($A56,[1]Hugst!$R$5:$W$9,MATCH(ROUNDUP((I$1)/10,0)*10,[1]Hugst!$R$4:$W$4,0))))</f>
        <v>89.842037594326996</v>
      </c>
      <c r="J56">
        <f ca="1">IF($C56-J$1&lt;År1,0,I55*(1-VLOOKUP($A56,[1]Hugst!$R$5:$W$9,MATCH(ROUNDUP((J$1)/10,0)*10,[1]Hugst!$R$4:$W$4,0))))</f>
        <v>89.98675876813985</v>
      </c>
      <c r="K56">
        <f ca="1">IF($C56-K$1&lt;År1,0,J55*(1-VLOOKUP($A56,[1]Hugst!$R$5:$W$9,MATCH(ROUNDUP((K$1)/10,0)*10,[1]Hugst!$R$4:$W$4,0))))</f>
        <v>90.132207184033689</v>
      </c>
      <c r="L56">
        <f ca="1">IF($C56-L$1&lt;År1,0,K55*(1-VLOOKUP($A56,[1]Hugst!$R$5:$W$9,MATCH(ROUNDUP((L$1)/10,0)*10,[1]Hugst!$R$4:$W$4,0))))</f>
        <v>90.278386496488167</v>
      </c>
      <c r="M56">
        <f ca="1">IF($C56-M$1&lt;År1,0,L55*(1-VLOOKUP($A56,[1]Hugst!$R$5:$W$9,MATCH(ROUNDUP((M$1)/10,0)*10,[1]Hugst!$R$4:$W$4,0))))</f>
        <v>90.425300378352233</v>
      </c>
      <c r="N56">
        <f ca="1">IF($C56-N$1&lt;År1,0,M55*(1-VLOOKUP($A56,[1]Hugst!$R$5:$W$9,MATCH(ROUNDUP((N$1)/10,0)*10,[1]Hugst!$R$4:$W$4,0))))</f>
        <v>90.572952520930073</v>
      </c>
      <c r="O56">
        <f ca="1">IF($C56-O$1&lt;År1,0,N55*(1-VLOOKUP($A56,[1]Hugst!$R$5:$W$9,MATCH(ROUNDUP((O$1)/10,0)*10,[1]Hugst!$R$4:$W$4,0))))</f>
        <v>90.721346634072461</v>
      </c>
      <c r="P56">
        <f ca="1">IF($C56-P$1&lt;År1,0,O55*(1-VLOOKUP($A56,[1]Hugst!$R$5:$W$9,MATCH(ROUNDUP((P$1)/10,0)*10,[1]Hugst!$R$4:$W$4,0))))</f>
        <v>90.870486446276232</v>
      </c>
      <c r="Q56">
        <f ca="1">IF($C56-Q$1&lt;År1,0,P55*(1-VLOOKUP($A56,[1]Hugst!$R$5:$W$9,MATCH(ROUNDUP((Q$1)/10,0)*10,[1]Hugst!$R$4:$W$4,0))))</f>
        <v>91.02037570477313</v>
      </c>
      <c r="R56">
        <f ca="1">IF($C56-R$1&lt;År1,0,Q55*(1-VLOOKUP($A56,[1]Hugst!$R$5:$W$9,MATCH(ROUNDUP((R$1)/10,0)*10,[1]Hugst!$R$4:$W$4,0))))</f>
        <v>91.171018175622692</v>
      </c>
      <c r="S56">
        <f ca="1">IF($C56-S$1&lt;År1,0,R55*(1-VLOOKUP($A56,[1]Hugst!$R$5:$W$9,MATCH(ROUNDUP((S$1)/10,0)*10,[1]Hugst!$R$4:$W$4,0))))</f>
        <v>69.125136187275132</v>
      </c>
      <c r="T56">
        <f ca="1">IF($C56-T$1&lt;År1,0,S55*(1-VLOOKUP($A56,[1]Hugst!$R$5:$W$9,MATCH(ROUNDUP((T$1)/10,0)*10,[1]Hugst!$R$4:$W$4,0))))</f>
        <v>69.277296456813701</v>
      </c>
      <c r="U56">
        <f ca="1">IF($C56-U$1&lt;År1,0,T55*(1-VLOOKUP($A56,[1]Hugst!$R$5:$W$9,MATCH(ROUNDUP((U$1)/10,0)*10,[1]Hugst!$R$4:$W$4,0))))</f>
        <v>69.430221350823388</v>
      </c>
      <c r="V56">
        <f ca="1">IF($C56-V$1&lt;År1,0,U55*(1-VLOOKUP($A56,[1]Hugst!$R$5:$W$9,MATCH(ROUNDUP((V$1)/10,0)*10,[1]Hugst!$R$4:$W$4,0))))</f>
        <v>69.583914711636112</v>
      </c>
      <c r="W56">
        <f ca="1">IF($C56-W$1&lt;År1,0,V55*(1-VLOOKUP($A56,[1]Hugst!$R$5:$W$9,MATCH(ROUNDUP((W$1)/10,0)*10,[1]Hugst!$R$4:$W$4,0))))</f>
        <v>69.73838040089737</v>
      </c>
      <c r="X56">
        <f ca="1">IF($C56-X$1&lt;År1,0,W55*(1-VLOOKUP($A56,[1]Hugst!$R$5:$W$9,MATCH(ROUNDUP((X$1)/10,0)*10,[1]Hugst!$R$4:$W$4,0))))</f>
        <v>69.893622299649508</v>
      </c>
      <c r="Y56">
        <f ca="1">IF($C56-Y$1&lt;År1,0,X55*(1-VLOOKUP($A56,[1]Hugst!$R$5:$W$9,MATCH(ROUNDUP((Y$1)/10,0)*10,[1]Hugst!$R$4:$W$4,0))))</f>
        <v>70.049644308447569</v>
      </c>
      <c r="Z56">
        <f ca="1">IF($C56-Z$1&lt;År1,0,Y55*(1-VLOOKUP($A56,[1]Hugst!$R$5:$W$9,MATCH(ROUNDUP((Z$1)/10,0)*10,[1]Hugst!$R$4:$W$4,0))))</f>
        <v>70.206450347439187</v>
      </c>
      <c r="AA56">
        <f ca="1">IF($C56-AA$1&lt;År1,0,Z55*(1-VLOOKUP($A56,[1]Hugst!$R$5:$W$9,MATCH(ROUNDUP((AA$1)/10,0)*10,[1]Hugst!$R$4:$W$4,0))))</f>
        <v>70.364044356477635</v>
      </c>
      <c r="AB56">
        <f ca="1">IF($C56-AB$1&lt;År1,0,AA55*(1-VLOOKUP($A56,[1]Hugst!$R$5:$W$9,MATCH(ROUNDUP((AB$1)/10,0)*10,[1]Hugst!$R$4:$W$4,0))))</f>
        <v>70.522430295208849</v>
      </c>
      <c r="AC56">
        <f ca="1">IF($C56-AC$1&lt;År1,0,AB55*(1-VLOOKUP($A56,[1]Hugst!$R$5:$W$9,MATCH(ROUNDUP((AC$1)/10,0)*10,[1]Hugst!$R$4:$W$4,0))))</f>
        <v>70.681612143180047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55000000000000004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89.27035286783115</v>
      </c>
      <c r="G57">
        <f ca="1">IF($C57-G$1&lt;År1,0,F56*(1-VLOOKUP($A57,[1]Hugst!$R$5:$W$9,MATCH(ROUNDUP((G$1)/10,0)*10,[1]Hugst!$R$4:$W$4,0))))</f>
        <v>89.41220125407466</v>
      </c>
      <c r="H57">
        <f ca="1">IF($C57-H$1&lt;År1,0,G56*(1-VLOOKUP($A57,[1]Hugst!$R$5:$W$9,MATCH(ROUNDUP((H$1)/10,0)*10,[1]Hugst!$R$4:$W$4,0))))</f>
        <v>89.554762446278403</v>
      </c>
      <c r="I57">
        <f ca="1">IF($C57-I$1&lt;År1,0,H56*(1-VLOOKUP($A57,[1]Hugst!$R$5:$W$9,MATCH(ROUNDUP((I$1)/10,0)*10,[1]Hugst!$R$4:$W$4,0))))</f>
        <v>89.698040026383126</v>
      </c>
      <c r="J57">
        <f ca="1">IF($C57-J$1&lt;År1,0,I56*(1-VLOOKUP($A57,[1]Hugst!$R$5:$W$9,MATCH(ROUNDUP((J$1)/10,0)*10,[1]Hugst!$R$4:$W$4,0))))</f>
        <v>89.842037594326996</v>
      </c>
      <c r="K57">
        <f ca="1">IF($C57-K$1&lt;År1,0,J56*(1-VLOOKUP($A57,[1]Hugst!$R$5:$W$9,MATCH(ROUNDUP((K$1)/10,0)*10,[1]Hugst!$R$4:$W$4,0))))</f>
        <v>89.98675876813985</v>
      </c>
      <c r="L57">
        <f ca="1">IF($C57-L$1&lt;År1,0,K56*(1-VLOOKUP($A57,[1]Hugst!$R$5:$W$9,MATCH(ROUNDUP((L$1)/10,0)*10,[1]Hugst!$R$4:$W$4,0))))</f>
        <v>90.132207184033689</v>
      </c>
      <c r="M57">
        <f ca="1">IF($C57-M$1&lt;År1,0,L56*(1-VLOOKUP($A57,[1]Hugst!$R$5:$W$9,MATCH(ROUNDUP((M$1)/10,0)*10,[1]Hugst!$R$4:$W$4,0))))</f>
        <v>90.278386496488167</v>
      </c>
      <c r="N57">
        <f ca="1">IF($C57-N$1&lt;År1,0,M56*(1-VLOOKUP($A57,[1]Hugst!$R$5:$W$9,MATCH(ROUNDUP((N$1)/10,0)*10,[1]Hugst!$R$4:$W$4,0))))</f>
        <v>90.425300378352233</v>
      </c>
      <c r="O57">
        <f ca="1">IF($C57-O$1&lt;År1,0,N56*(1-VLOOKUP($A57,[1]Hugst!$R$5:$W$9,MATCH(ROUNDUP((O$1)/10,0)*10,[1]Hugst!$R$4:$W$4,0))))</f>
        <v>90.572952520930073</v>
      </c>
      <c r="P57">
        <f ca="1">IF($C57-P$1&lt;År1,0,O56*(1-VLOOKUP($A57,[1]Hugst!$R$5:$W$9,MATCH(ROUNDUP((P$1)/10,0)*10,[1]Hugst!$R$4:$W$4,0))))</f>
        <v>90.721346634072461</v>
      </c>
      <c r="Q57">
        <f ca="1">IF($C57-Q$1&lt;År1,0,P56*(1-VLOOKUP($A57,[1]Hugst!$R$5:$W$9,MATCH(ROUNDUP((Q$1)/10,0)*10,[1]Hugst!$R$4:$W$4,0))))</f>
        <v>90.870486446276232</v>
      </c>
      <c r="R57">
        <f ca="1">IF($C57-R$1&lt;År1,0,Q56*(1-VLOOKUP($A57,[1]Hugst!$R$5:$W$9,MATCH(ROUNDUP((R$1)/10,0)*10,[1]Hugst!$R$4:$W$4,0))))</f>
        <v>91.02037570477313</v>
      </c>
      <c r="S57">
        <f ca="1">IF($C57-S$1&lt;År1,0,R56*(1-VLOOKUP($A57,[1]Hugst!$R$5:$W$9,MATCH(ROUNDUP((S$1)/10,0)*10,[1]Hugst!$R$4:$W$4,0))))</f>
        <v>91.171018175622692</v>
      </c>
      <c r="T57">
        <f ca="1">IF($C57-T$1&lt;År1,0,S56*(1-VLOOKUP($A57,[1]Hugst!$R$5:$W$9,MATCH(ROUNDUP((T$1)/10,0)*10,[1]Hugst!$R$4:$W$4,0))))</f>
        <v>69.125136187275132</v>
      </c>
      <c r="U57">
        <f ca="1">IF($C57-U$1&lt;År1,0,T56*(1-VLOOKUP($A57,[1]Hugst!$R$5:$W$9,MATCH(ROUNDUP((U$1)/10,0)*10,[1]Hugst!$R$4:$W$4,0))))</f>
        <v>69.277296456813701</v>
      </c>
      <c r="V57">
        <f ca="1">IF($C57-V$1&lt;År1,0,U56*(1-VLOOKUP($A57,[1]Hugst!$R$5:$W$9,MATCH(ROUNDUP((V$1)/10,0)*10,[1]Hugst!$R$4:$W$4,0))))</f>
        <v>69.430221350823388</v>
      </c>
      <c r="W57">
        <f ca="1">IF($C57-W$1&lt;År1,0,V56*(1-VLOOKUP($A57,[1]Hugst!$R$5:$W$9,MATCH(ROUNDUP((W$1)/10,0)*10,[1]Hugst!$R$4:$W$4,0))))</f>
        <v>69.583914711636112</v>
      </c>
      <c r="X57">
        <f ca="1">IF($C57-X$1&lt;År1,0,W56*(1-VLOOKUP($A57,[1]Hugst!$R$5:$W$9,MATCH(ROUNDUP((X$1)/10,0)*10,[1]Hugst!$R$4:$W$4,0))))</f>
        <v>69.73838040089737</v>
      </c>
      <c r="Y57">
        <f ca="1">IF($C57-Y$1&lt;År1,0,X56*(1-VLOOKUP($A57,[1]Hugst!$R$5:$W$9,MATCH(ROUNDUP((Y$1)/10,0)*10,[1]Hugst!$R$4:$W$4,0))))</f>
        <v>69.893622299649508</v>
      </c>
      <c r="Z57">
        <f ca="1">IF($C57-Z$1&lt;År1,0,Y56*(1-VLOOKUP($A57,[1]Hugst!$R$5:$W$9,MATCH(ROUNDUP((Z$1)/10,0)*10,[1]Hugst!$R$4:$W$4,0))))</f>
        <v>70.049644308447569</v>
      </c>
      <c r="AA57">
        <f ca="1">IF($C57-AA$1&lt;År1,0,Z56*(1-VLOOKUP($A57,[1]Hugst!$R$5:$W$9,MATCH(ROUNDUP((AA$1)/10,0)*10,[1]Hugst!$R$4:$W$4,0))))</f>
        <v>70.206450347439187</v>
      </c>
      <c r="AB57">
        <f ca="1">IF($C57-AB$1&lt;År1,0,AA56*(1-VLOOKUP($A57,[1]Hugst!$R$5:$W$9,MATCH(ROUNDUP((AB$1)/10,0)*10,[1]Hugst!$R$4:$W$4,0))))</f>
        <v>70.364044356477635</v>
      </c>
      <c r="AC57">
        <f ca="1">IF($C57-AC$1&lt;År1,0,AB56*(1-VLOOKUP($A57,[1]Hugst!$R$5:$W$9,MATCH(ROUNDUP((AC$1)/10,0)*10,[1]Hugst!$R$4:$W$4,0))))</f>
        <v>70.522430295208849</v>
      </c>
      <c r="AD57">
        <f ca="1">IF($C57-AD$1&lt;År1,0,AC56*(1-VLOOKUP($A57,[1]Hugst!$R$5:$W$9,MATCH(ROUNDUP((AD$1)/10,0)*10,[1]Hugst!$R$4:$W$4,0))))</f>
        <v>70.681612143180047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55000000000000004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89.12921372351974</v>
      </c>
      <c r="G58">
        <f ca="1">IF($C58-G$1&lt;År1,0,F57*(1-VLOOKUP($A58,[1]Hugst!$R$5:$W$9,MATCH(ROUNDUP((G$1)/10,0)*10,[1]Hugst!$R$4:$W$4,0))))</f>
        <v>89.27035286783115</v>
      </c>
      <c r="H58">
        <f ca="1">IF($C58-H$1&lt;År1,0,G57*(1-VLOOKUP($A58,[1]Hugst!$R$5:$W$9,MATCH(ROUNDUP((H$1)/10,0)*10,[1]Hugst!$R$4:$W$4,0))))</f>
        <v>89.41220125407466</v>
      </c>
      <c r="I58">
        <f ca="1">IF($C58-I$1&lt;År1,0,H57*(1-VLOOKUP($A58,[1]Hugst!$R$5:$W$9,MATCH(ROUNDUP((I$1)/10,0)*10,[1]Hugst!$R$4:$W$4,0))))</f>
        <v>89.554762446278403</v>
      </c>
      <c r="J58">
        <f ca="1">IF($C58-J$1&lt;År1,0,I57*(1-VLOOKUP($A58,[1]Hugst!$R$5:$W$9,MATCH(ROUNDUP((J$1)/10,0)*10,[1]Hugst!$R$4:$W$4,0))))</f>
        <v>89.698040026383126</v>
      </c>
      <c r="K58">
        <f ca="1">IF($C58-K$1&lt;År1,0,J57*(1-VLOOKUP($A58,[1]Hugst!$R$5:$W$9,MATCH(ROUNDUP((K$1)/10,0)*10,[1]Hugst!$R$4:$W$4,0))))</f>
        <v>89.842037594326996</v>
      </c>
      <c r="L58">
        <f ca="1">IF($C58-L$1&lt;År1,0,K57*(1-VLOOKUP($A58,[1]Hugst!$R$5:$W$9,MATCH(ROUNDUP((L$1)/10,0)*10,[1]Hugst!$R$4:$W$4,0))))</f>
        <v>89.98675876813985</v>
      </c>
      <c r="M58">
        <f ca="1">IF($C58-M$1&lt;År1,0,L57*(1-VLOOKUP($A58,[1]Hugst!$R$5:$W$9,MATCH(ROUNDUP((M$1)/10,0)*10,[1]Hugst!$R$4:$W$4,0))))</f>
        <v>90.132207184033689</v>
      </c>
      <c r="N58">
        <f ca="1">IF($C58-N$1&lt;År1,0,M57*(1-VLOOKUP($A58,[1]Hugst!$R$5:$W$9,MATCH(ROUNDUP((N$1)/10,0)*10,[1]Hugst!$R$4:$W$4,0))))</f>
        <v>90.278386496488167</v>
      </c>
      <c r="O58">
        <f ca="1">IF($C58-O$1&lt;År1,0,N57*(1-VLOOKUP($A58,[1]Hugst!$R$5:$W$9,MATCH(ROUNDUP((O$1)/10,0)*10,[1]Hugst!$R$4:$W$4,0))))</f>
        <v>90.425300378352233</v>
      </c>
      <c r="P58">
        <f ca="1">IF($C58-P$1&lt;År1,0,O57*(1-VLOOKUP($A58,[1]Hugst!$R$5:$W$9,MATCH(ROUNDUP((P$1)/10,0)*10,[1]Hugst!$R$4:$W$4,0))))</f>
        <v>90.572952520930073</v>
      </c>
      <c r="Q58">
        <f ca="1">IF($C58-Q$1&lt;År1,0,P57*(1-VLOOKUP($A58,[1]Hugst!$R$5:$W$9,MATCH(ROUNDUP((Q$1)/10,0)*10,[1]Hugst!$R$4:$W$4,0))))</f>
        <v>90.721346634072461</v>
      </c>
      <c r="R58">
        <f ca="1">IF($C58-R$1&lt;År1,0,Q57*(1-VLOOKUP($A58,[1]Hugst!$R$5:$W$9,MATCH(ROUNDUP((R$1)/10,0)*10,[1]Hugst!$R$4:$W$4,0))))</f>
        <v>90.870486446276232</v>
      </c>
      <c r="S58">
        <f ca="1">IF($C58-S$1&lt;År1,0,R57*(1-VLOOKUP($A58,[1]Hugst!$R$5:$W$9,MATCH(ROUNDUP((S$1)/10,0)*10,[1]Hugst!$R$4:$W$4,0))))</f>
        <v>91.02037570477313</v>
      </c>
      <c r="T58">
        <f ca="1">IF($C58-T$1&lt;År1,0,S57*(1-VLOOKUP($A58,[1]Hugst!$R$5:$W$9,MATCH(ROUNDUP((T$1)/10,0)*10,[1]Hugst!$R$4:$W$4,0))))</f>
        <v>91.171018175622692</v>
      </c>
      <c r="U58">
        <f ca="1">IF($C58-U$1&lt;År1,0,T57*(1-VLOOKUP($A58,[1]Hugst!$R$5:$W$9,MATCH(ROUNDUP((U$1)/10,0)*10,[1]Hugst!$R$4:$W$4,0))))</f>
        <v>69.125136187275132</v>
      </c>
      <c r="V58">
        <f ca="1">IF($C58-V$1&lt;År1,0,U57*(1-VLOOKUP($A58,[1]Hugst!$R$5:$W$9,MATCH(ROUNDUP((V$1)/10,0)*10,[1]Hugst!$R$4:$W$4,0))))</f>
        <v>69.277296456813701</v>
      </c>
      <c r="W58">
        <f ca="1">IF($C58-W$1&lt;År1,0,V57*(1-VLOOKUP($A58,[1]Hugst!$R$5:$W$9,MATCH(ROUNDUP((W$1)/10,0)*10,[1]Hugst!$R$4:$W$4,0))))</f>
        <v>69.430221350823388</v>
      </c>
      <c r="X58">
        <f ca="1">IF($C58-X$1&lt;År1,0,W57*(1-VLOOKUP($A58,[1]Hugst!$R$5:$W$9,MATCH(ROUNDUP((X$1)/10,0)*10,[1]Hugst!$R$4:$W$4,0))))</f>
        <v>69.583914711636112</v>
      </c>
      <c r="Y58">
        <f ca="1">IF($C58-Y$1&lt;År1,0,X57*(1-VLOOKUP($A58,[1]Hugst!$R$5:$W$9,MATCH(ROUNDUP((Y$1)/10,0)*10,[1]Hugst!$R$4:$W$4,0))))</f>
        <v>69.73838040089737</v>
      </c>
      <c r="Z58">
        <f ca="1">IF($C58-Z$1&lt;År1,0,Y57*(1-VLOOKUP($A58,[1]Hugst!$R$5:$W$9,MATCH(ROUNDUP((Z$1)/10,0)*10,[1]Hugst!$R$4:$W$4,0))))</f>
        <v>69.893622299649508</v>
      </c>
      <c r="AA58">
        <f ca="1">IF($C58-AA$1&lt;År1,0,Z57*(1-VLOOKUP($A58,[1]Hugst!$R$5:$W$9,MATCH(ROUNDUP((AA$1)/10,0)*10,[1]Hugst!$R$4:$W$4,0))))</f>
        <v>70.049644308447569</v>
      </c>
      <c r="AB58">
        <f ca="1">IF($C58-AB$1&lt;År1,0,AA57*(1-VLOOKUP($A58,[1]Hugst!$R$5:$W$9,MATCH(ROUNDUP((AB$1)/10,0)*10,[1]Hugst!$R$4:$W$4,0))))</f>
        <v>70.206450347439187</v>
      </c>
      <c r="AC58">
        <f ca="1">IF($C58-AC$1&lt;År1,0,AB57*(1-VLOOKUP($A58,[1]Hugst!$R$5:$W$9,MATCH(ROUNDUP((AC$1)/10,0)*10,[1]Hugst!$R$4:$W$4,0))))</f>
        <v>70.364044356477635</v>
      </c>
      <c r="AD58">
        <f ca="1">IF($C58-AD$1&lt;År1,0,AC57*(1-VLOOKUP($A58,[1]Hugst!$R$5:$W$9,MATCH(ROUNDUP((AD$1)/10,0)*10,[1]Hugst!$R$4:$W$4,0))))</f>
        <v>70.522430295208849</v>
      </c>
      <c r="AE58">
        <f ca="1">IF($C58-AE$1&lt;År1,0,AD57*(1-VLOOKUP($A58,[1]Hugst!$R$5:$W$9,MATCH(ROUNDUP((AE$1)/10,0)*10,[1]Hugst!$R$4:$W$4,0))))</f>
        <v>70.681612143180047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55000000000000004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88.988780274930321</v>
      </c>
      <c r="G59">
        <f ca="1">IF($C59-G$1&lt;År1,0,F58*(1-VLOOKUP($A59,[1]Hugst!$R$5:$W$9,MATCH(ROUNDUP((G$1)/10,0)*10,[1]Hugst!$R$4:$W$4,0))))</f>
        <v>89.12921372351974</v>
      </c>
      <c r="H59">
        <f ca="1">IF($C59-H$1&lt;År1,0,G58*(1-VLOOKUP($A59,[1]Hugst!$R$5:$W$9,MATCH(ROUNDUP((H$1)/10,0)*10,[1]Hugst!$R$4:$W$4,0))))</f>
        <v>89.27035286783115</v>
      </c>
      <c r="I59">
        <f ca="1">IF($C59-I$1&lt;År1,0,H58*(1-VLOOKUP($A59,[1]Hugst!$R$5:$W$9,MATCH(ROUNDUP((I$1)/10,0)*10,[1]Hugst!$R$4:$W$4,0))))</f>
        <v>89.41220125407466</v>
      </c>
      <c r="J59">
        <f ca="1">IF($C59-J$1&lt;År1,0,I58*(1-VLOOKUP($A59,[1]Hugst!$R$5:$W$9,MATCH(ROUNDUP((J$1)/10,0)*10,[1]Hugst!$R$4:$W$4,0))))</f>
        <v>89.554762446278403</v>
      </c>
      <c r="K59">
        <f ca="1">IF($C59-K$1&lt;År1,0,J58*(1-VLOOKUP($A59,[1]Hugst!$R$5:$W$9,MATCH(ROUNDUP((K$1)/10,0)*10,[1]Hugst!$R$4:$W$4,0))))</f>
        <v>89.698040026383126</v>
      </c>
      <c r="L59">
        <f ca="1">IF($C59-L$1&lt;År1,0,K58*(1-VLOOKUP($A59,[1]Hugst!$R$5:$W$9,MATCH(ROUNDUP((L$1)/10,0)*10,[1]Hugst!$R$4:$W$4,0))))</f>
        <v>89.842037594326996</v>
      </c>
      <c r="M59">
        <f ca="1">IF($C59-M$1&lt;År1,0,L58*(1-VLOOKUP($A59,[1]Hugst!$R$5:$W$9,MATCH(ROUNDUP((M$1)/10,0)*10,[1]Hugst!$R$4:$W$4,0))))</f>
        <v>89.98675876813985</v>
      </c>
      <c r="N59">
        <f ca="1">IF($C59-N$1&lt;År1,0,M58*(1-VLOOKUP($A59,[1]Hugst!$R$5:$W$9,MATCH(ROUNDUP((N$1)/10,0)*10,[1]Hugst!$R$4:$W$4,0))))</f>
        <v>90.132207184033689</v>
      </c>
      <c r="O59">
        <f ca="1">IF($C59-O$1&lt;År1,0,N58*(1-VLOOKUP($A59,[1]Hugst!$R$5:$W$9,MATCH(ROUNDUP((O$1)/10,0)*10,[1]Hugst!$R$4:$W$4,0))))</f>
        <v>90.278386496488167</v>
      </c>
      <c r="P59">
        <f ca="1">IF($C59-P$1&lt;År1,0,O58*(1-VLOOKUP($A59,[1]Hugst!$R$5:$W$9,MATCH(ROUNDUP((P$1)/10,0)*10,[1]Hugst!$R$4:$W$4,0))))</f>
        <v>90.425300378352233</v>
      </c>
      <c r="Q59">
        <f ca="1">IF($C59-Q$1&lt;År1,0,P58*(1-VLOOKUP($A59,[1]Hugst!$R$5:$W$9,MATCH(ROUNDUP((Q$1)/10,0)*10,[1]Hugst!$R$4:$W$4,0))))</f>
        <v>90.572952520930073</v>
      </c>
      <c r="R59">
        <f ca="1">IF($C59-R$1&lt;År1,0,Q58*(1-VLOOKUP($A59,[1]Hugst!$R$5:$W$9,MATCH(ROUNDUP((R$1)/10,0)*10,[1]Hugst!$R$4:$W$4,0))))</f>
        <v>90.721346634072461</v>
      </c>
      <c r="S59">
        <f ca="1">IF($C59-S$1&lt;År1,0,R58*(1-VLOOKUP($A59,[1]Hugst!$R$5:$W$9,MATCH(ROUNDUP((S$1)/10,0)*10,[1]Hugst!$R$4:$W$4,0))))</f>
        <v>90.870486446276232</v>
      </c>
      <c r="T59">
        <f ca="1">IF($C59-T$1&lt;År1,0,S58*(1-VLOOKUP($A59,[1]Hugst!$R$5:$W$9,MATCH(ROUNDUP((T$1)/10,0)*10,[1]Hugst!$R$4:$W$4,0))))</f>
        <v>91.02037570477313</v>
      </c>
      <c r="U59">
        <f ca="1">IF($C59-U$1&lt;År1,0,T58*(1-VLOOKUP($A59,[1]Hugst!$R$5:$W$9,MATCH(ROUNDUP((U$1)/10,0)*10,[1]Hugst!$R$4:$W$4,0))))</f>
        <v>91.171018175622692</v>
      </c>
      <c r="V59">
        <f ca="1">IF($C59-V$1&lt;År1,0,U58*(1-VLOOKUP($A59,[1]Hugst!$R$5:$W$9,MATCH(ROUNDUP((V$1)/10,0)*10,[1]Hugst!$R$4:$W$4,0))))</f>
        <v>69.125136187275132</v>
      </c>
      <c r="W59">
        <f ca="1">IF($C59-W$1&lt;År1,0,V58*(1-VLOOKUP($A59,[1]Hugst!$R$5:$W$9,MATCH(ROUNDUP((W$1)/10,0)*10,[1]Hugst!$R$4:$W$4,0))))</f>
        <v>69.277296456813701</v>
      </c>
      <c r="X59">
        <f ca="1">IF($C59-X$1&lt;År1,0,W58*(1-VLOOKUP($A59,[1]Hugst!$R$5:$W$9,MATCH(ROUNDUP((X$1)/10,0)*10,[1]Hugst!$R$4:$W$4,0))))</f>
        <v>69.430221350823388</v>
      </c>
      <c r="Y59">
        <f ca="1">IF($C59-Y$1&lt;År1,0,X58*(1-VLOOKUP($A59,[1]Hugst!$R$5:$W$9,MATCH(ROUNDUP((Y$1)/10,0)*10,[1]Hugst!$R$4:$W$4,0))))</f>
        <v>69.583914711636112</v>
      </c>
      <c r="Z59">
        <f ca="1">IF($C59-Z$1&lt;År1,0,Y58*(1-VLOOKUP($A59,[1]Hugst!$R$5:$W$9,MATCH(ROUNDUP((Z$1)/10,0)*10,[1]Hugst!$R$4:$W$4,0))))</f>
        <v>69.73838040089737</v>
      </c>
      <c r="AA59">
        <f ca="1">IF($C59-AA$1&lt;År1,0,Z58*(1-VLOOKUP($A59,[1]Hugst!$R$5:$W$9,MATCH(ROUNDUP((AA$1)/10,0)*10,[1]Hugst!$R$4:$W$4,0))))</f>
        <v>69.893622299649508</v>
      </c>
      <c r="AB59">
        <f ca="1">IF($C59-AB$1&lt;År1,0,AA58*(1-VLOOKUP($A59,[1]Hugst!$R$5:$W$9,MATCH(ROUNDUP((AB$1)/10,0)*10,[1]Hugst!$R$4:$W$4,0))))</f>
        <v>70.049644308447569</v>
      </c>
      <c r="AC59">
        <f ca="1">IF($C59-AC$1&lt;År1,0,AB58*(1-VLOOKUP($A59,[1]Hugst!$R$5:$W$9,MATCH(ROUNDUP((AC$1)/10,0)*10,[1]Hugst!$R$4:$W$4,0))))</f>
        <v>70.206450347439187</v>
      </c>
      <c r="AD59">
        <f ca="1">IF($C59-AD$1&lt;År1,0,AC58*(1-VLOOKUP($A59,[1]Hugst!$R$5:$W$9,MATCH(ROUNDUP((AD$1)/10,0)*10,[1]Hugst!$R$4:$W$4,0))))</f>
        <v>70.364044356477635</v>
      </c>
      <c r="AE59">
        <f ca="1">IF($C59-AE$1&lt;År1,0,AD58*(1-VLOOKUP($A59,[1]Hugst!$R$5:$W$9,MATCH(ROUNDUP((AE$1)/10,0)*10,[1]Hugst!$R$4:$W$4,0))))</f>
        <v>70.522430295208849</v>
      </c>
      <c r="AF59">
        <f ca="1">IF($C59-AF$1&lt;År1,0,AE58*(1-VLOOKUP($A59,[1]Hugst!$R$5:$W$9,MATCH(ROUNDUP((AF$1)/10,0)*10,[1]Hugst!$R$4:$W$4,0))))</f>
        <v>70.681612143180047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55000000000000004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88.849048993581221</v>
      </c>
      <c r="G60">
        <f ca="1">IF($C60-G$1&lt;År1,0,F59*(1-VLOOKUP($A60,[1]Hugst!$R$5:$W$9,MATCH(ROUNDUP((G$1)/10,0)*10,[1]Hugst!$R$4:$W$4,0))))</f>
        <v>88.988780274930321</v>
      </c>
      <c r="H60">
        <f ca="1">IF($C60-H$1&lt;År1,0,G59*(1-VLOOKUP($A60,[1]Hugst!$R$5:$W$9,MATCH(ROUNDUP((H$1)/10,0)*10,[1]Hugst!$R$4:$W$4,0))))</f>
        <v>89.12921372351974</v>
      </c>
      <c r="I60">
        <f ca="1">IF($C60-I$1&lt;År1,0,H59*(1-VLOOKUP($A60,[1]Hugst!$R$5:$W$9,MATCH(ROUNDUP((I$1)/10,0)*10,[1]Hugst!$R$4:$W$4,0))))</f>
        <v>89.27035286783115</v>
      </c>
      <c r="J60">
        <f ca="1">IF($C60-J$1&lt;År1,0,I59*(1-VLOOKUP($A60,[1]Hugst!$R$5:$W$9,MATCH(ROUNDUP((J$1)/10,0)*10,[1]Hugst!$R$4:$W$4,0))))</f>
        <v>89.41220125407466</v>
      </c>
      <c r="K60">
        <f ca="1">IF($C60-K$1&lt;År1,0,J59*(1-VLOOKUP($A60,[1]Hugst!$R$5:$W$9,MATCH(ROUNDUP((K$1)/10,0)*10,[1]Hugst!$R$4:$W$4,0))))</f>
        <v>89.554762446278403</v>
      </c>
      <c r="L60">
        <f ca="1">IF($C60-L$1&lt;År1,0,K59*(1-VLOOKUP($A60,[1]Hugst!$R$5:$W$9,MATCH(ROUNDUP((L$1)/10,0)*10,[1]Hugst!$R$4:$W$4,0))))</f>
        <v>89.698040026383126</v>
      </c>
      <c r="M60">
        <f ca="1">IF($C60-M$1&lt;År1,0,L59*(1-VLOOKUP($A60,[1]Hugst!$R$5:$W$9,MATCH(ROUNDUP((M$1)/10,0)*10,[1]Hugst!$R$4:$W$4,0))))</f>
        <v>89.842037594326996</v>
      </c>
      <c r="N60">
        <f ca="1">IF($C60-N$1&lt;År1,0,M59*(1-VLOOKUP($A60,[1]Hugst!$R$5:$W$9,MATCH(ROUNDUP((N$1)/10,0)*10,[1]Hugst!$R$4:$W$4,0))))</f>
        <v>89.98675876813985</v>
      </c>
      <c r="O60">
        <f ca="1">IF($C60-O$1&lt;År1,0,N59*(1-VLOOKUP($A60,[1]Hugst!$R$5:$W$9,MATCH(ROUNDUP((O$1)/10,0)*10,[1]Hugst!$R$4:$W$4,0))))</f>
        <v>90.132207184033689</v>
      </c>
      <c r="P60">
        <f ca="1">IF($C60-P$1&lt;År1,0,O59*(1-VLOOKUP($A60,[1]Hugst!$R$5:$W$9,MATCH(ROUNDUP((P$1)/10,0)*10,[1]Hugst!$R$4:$W$4,0))))</f>
        <v>90.278386496488167</v>
      </c>
      <c r="Q60">
        <f ca="1">IF($C60-Q$1&lt;År1,0,P59*(1-VLOOKUP($A60,[1]Hugst!$R$5:$W$9,MATCH(ROUNDUP((Q$1)/10,0)*10,[1]Hugst!$R$4:$W$4,0))))</f>
        <v>90.425300378352233</v>
      </c>
      <c r="R60">
        <f ca="1">IF($C60-R$1&lt;År1,0,Q59*(1-VLOOKUP($A60,[1]Hugst!$R$5:$W$9,MATCH(ROUNDUP((R$1)/10,0)*10,[1]Hugst!$R$4:$W$4,0))))</f>
        <v>90.572952520930073</v>
      </c>
      <c r="S60">
        <f ca="1">IF($C60-S$1&lt;År1,0,R59*(1-VLOOKUP($A60,[1]Hugst!$R$5:$W$9,MATCH(ROUNDUP((S$1)/10,0)*10,[1]Hugst!$R$4:$W$4,0))))</f>
        <v>90.721346634072461</v>
      </c>
      <c r="T60">
        <f ca="1">IF($C60-T$1&lt;År1,0,S59*(1-VLOOKUP($A60,[1]Hugst!$R$5:$W$9,MATCH(ROUNDUP((T$1)/10,0)*10,[1]Hugst!$R$4:$W$4,0))))</f>
        <v>90.870486446276232</v>
      </c>
      <c r="U60">
        <f ca="1">IF($C60-U$1&lt;År1,0,T59*(1-VLOOKUP($A60,[1]Hugst!$R$5:$W$9,MATCH(ROUNDUP((U$1)/10,0)*10,[1]Hugst!$R$4:$W$4,0))))</f>
        <v>91.02037570477313</v>
      </c>
      <c r="V60">
        <f ca="1">IF($C60-V$1&lt;År1,0,U59*(1-VLOOKUP($A60,[1]Hugst!$R$5:$W$9,MATCH(ROUNDUP((V$1)/10,0)*10,[1]Hugst!$R$4:$W$4,0))))</f>
        <v>91.171018175622692</v>
      </c>
      <c r="W60">
        <f ca="1">IF($C60-W$1&lt;År1,0,V59*(1-VLOOKUP($A60,[1]Hugst!$R$5:$W$9,MATCH(ROUNDUP((W$1)/10,0)*10,[1]Hugst!$R$4:$W$4,0))))</f>
        <v>69.125136187275132</v>
      </c>
      <c r="X60">
        <f ca="1">IF($C60-X$1&lt;År1,0,W59*(1-VLOOKUP($A60,[1]Hugst!$R$5:$W$9,MATCH(ROUNDUP((X$1)/10,0)*10,[1]Hugst!$R$4:$W$4,0))))</f>
        <v>69.277296456813701</v>
      </c>
      <c r="Y60">
        <f ca="1">IF($C60-Y$1&lt;År1,0,X59*(1-VLOOKUP($A60,[1]Hugst!$R$5:$W$9,MATCH(ROUNDUP((Y$1)/10,0)*10,[1]Hugst!$R$4:$W$4,0))))</f>
        <v>69.430221350823388</v>
      </c>
      <c r="Z60">
        <f ca="1">IF($C60-Z$1&lt;År1,0,Y59*(1-VLOOKUP($A60,[1]Hugst!$R$5:$W$9,MATCH(ROUNDUP((Z$1)/10,0)*10,[1]Hugst!$R$4:$W$4,0))))</f>
        <v>69.583914711636112</v>
      </c>
      <c r="AA60">
        <f ca="1">IF($C60-AA$1&lt;År1,0,Z59*(1-VLOOKUP($A60,[1]Hugst!$R$5:$W$9,MATCH(ROUNDUP((AA$1)/10,0)*10,[1]Hugst!$R$4:$W$4,0))))</f>
        <v>69.73838040089737</v>
      </c>
      <c r="AB60">
        <f ca="1">IF($C60-AB$1&lt;År1,0,AA59*(1-VLOOKUP($A60,[1]Hugst!$R$5:$W$9,MATCH(ROUNDUP((AB$1)/10,0)*10,[1]Hugst!$R$4:$W$4,0))))</f>
        <v>69.893622299649508</v>
      </c>
      <c r="AC60">
        <f ca="1">IF($C60-AC$1&lt;År1,0,AB59*(1-VLOOKUP($A60,[1]Hugst!$R$5:$W$9,MATCH(ROUNDUP((AC$1)/10,0)*10,[1]Hugst!$R$4:$W$4,0))))</f>
        <v>70.049644308447569</v>
      </c>
      <c r="AD60">
        <f ca="1">IF($C60-AD$1&lt;År1,0,AC59*(1-VLOOKUP($A60,[1]Hugst!$R$5:$W$9,MATCH(ROUNDUP((AD$1)/10,0)*10,[1]Hugst!$R$4:$W$4,0))))</f>
        <v>70.206450347439187</v>
      </c>
      <c r="AE60">
        <f ca="1">IF($C60-AE$1&lt;År1,0,AD59*(1-VLOOKUP($A60,[1]Hugst!$R$5:$W$9,MATCH(ROUNDUP((AE$1)/10,0)*10,[1]Hugst!$R$4:$W$4,0))))</f>
        <v>70.364044356477635</v>
      </c>
      <c r="AF60">
        <f ca="1">IF($C60-AF$1&lt;År1,0,AE59*(1-VLOOKUP($A60,[1]Hugst!$R$5:$W$9,MATCH(ROUNDUP((AF$1)/10,0)*10,[1]Hugst!$R$4:$W$4,0))))</f>
        <v>70.522430295208849</v>
      </c>
      <c r="AG60">
        <f ca="1">IF($C60-AG$1&lt;År1,0,AF59*(1-VLOOKUP($A60,[1]Hugst!$R$5:$W$9,MATCH(ROUNDUP((AG$1)/10,0)*10,[1]Hugst!$R$4:$W$4,0))))</f>
        <v>70.681612143180047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55000000000000004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88.710016368641448</v>
      </c>
      <c r="G61">
        <f ca="1">IF($C61-G$1&lt;År1,0,F60*(1-VLOOKUP($A61,[1]Hugst!$R$5:$W$9,MATCH(ROUNDUP((G$1)/10,0)*10,[1]Hugst!$R$4:$W$4,0))))</f>
        <v>88.849048993581221</v>
      </c>
      <c r="H61">
        <f ca="1">IF($C61-H$1&lt;År1,0,G60*(1-VLOOKUP($A61,[1]Hugst!$R$5:$W$9,MATCH(ROUNDUP((H$1)/10,0)*10,[1]Hugst!$R$4:$W$4,0))))</f>
        <v>88.988780274930321</v>
      </c>
      <c r="I61">
        <f ca="1">IF($C61-I$1&lt;År1,0,H60*(1-VLOOKUP($A61,[1]Hugst!$R$5:$W$9,MATCH(ROUNDUP((I$1)/10,0)*10,[1]Hugst!$R$4:$W$4,0))))</f>
        <v>89.12921372351974</v>
      </c>
      <c r="J61">
        <f ca="1">IF($C61-J$1&lt;År1,0,I60*(1-VLOOKUP($A61,[1]Hugst!$R$5:$W$9,MATCH(ROUNDUP((J$1)/10,0)*10,[1]Hugst!$R$4:$W$4,0))))</f>
        <v>89.27035286783115</v>
      </c>
      <c r="K61">
        <f ca="1">IF($C61-K$1&lt;År1,0,J60*(1-VLOOKUP($A61,[1]Hugst!$R$5:$W$9,MATCH(ROUNDUP((K$1)/10,0)*10,[1]Hugst!$R$4:$W$4,0))))</f>
        <v>89.41220125407466</v>
      </c>
      <c r="L61">
        <f ca="1">IF($C61-L$1&lt;År1,0,K60*(1-VLOOKUP($A61,[1]Hugst!$R$5:$W$9,MATCH(ROUNDUP((L$1)/10,0)*10,[1]Hugst!$R$4:$W$4,0))))</f>
        <v>89.554762446278403</v>
      </c>
      <c r="M61">
        <f ca="1">IF($C61-M$1&lt;År1,0,L60*(1-VLOOKUP($A61,[1]Hugst!$R$5:$W$9,MATCH(ROUNDUP((M$1)/10,0)*10,[1]Hugst!$R$4:$W$4,0))))</f>
        <v>89.698040026383126</v>
      </c>
      <c r="N61">
        <f ca="1">IF($C61-N$1&lt;År1,0,M60*(1-VLOOKUP($A61,[1]Hugst!$R$5:$W$9,MATCH(ROUNDUP((N$1)/10,0)*10,[1]Hugst!$R$4:$W$4,0))))</f>
        <v>89.842037594326996</v>
      </c>
      <c r="O61">
        <f ca="1">IF($C61-O$1&lt;År1,0,N60*(1-VLOOKUP($A61,[1]Hugst!$R$5:$W$9,MATCH(ROUNDUP((O$1)/10,0)*10,[1]Hugst!$R$4:$W$4,0))))</f>
        <v>89.98675876813985</v>
      </c>
      <c r="P61">
        <f ca="1">IF($C61-P$1&lt;År1,0,O60*(1-VLOOKUP($A61,[1]Hugst!$R$5:$W$9,MATCH(ROUNDUP((P$1)/10,0)*10,[1]Hugst!$R$4:$W$4,0))))</f>
        <v>90.132207184033689</v>
      </c>
      <c r="Q61">
        <f ca="1">IF($C61-Q$1&lt;År1,0,P60*(1-VLOOKUP($A61,[1]Hugst!$R$5:$W$9,MATCH(ROUNDUP((Q$1)/10,0)*10,[1]Hugst!$R$4:$W$4,0))))</f>
        <v>90.278386496488167</v>
      </c>
      <c r="R61">
        <f ca="1">IF($C61-R$1&lt;År1,0,Q60*(1-VLOOKUP($A61,[1]Hugst!$R$5:$W$9,MATCH(ROUNDUP((R$1)/10,0)*10,[1]Hugst!$R$4:$W$4,0))))</f>
        <v>90.425300378352233</v>
      </c>
      <c r="S61">
        <f ca="1">IF($C61-S$1&lt;År1,0,R60*(1-VLOOKUP($A61,[1]Hugst!$R$5:$W$9,MATCH(ROUNDUP((S$1)/10,0)*10,[1]Hugst!$R$4:$W$4,0))))</f>
        <v>90.572952520930073</v>
      </c>
      <c r="T61">
        <f ca="1">IF($C61-T$1&lt;År1,0,S60*(1-VLOOKUP($A61,[1]Hugst!$R$5:$W$9,MATCH(ROUNDUP((T$1)/10,0)*10,[1]Hugst!$R$4:$W$4,0))))</f>
        <v>90.721346634072461</v>
      </c>
      <c r="U61">
        <f ca="1">IF($C61-U$1&lt;År1,0,T60*(1-VLOOKUP($A61,[1]Hugst!$R$5:$W$9,MATCH(ROUNDUP((U$1)/10,0)*10,[1]Hugst!$R$4:$W$4,0))))</f>
        <v>90.870486446276232</v>
      </c>
      <c r="V61">
        <f ca="1">IF($C61-V$1&lt;År1,0,U60*(1-VLOOKUP($A61,[1]Hugst!$R$5:$W$9,MATCH(ROUNDUP((V$1)/10,0)*10,[1]Hugst!$R$4:$W$4,0))))</f>
        <v>91.02037570477313</v>
      </c>
      <c r="W61">
        <f ca="1">IF($C61-W$1&lt;År1,0,V60*(1-VLOOKUP($A61,[1]Hugst!$R$5:$W$9,MATCH(ROUNDUP((W$1)/10,0)*10,[1]Hugst!$R$4:$W$4,0))))</f>
        <v>91.171018175622692</v>
      </c>
      <c r="X61">
        <f ca="1">IF($C61-X$1&lt;År1,0,W60*(1-VLOOKUP($A61,[1]Hugst!$R$5:$W$9,MATCH(ROUNDUP((X$1)/10,0)*10,[1]Hugst!$R$4:$W$4,0))))</f>
        <v>69.125136187275132</v>
      </c>
      <c r="Y61">
        <f ca="1">IF($C61-Y$1&lt;År1,0,X60*(1-VLOOKUP($A61,[1]Hugst!$R$5:$W$9,MATCH(ROUNDUP((Y$1)/10,0)*10,[1]Hugst!$R$4:$W$4,0))))</f>
        <v>69.277296456813701</v>
      </c>
      <c r="Z61">
        <f ca="1">IF($C61-Z$1&lt;År1,0,Y60*(1-VLOOKUP($A61,[1]Hugst!$R$5:$W$9,MATCH(ROUNDUP((Z$1)/10,0)*10,[1]Hugst!$R$4:$W$4,0))))</f>
        <v>69.430221350823388</v>
      </c>
      <c r="AA61">
        <f ca="1">IF($C61-AA$1&lt;År1,0,Z60*(1-VLOOKUP($A61,[1]Hugst!$R$5:$W$9,MATCH(ROUNDUP((AA$1)/10,0)*10,[1]Hugst!$R$4:$W$4,0))))</f>
        <v>69.583914711636112</v>
      </c>
      <c r="AB61">
        <f ca="1">IF($C61-AB$1&lt;År1,0,AA60*(1-VLOOKUP($A61,[1]Hugst!$R$5:$W$9,MATCH(ROUNDUP((AB$1)/10,0)*10,[1]Hugst!$R$4:$W$4,0))))</f>
        <v>69.73838040089737</v>
      </c>
      <c r="AC61">
        <f ca="1">IF($C61-AC$1&lt;År1,0,AB60*(1-VLOOKUP($A61,[1]Hugst!$R$5:$W$9,MATCH(ROUNDUP((AC$1)/10,0)*10,[1]Hugst!$R$4:$W$4,0))))</f>
        <v>69.893622299649508</v>
      </c>
      <c r="AD61">
        <f ca="1">IF($C61-AD$1&lt;År1,0,AC60*(1-VLOOKUP($A61,[1]Hugst!$R$5:$W$9,MATCH(ROUNDUP((AD$1)/10,0)*10,[1]Hugst!$R$4:$W$4,0))))</f>
        <v>70.049644308447569</v>
      </c>
      <c r="AE61">
        <f ca="1">IF($C61-AE$1&lt;År1,0,AD60*(1-VLOOKUP($A61,[1]Hugst!$R$5:$W$9,MATCH(ROUNDUP((AE$1)/10,0)*10,[1]Hugst!$R$4:$W$4,0))))</f>
        <v>70.206450347439187</v>
      </c>
      <c r="AF61">
        <f ca="1">IF($C61-AF$1&lt;År1,0,AE60*(1-VLOOKUP($A61,[1]Hugst!$R$5:$W$9,MATCH(ROUNDUP((AF$1)/10,0)*10,[1]Hugst!$R$4:$W$4,0))))</f>
        <v>70.364044356477635</v>
      </c>
      <c r="AG61">
        <f ca="1">IF($C61-AG$1&lt;År1,0,AF60*(1-VLOOKUP($A61,[1]Hugst!$R$5:$W$9,MATCH(ROUNDUP((AG$1)/10,0)*10,[1]Hugst!$R$4:$W$4,0))))</f>
        <v>70.522430295208849</v>
      </c>
      <c r="AH61">
        <f ca="1">IF($C61-AH$1&lt;År1,0,AG60*(1-VLOOKUP($A61,[1]Hugst!$R$5:$W$9,MATCH(ROUNDUP((AH$1)/10,0)*10,[1]Hugst!$R$4:$W$4,0))))</f>
        <v>70.681612143180047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55000000000000004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88.571678906826662</v>
      </c>
      <c r="G62">
        <f ca="1">IF($C62-G$1&lt;År1,0,F61*(1-VLOOKUP($A62,[1]Hugst!$R$5:$W$9,MATCH(ROUNDUP((G$1)/10,0)*10,[1]Hugst!$R$4:$W$4,0))))</f>
        <v>88.710016368641448</v>
      </c>
      <c r="H62">
        <f ca="1">IF($C62-H$1&lt;År1,0,G61*(1-VLOOKUP($A62,[1]Hugst!$R$5:$W$9,MATCH(ROUNDUP((H$1)/10,0)*10,[1]Hugst!$R$4:$W$4,0))))</f>
        <v>88.849048993581221</v>
      </c>
      <c r="I62">
        <f ca="1">IF($C62-I$1&lt;År1,0,H61*(1-VLOOKUP($A62,[1]Hugst!$R$5:$W$9,MATCH(ROUNDUP((I$1)/10,0)*10,[1]Hugst!$R$4:$W$4,0))))</f>
        <v>88.988780274930321</v>
      </c>
      <c r="J62">
        <f ca="1">IF($C62-J$1&lt;År1,0,I61*(1-VLOOKUP($A62,[1]Hugst!$R$5:$W$9,MATCH(ROUNDUP((J$1)/10,0)*10,[1]Hugst!$R$4:$W$4,0))))</f>
        <v>89.12921372351974</v>
      </c>
      <c r="K62">
        <f ca="1">IF($C62-K$1&lt;År1,0,J61*(1-VLOOKUP($A62,[1]Hugst!$R$5:$W$9,MATCH(ROUNDUP((K$1)/10,0)*10,[1]Hugst!$R$4:$W$4,0))))</f>
        <v>89.27035286783115</v>
      </c>
      <c r="L62">
        <f ca="1">IF($C62-L$1&lt;År1,0,K61*(1-VLOOKUP($A62,[1]Hugst!$R$5:$W$9,MATCH(ROUNDUP((L$1)/10,0)*10,[1]Hugst!$R$4:$W$4,0))))</f>
        <v>89.41220125407466</v>
      </c>
      <c r="M62">
        <f ca="1">IF($C62-M$1&lt;År1,0,L61*(1-VLOOKUP($A62,[1]Hugst!$R$5:$W$9,MATCH(ROUNDUP((M$1)/10,0)*10,[1]Hugst!$R$4:$W$4,0))))</f>
        <v>89.554762446278403</v>
      </c>
      <c r="N62">
        <f ca="1">IF($C62-N$1&lt;År1,0,M61*(1-VLOOKUP($A62,[1]Hugst!$R$5:$W$9,MATCH(ROUNDUP((N$1)/10,0)*10,[1]Hugst!$R$4:$W$4,0))))</f>
        <v>89.698040026383126</v>
      </c>
      <c r="O62">
        <f ca="1">IF($C62-O$1&lt;År1,0,N61*(1-VLOOKUP($A62,[1]Hugst!$R$5:$W$9,MATCH(ROUNDUP((O$1)/10,0)*10,[1]Hugst!$R$4:$W$4,0))))</f>
        <v>89.842037594326996</v>
      </c>
      <c r="P62">
        <f ca="1">IF($C62-P$1&lt;År1,0,O61*(1-VLOOKUP($A62,[1]Hugst!$R$5:$W$9,MATCH(ROUNDUP((P$1)/10,0)*10,[1]Hugst!$R$4:$W$4,0))))</f>
        <v>89.98675876813985</v>
      </c>
      <c r="Q62">
        <f ca="1">IF($C62-Q$1&lt;År1,0,P61*(1-VLOOKUP($A62,[1]Hugst!$R$5:$W$9,MATCH(ROUNDUP((Q$1)/10,0)*10,[1]Hugst!$R$4:$W$4,0))))</f>
        <v>90.132207184033689</v>
      </c>
      <c r="R62">
        <f ca="1">IF($C62-R$1&lt;År1,0,Q61*(1-VLOOKUP($A62,[1]Hugst!$R$5:$W$9,MATCH(ROUNDUP((R$1)/10,0)*10,[1]Hugst!$R$4:$W$4,0))))</f>
        <v>90.278386496488167</v>
      </c>
      <c r="S62">
        <f ca="1">IF($C62-S$1&lt;År1,0,R61*(1-VLOOKUP($A62,[1]Hugst!$R$5:$W$9,MATCH(ROUNDUP((S$1)/10,0)*10,[1]Hugst!$R$4:$W$4,0))))</f>
        <v>90.425300378352233</v>
      </c>
      <c r="T62">
        <f ca="1">IF($C62-T$1&lt;År1,0,S61*(1-VLOOKUP($A62,[1]Hugst!$R$5:$W$9,MATCH(ROUNDUP((T$1)/10,0)*10,[1]Hugst!$R$4:$W$4,0))))</f>
        <v>90.572952520930073</v>
      </c>
      <c r="U62">
        <f ca="1">IF($C62-U$1&lt;År1,0,T61*(1-VLOOKUP($A62,[1]Hugst!$R$5:$W$9,MATCH(ROUNDUP((U$1)/10,0)*10,[1]Hugst!$R$4:$W$4,0))))</f>
        <v>90.721346634072461</v>
      </c>
      <c r="V62">
        <f ca="1">IF($C62-V$1&lt;År1,0,U61*(1-VLOOKUP($A62,[1]Hugst!$R$5:$W$9,MATCH(ROUNDUP((V$1)/10,0)*10,[1]Hugst!$R$4:$W$4,0))))</f>
        <v>90.870486446276232</v>
      </c>
      <c r="W62">
        <f ca="1">IF($C62-W$1&lt;År1,0,V61*(1-VLOOKUP($A62,[1]Hugst!$R$5:$W$9,MATCH(ROUNDUP((W$1)/10,0)*10,[1]Hugst!$R$4:$W$4,0))))</f>
        <v>91.02037570477313</v>
      </c>
      <c r="X62">
        <f ca="1">IF($C62-X$1&lt;År1,0,W61*(1-VLOOKUP($A62,[1]Hugst!$R$5:$W$9,MATCH(ROUNDUP((X$1)/10,0)*10,[1]Hugst!$R$4:$W$4,0))))</f>
        <v>91.171018175622692</v>
      </c>
      <c r="Y62">
        <f ca="1">IF($C62-Y$1&lt;År1,0,X61*(1-VLOOKUP($A62,[1]Hugst!$R$5:$W$9,MATCH(ROUNDUP((Y$1)/10,0)*10,[1]Hugst!$R$4:$W$4,0))))</f>
        <v>69.125136187275132</v>
      </c>
      <c r="Z62">
        <f ca="1">IF($C62-Z$1&lt;År1,0,Y61*(1-VLOOKUP($A62,[1]Hugst!$R$5:$W$9,MATCH(ROUNDUP((Z$1)/10,0)*10,[1]Hugst!$R$4:$W$4,0))))</f>
        <v>69.277296456813701</v>
      </c>
      <c r="AA62">
        <f ca="1">IF($C62-AA$1&lt;År1,0,Z61*(1-VLOOKUP($A62,[1]Hugst!$R$5:$W$9,MATCH(ROUNDUP((AA$1)/10,0)*10,[1]Hugst!$R$4:$W$4,0))))</f>
        <v>69.430221350823388</v>
      </c>
      <c r="AB62">
        <f ca="1">IF($C62-AB$1&lt;År1,0,AA61*(1-VLOOKUP($A62,[1]Hugst!$R$5:$W$9,MATCH(ROUNDUP((AB$1)/10,0)*10,[1]Hugst!$R$4:$W$4,0))))</f>
        <v>69.583914711636112</v>
      </c>
      <c r="AC62">
        <f ca="1">IF($C62-AC$1&lt;År1,0,AB61*(1-VLOOKUP($A62,[1]Hugst!$R$5:$W$9,MATCH(ROUNDUP((AC$1)/10,0)*10,[1]Hugst!$R$4:$W$4,0))))</f>
        <v>69.73838040089737</v>
      </c>
      <c r="AD62">
        <f ca="1">IF($C62-AD$1&lt;År1,0,AC61*(1-VLOOKUP($A62,[1]Hugst!$R$5:$W$9,MATCH(ROUNDUP((AD$1)/10,0)*10,[1]Hugst!$R$4:$W$4,0))))</f>
        <v>69.893622299649508</v>
      </c>
      <c r="AE62">
        <f ca="1">IF($C62-AE$1&lt;År1,0,AD61*(1-VLOOKUP($A62,[1]Hugst!$R$5:$W$9,MATCH(ROUNDUP((AE$1)/10,0)*10,[1]Hugst!$R$4:$W$4,0))))</f>
        <v>70.049644308447569</v>
      </c>
      <c r="AF62">
        <f ca="1">IF($C62-AF$1&lt;År1,0,AE61*(1-VLOOKUP($A62,[1]Hugst!$R$5:$W$9,MATCH(ROUNDUP((AF$1)/10,0)*10,[1]Hugst!$R$4:$W$4,0))))</f>
        <v>70.206450347439187</v>
      </c>
      <c r="AG62">
        <f ca="1">IF($C62-AG$1&lt;År1,0,AF61*(1-VLOOKUP($A62,[1]Hugst!$R$5:$W$9,MATCH(ROUNDUP((AG$1)/10,0)*10,[1]Hugst!$R$4:$W$4,0))))</f>
        <v>70.364044356477635</v>
      </c>
      <c r="AH62">
        <f ca="1">IF($C62-AH$1&lt;År1,0,AG61*(1-VLOOKUP($A62,[1]Hugst!$R$5:$W$9,MATCH(ROUNDUP((AH$1)/10,0)*10,[1]Hugst!$R$4:$W$4,0))))</f>
        <v>70.522430295208849</v>
      </c>
      <c r="AI62">
        <f ca="1">IF($C62-AI$1&lt;År1,0,AH61*(1-VLOOKUP($A62,[1]Hugst!$R$5:$W$9,MATCH(ROUNDUP((AI$1)/10,0)*10,[1]Hugst!$R$4:$W$4,0))))</f>
        <v>70.681612143180047</v>
      </c>
      <c r="AJ62">
        <f>IF($C62-AJ$1&lt;År1,0,AI61*(1-VLOOKUP($A62,[1]Hugst!$R$5:$W$9,MATCH(ROUNDUP((AJ$1)/10,0)*10,[1]Hugst!$R$4:$W$4,0))))</f>
        <v>0</v>
      </c>
    </row>
    <row r="63" spans="1:38" x14ac:dyDescent="0.55000000000000004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0.23309893366376855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88.667132065983367</v>
      </c>
      <c r="G63">
        <f ca="1">IF($C63-G$1&lt;År1,0,F62*(1-VLOOKUP($A63,[1]Hugst!$R$5:$W$9,MATCH(ROUNDUP((G$1)/10,0)*10,[1]Hugst!$R$4:$W$4,0))))</f>
        <v>88.571678906826662</v>
      </c>
      <c r="H63">
        <f ca="1">IF($C63-H$1&lt;År1,0,G62*(1-VLOOKUP($A63,[1]Hugst!$R$5:$W$9,MATCH(ROUNDUP((H$1)/10,0)*10,[1]Hugst!$R$4:$W$4,0))))</f>
        <v>88.710016368641448</v>
      </c>
      <c r="I63">
        <f ca="1">IF($C63-I$1&lt;År1,0,H62*(1-VLOOKUP($A63,[1]Hugst!$R$5:$W$9,MATCH(ROUNDUP((I$1)/10,0)*10,[1]Hugst!$R$4:$W$4,0))))</f>
        <v>88.849048993581221</v>
      </c>
      <c r="J63">
        <f ca="1">IF($C63-J$1&lt;År1,0,I62*(1-VLOOKUP($A63,[1]Hugst!$R$5:$W$9,MATCH(ROUNDUP((J$1)/10,0)*10,[1]Hugst!$R$4:$W$4,0))))</f>
        <v>88.988780274930321</v>
      </c>
      <c r="K63">
        <f ca="1">IF($C63-K$1&lt;År1,0,J62*(1-VLOOKUP($A63,[1]Hugst!$R$5:$W$9,MATCH(ROUNDUP((K$1)/10,0)*10,[1]Hugst!$R$4:$W$4,0))))</f>
        <v>89.12921372351974</v>
      </c>
      <c r="L63">
        <f ca="1">IF($C63-L$1&lt;År1,0,K62*(1-VLOOKUP($A63,[1]Hugst!$R$5:$W$9,MATCH(ROUNDUP((L$1)/10,0)*10,[1]Hugst!$R$4:$W$4,0))))</f>
        <v>89.27035286783115</v>
      </c>
      <c r="M63">
        <f ca="1">IF($C63-M$1&lt;År1,0,L62*(1-VLOOKUP($A63,[1]Hugst!$R$5:$W$9,MATCH(ROUNDUP((M$1)/10,0)*10,[1]Hugst!$R$4:$W$4,0))))</f>
        <v>89.41220125407466</v>
      </c>
      <c r="N63">
        <f ca="1">IF($C63-N$1&lt;År1,0,M62*(1-VLOOKUP($A63,[1]Hugst!$R$5:$W$9,MATCH(ROUNDUP((N$1)/10,0)*10,[1]Hugst!$R$4:$W$4,0))))</f>
        <v>89.554762446278403</v>
      </c>
      <c r="O63">
        <f ca="1">IF($C63-O$1&lt;År1,0,N62*(1-VLOOKUP($A63,[1]Hugst!$R$5:$W$9,MATCH(ROUNDUP((O$1)/10,0)*10,[1]Hugst!$R$4:$W$4,0))))</f>
        <v>89.698040026383126</v>
      </c>
      <c r="P63">
        <f ca="1">IF($C63-P$1&lt;År1,0,O62*(1-VLOOKUP($A63,[1]Hugst!$R$5:$W$9,MATCH(ROUNDUP((P$1)/10,0)*10,[1]Hugst!$R$4:$W$4,0))))</f>
        <v>89.842037594326996</v>
      </c>
      <c r="Q63">
        <f ca="1">IF($C63-Q$1&lt;År1,0,P62*(1-VLOOKUP($A63,[1]Hugst!$R$5:$W$9,MATCH(ROUNDUP((Q$1)/10,0)*10,[1]Hugst!$R$4:$W$4,0))))</f>
        <v>89.98675876813985</v>
      </c>
      <c r="R63">
        <f ca="1">IF($C63-R$1&lt;År1,0,Q62*(1-VLOOKUP($A63,[1]Hugst!$R$5:$W$9,MATCH(ROUNDUP((R$1)/10,0)*10,[1]Hugst!$R$4:$W$4,0))))</f>
        <v>90.132207184033689</v>
      </c>
      <c r="S63">
        <f ca="1">IF($C63-S$1&lt;År1,0,R62*(1-VLOOKUP($A63,[1]Hugst!$R$5:$W$9,MATCH(ROUNDUP((S$1)/10,0)*10,[1]Hugst!$R$4:$W$4,0))))</f>
        <v>90.278386496488167</v>
      </c>
      <c r="T63">
        <f ca="1">IF($C63-T$1&lt;År1,0,S62*(1-VLOOKUP($A63,[1]Hugst!$R$5:$W$9,MATCH(ROUNDUP((T$1)/10,0)*10,[1]Hugst!$R$4:$W$4,0))))</f>
        <v>90.425300378352233</v>
      </c>
      <c r="U63">
        <f ca="1">IF($C63-U$1&lt;År1,0,T62*(1-VLOOKUP($A63,[1]Hugst!$R$5:$W$9,MATCH(ROUNDUP((U$1)/10,0)*10,[1]Hugst!$R$4:$W$4,0))))</f>
        <v>90.572952520930073</v>
      </c>
      <c r="V63">
        <f ca="1">IF($C63-V$1&lt;År1,0,U62*(1-VLOOKUP($A63,[1]Hugst!$R$5:$W$9,MATCH(ROUNDUP((V$1)/10,0)*10,[1]Hugst!$R$4:$W$4,0))))</f>
        <v>90.721346634072461</v>
      </c>
      <c r="W63">
        <f ca="1">IF($C63-W$1&lt;År1,0,V62*(1-VLOOKUP($A63,[1]Hugst!$R$5:$W$9,MATCH(ROUNDUP((W$1)/10,0)*10,[1]Hugst!$R$4:$W$4,0))))</f>
        <v>90.870486446276232</v>
      </c>
      <c r="X63">
        <f ca="1">IF($C63-X$1&lt;År1,0,W62*(1-VLOOKUP($A63,[1]Hugst!$R$5:$W$9,MATCH(ROUNDUP((X$1)/10,0)*10,[1]Hugst!$R$4:$W$4,0))))</f>
        <v>91.02037570477313</v>
      </c>
      <c r="Y63">
        <f ca="1">IF($C63-Y$1&lt;År1,0,X62*(1-VLOOKUP($A63,[1]Hugst!$R$5:$W$9,MATCH(ROUNDUP((Y$1)/10,0)*10,[1]Hugst!$R$4:$W$4,0))))</f>
        <v>91.171018175622692</v>
      </c>
      <c r="Z63">
        <f ca="1">IF($C63-Z$1&lt;År1,0,Y62*(1-VLOOKUP($A63,[1]Hugst!$R$5:$W$9,MATCH(ROUNDUP((Z$1)/10,0)*10,[1]Hugst!$R$4:$W$4,0))))</f>
        <v>69.125136187275132</v>
      </c>
      <c r="AA63">
        <f ca="1">IF($C63-AA$1&lt;År1,0,Z62*(1-VLOOKUP($A63,[1]Hugst!$R$5:$W$9,MATCH(ROUNDUP((AA$1)/10,0)*10,[1]Hugst!$R$4:$W$4,0))))</f>
        <v>69.277296456813701</v>
      </c>
      <c r="AB63">
        <f ca="1">IF($C63-AB$1&lt;År1,0,AA62*(1-VLOOKUP($A63,[1]Hugst!$R$5:$W$9,MATCH(ROUNDUP((AB$1)/10,0)*10,[1]Hugst!$R$4:$W$4,0))))</f>
        <v>69.430221350823388</v>
      </c>
      <c r="AC63">
        <f ca="1">IF($C63-AC$1&lt;År1,0,AB62*(1-VLOOKUP($A63,[1]Hugst!$R$5:$W$9,MATCH(ROUNDUP((AC$1)/10,0)*10,[1]Hugst!$R$4:$W$4,0))))</f>
        <v>69.583914711636112</v>
      </c>
      <c r="AD63">
        <f ca="1">IF($C63-AD$1&lt;År1,0,AC62*(1-VLOOKUP($A63,[1]Hugst!$R$5:$W$9,MATCH(ROUNDUP((AD$1)/10,0)*10,[1]Hugst!$R$4:$W$4,0))))</f>
        <v>69.73838040089737</v>
      </c>
      <c r="AE63">
        <f ca="1">IF($C63-AE$1&lt;År1,0,AD62*(1-VLOOKUP($A63,[1]Hugst!$R$5:$W$9,MATCH(ROUNDUP((AE$1)/10,0)*10,[1]Hugst!$R$4:$W$4,0))))</f>
        <v>69.893622299649508</v>
      </c>
      <c r="AF63">
        <f ca="1">IF($C63-AF$1&lt;År1,0,AE62*(1-VLOOKUP($A63,[1]Hugst!$R$5:$W$9,MATCH(ROUNDUP((AF$1)/10,0)*10,[1]Hugst!$R$4:$W$4,0))))</f>
        <v>70.049644308447569</v>
      </c>
      <c r="AG63">
        <f ca="1">IF($C63-AG$1&lt;År1,0,AF62*(1-VLOOKUP($A63,[1]Hugst!$R$5:$W$9,MATCH(ROUNDUP((AG$1)/10,0)*10,[1]Hugst!$R$4:$W$4,0))))</f>
        <v>70.206450347439187</v>
      </c>
      <c r="AH63">
        <f ca="1">IF($C63-AH$1&lt;År1,0,AG62*(1-VLOOKUP($A63,[1]Hugst!$R$5:$W$9,MATCH(ROUNDUP((AH$1)/10,0)*10,[1]Hugst!$R$4:$W$4,0))))</f>
        <v>70.364044356477635</v>
      </c>
      <c r="AI63">
        <f ca="1">IF($C63-AI$1&lt;År1,0,AH62*(1-VLOOKUP($A63,[1]Hugst!$R$5:$W$9,MATCH(ROUNDUP((AI$1)/10,0)*10,[1]Hugst!$R$4:$W$4,0))))</f>
        <v>70.522430295208849</v>
      </c>
      <c r="AJ63">
        <f ca="1">IF($C63-AJ$1&lt;År1,0,AI62*(1-VLOOKUP($A63,[1]Hugst!$R$5:$W$9,MATCH(ROUNDUP((AJ$1)/10,0)*10,[1]Hugst!$R$4:$W$4,0))))</f>
        <v>70.448513209516364</v>
      </c>
      <c r="AL63">
        <f ca="1">SUM(F63:AJ63)</f>
        <v>2564.5117507552504</v>
      </c>
    </row>
    <row r="64" spans="1:38" x14ac:dyDescent="0.55000000000000004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3280.8031422265312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55000000000000004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3275.9086663582484</v>
      </c>
      <c r="G65">
        <f ca="1">IF($C65-G$1&lt;År1,0,F64*(1-VLOOKUP($A65,[1]Hugst!$R$5:$W$9,MATCH(ROUNDUP((G$1)/10,0)*10,[1]Hugst!$R$4:$W$4,0))))</f>
        <v>3280.8031422265312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55000000000000004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3271.0386628693586</v>
      </c>
      <c r="G66">
        <f ca="1">IF($C66-G$1&lt;År1,0,F65*(1-VLOOKUP($A66,[1]Hugst!$R$5:$W$9,MATCH(ROUNDUP((G$1)/10,0)*10,[1]Hugst!$R$4:$W$4,0))))</f>
        <v>3275.9086663582484</v>
      </c>
      <c r="H66">
        <f ca="1">IF($C66-H$1&lt;År1,0,G65*(1-VLOOKUP($A66,[1]Hugst!$R$5:$W$9,MATCH(ROUNDUP((H$1)/10,0)*10,[1]Hugst!$R$4:$W$4,0))))</f>
        <v>3280.8031422265312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55000000000000004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3266.1930093978795</v>
      </c>
      <c r="G67">
        <f ca="1">IF($C67-G$1&lt;År1,0,F66*(1-VLOOKUP($A67,[1]Hugst!$R$5:$W$9,MATCH(ROUNDUP((G$1)/10,0)*10,[1]Hugst!$R$4:$W$4,0))))</f>
        <v>3271.0386628693586</v>
      </c>
      <c r="H67">
        <f ca="1">IF($C67-H$1&lt;År1,0,G66*(1-VLOOKUP($A67,[1]Hugst!$R$5:$W$9,MATCH(ROUNDUP((H$1)/10,0)*10,[1]Hugst!$R$4:$W$4,0))))</f>
        <v>3275.9086663582484</v>
      </c>
      <c r="I67">
        <f ca="1">IF($C67-I$1&lt;År1,0,H66*(1-VLOOKUP($A67,[1]Hugst!$R$5:$W$9,MATCH(ROUNDUP((I$1)/10,0)*10,[1]Hugst!$R$4:$W$4,0))))</f>
        <v>3280.8031422265312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55000000000000004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3261.3715841937615</v>
      </c>
      <c r="G68">
        <f ca="1">IF($C68-G$1&lt;År1,0,F67*(1-VLOOKUP($A68,[1]Hugst!$R$5:$W$9,MATCH(ROUNDUP((G$1)/10,0)*10,[1]Hugst!$R$4:$W$4,0))))</f>
        <v>3266.1930093978795</v>
      </c>
      <c r="H68">
        <f ca="1">IF($C68-H$1&lt;År1,0,G67*(1-VLOOKUP($A68,[1]Hugst!$R$5:$W$9,MATCH(ROUNDUP((H$1)/10,0)*10,[1]Hugst!$R$4:$W$4,0))))</f>
        <v>3271.0386628693586</v>
      </c>
      <c r="I68">
        <f ca="1">IF($C68-I$1&lt;År1,0,H67*(1-VLOOKUP($A68,[1]Hugst!$R$5:$W$9,MATCH(ROUNDUP((I$1)/10,0)*10,[1]Hugst!$R$4:$W$4,0))))</f>
        <v>3275.9086663582484</v>
      </c>
      <c r="J68">
        <f ca="1">IF($C68-J$1&lt;År1,0,I67*(1-VLOOKUP($A68,[1]Hugst!$R$5:$W$9,MATCH(ROUNDUP((J$1)/10,0)*10,[1]Hugst!$R$4:$W$4,0))))</f>
        <v>3280.8031422265312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55000000000000004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3256.574266115661</v>
      </c>
      <c r="G69">
        <f ca="1">IF($C69-G$1&lt;År1,0,F68*(1-VLOOKUP($A69,[1]Hugst!$R$5:$W$9,MATCH(ROUNDUP((G$1)/10,0)*10,[1]Hugst!$R$4:$W$4,0))))</f>
        <v>3261.3715841937615</v>
      </c>
      <c r="H69">
        <f ca="1">IF($C69-H$1&lt;År1,0,G68*(1-VLOOKUP($A69,[1]Hugst!$R$5:$W$9,MATCH(ROUNDUP((H$1)/10,0)*10,[1]Hugst!$R$4:$W$4,0))))</f>
        <v>3266.1930093978795</v>
      </c>
      <c r="I69">
        <f ca="1">IF($C69-I$1&lt;År1,0,H68*(1-VLOOKUP($A69,[1]Hugst!$R$5:$W$9,MATCH(ROUNDUP((I$1)/10,0)*10,[1]Hugst!$R$4:$W$4,0))))</f>
        <v>3271.0386628693586</v>
      </c>
      <c r="J69">
        <f ca="1">IF($C69-J$1&lt;År1,0,I68*(1-VLOOKUP($A69,[1]Hugst!$R$5:$W$9,MATCH(ROUNDUP((J$1)/10,0)*10,[1]Hugst!$R$4:$W$4,0))))</f>
        <v>3275.9086663582484</v>
      </c>
      <c r="K69">
        <f ca="1">IF($C69-K$1&lt;År1,0,J68*(1-VLOOKUP($A69,[1]Hugst!$R$5:$W$9,MATCH(ROUNDUP((K$1)/10,0)*10,[1]Hugst!$R$4:$W$4,0))))</f>
        <v>3280.8031422265312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55000000000000004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3251.8009346279605</v>
      </c>
      <c r="G70">
        <f ca="1">IF($C70-G$1&lt;År1,0,F69*(1-VLOOKUP($A70,[1]Hugst!$R$5:$W$9,MATCH(ROUNDUP((G$1)/10,0)*10,[1]Hugst!$R$4:$W$4,0))))</f>
        <v>3256.574266115661</v>
      </c>
      <c r="H70">
        <f ca="1">IF($C70-H$1&lt;År1,0,G69*(1-VLOOKUP($A70,[1]Hugst!$R$5:$W$9,MATCH(ROUNDUP((H$1)/10,0)*10,[1]Hugst!$R$4:$W$4,0))))</f>
        <v>3261.3715841937615</v>
      </c>
      <c r="I70">
        <f ca="1">IF($C70-I$1&lt;År1,0,H69*(1-VLOOKUP($A70,[1]Hugst!$R$5:$W$9,MATCH(ROUNDUP((I$1)/10,0)*10,[1]Hugst!$R$4:$W$4,0))))</f>
        <v>3266.1930093978795</v>
      </c>
      <c r="J70">
        <f ca="1">IF($C70-J$1&lt;År1,0,I69*(1-VLOOKUP($A70,[1]Hugst!$R$5:$W$9,MATCH(ROUNDUP((J$1)/10,0)*10,[1]Hugst!$R$4:$W$4,0))))</f>
        <v>3271.0386628693586</v>
      </c>
      <c r="K70">
        <f ca="1">IF($C70-K$1&lt;År1,0,J69*(1-VLOOKUP($A70,[1]Hugst!$R$5:$W$9,MATCH(ROUNDUP((K$1)/10,0)*10,[1]Hugst!$R$4:$W$4,0))))</f>
        <v>3275.9086663582484</v>
      </c>
      <c r="L70">
        <f ca="1">IF($C70-L$1&lt;År1,0,K69*(1-VLOOKUP($A70,[1]Hugst!$R$5:$W$9,MATCH(ROUNDUP((L$1)/10,0)*10,[1]Hugst!$R$4:$W$4,0))))</f>
        <v>3280.8031422265312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55000000000000004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3247.0514697977023</v>
      </c>
      <c r="G71">
        <f ca="1">IF($C71-G$1&lt;År1,0,F70*(1-VLOOKUP($A71,[1]Hugst!$R$5:$W$9,MATCH(ROUNDUP((G$1)/10,0)*10,[1]Hugst!$R$4:$W$4,0))))</f>
        <v>3251.8009346279605</v>
      </c>
      <c r="H71">
        <f ca="1">IF($C71-H$1&lt;År1,0,G70*(1-VLOOKUP($A71,[1]Hugst!$R$5:$W$9,MATCH(ROUNDUP((H$1)/10,0)*10,[1]Hugst!$R$4:$W$4,0))))</f>
        <v>3256.574266115661</v>
      </c>
      <c r="I71">
        <f ca="1">IF($C71-I$1&lt;År1,0,H70*(1-VLOOKUP($A71,[1]Hugst!$R$5:$W$9,MATCH(ROUNDUP((I$1)/10,0)*10,[1]Hugst!$R$4:$W$4,0))))</f>
        <v>3261.3715841937615</v>
      </c>
      <c r="J71">
        <f ca="1">IF($C71-J$1&lt;År1,0,I70*(1-VLOOKUP($A71,[1]Hugst!$R$5:$W$9,MATCH(ROUNDUP((J$1)/10,0)*10,[1]Hugst!$R$4:$W$4,0))))</f>
        <v>3266.1930093978795</v>
      </c>
      <c r="K71">
        <f ca="1">IF($C71-K$1&lt;År1,0,J70*(1-VLOOKUP($A71,[1]Hugst!$R$5:$W$9,MATCH(ROUNDUP((K$1)/10,0)*10,[1]Hugst!$R$4:$W$4,0))))</f>
        <v>3271.0386628693586</v>
      </c>
      <c r="L71">
        <f ca="1">IF($C71-L$1&lt;År1,0,K70*(1-VLOOKUP($A71,[1]Hugst!$R$5:$W$9,MATCH(ROUNDUP((L$1)/10,0)*10,[1]Hugst!$R$4:$W$4,0))))</f>
        <v>3275.9086663582484</v>
      </c>
      <c r="M71">
        <f ca="1">IF($C71-M$1&lt;År1,0,L70*(1-VLOOKUP($A71,[1]Hugst!$R$5:$W$9,MATCH(ROUNDUP((M$1)/10,0)*10,[1]Hugst!$R$4:$W$4,0))))</f>
        <v>3280.8031422265312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55000000000000004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3242.3257522916001</v>
      </c>
      <c r="G72">
        <f ca="1">IF($C72-G$1&lt;År1,0,F71*(1-VLOOKUP($A72,[1]Hugst!$R$5:$W$9,MATCH(ROUNDUP((G$1)/10,0)*10,[1]Hugst!$R$4:$W$4,0))))</f>
        <v>3247.0514697977023</v>
      </c>
      <c r="H72">
        <f ca="1">IF($C72-H$1&lt;År1,0,G71*(1-VLOOKUP($A72,[1]Hugst!$R$5:$W$9,MATCH(ROUNDUP((H$1)/10,0)*10,[1]Hugst!$R$4:$W$4,0))))</f>
        <v>3251.8009346279605</v>
      </c>
      <c r="I72">
        <f ca="1">IF($C72-I$1&lt;År1,0,H71*(1-VLOOKUP($A72,[1]Hugst!$R$5:$W$9,MATCH(ROUNDUP((I$1)/10,0)*10,[1]Hugst!$R$4:$W$4,0))))</f>
        <v>3256.574266115661</v>
      </c>
      <c r="J72">
        <f ca="1">IF($C72-J$1&lt;År1,0,I71*(1-VLOOKUP($A72,[1]Hugst!$R$5:$W$9,MATCH(ROUNDUP((J$1)/10,0)*10,[1]Hugst!$R$4:$W$4,0))))</f>
        <v>3261.3715841937615</v>
      </c>
      <c r="K72">
        <f ca="1">IF($C72-K$1&lt;År1,0,J71*(1-VLOOKUP($A72,[1]Hugst!$R$5:$W$9,MATCH(ROUNDUP((K$1)/10,0)*10,[1]Hugst!$R$4:$W$4,0))))</f>
        <v>3266.1930093978795</v>
      </c>
      <c r="L72">
        <f ca="1">IF($C72-L$1&lt;År1,0,K71*(1-VLOOKUP($A72,[1]Hugst!$R$5:$W$9,MATCH(ROUNDUP((L$1)/10,0)*10,[1]Hugst!$R$4:$W$4,0))))</f>
        <v>3271.0386628693586</v>
      </c>
      <c r="M72">
        <f ca="1">IF($C72-M$1&lt;År1,0,L71*(1-VLOOKUP($A72,[1]Hugst!$R$5:$W$9,MATCH(ROUNDUP((M$1)/10,0)*10,[1]Hugst!$R$4:$W$4,0))))</f>
        <v>3275.9086663582484</v>
      </c>
      <c r="N72">
        <f ca="1">IF($C72-N$1&lt;År1,0,M71*(1-VLOOKUP($A72,[1]Hugst!$R$5:$W$9,MATCH(ROUNDUP((N$1)/10,0)*10,[1]Hugst!$R$4:$W$4,0))))</f>
        <v>3280.8031422265312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55000000000000004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3237.6236633729714</v>
      </c>
      <c r="G73">
        <f ca="1">IF($C73-G$1&lt;År1,0,F72*(1-VLOOKUP($A73,[1]Hugst!$R$5:$W$9,MATCH(ROUNDUP((G$1)/10,0)*10,[1]Hugst!$R$4:$W$4,0))))</f>
        <v>3242.3257522916001</v>
      </c>
      <c r="H73">
        <f ca="1">IF($C73-H$1&lt;År1,0,G72*(1-VLOOKUP($A73,[1]Hugst!$R$5:$W$9,MATCH(ROUNDUP((H$1)/10,0)*10,[1]Hugst!$R$4:$W$4,0))))</f>
        <v>3247.0514697977023</v>
      </c>
      <c r="I73">
        <f ca="1">IF($C73-I$1&lt;År1,0,H72*(1-VLOOKUP($A73,[1]Hugst!$R$5:$W$9,MATCH(ROUNDUP((I$1)/10,0)*10,[1]Hugst!$R$4:$W$4,0))))</f>
        <v>3251.8009346279605</v>
      </c>
      <c r="J73">
        <f ca="1">IF($C73-J$1&lt;År1,0,I72*(1-VLOOKUP($A73,[1]Hugst!$R$5:$W$9,MATCH(ROUNDUP((J$1)/10,0)*10,[1]Hugst!$R$4:$W$4,0))))</f>
        <v>3256.574266115661</v>
      </c>
      <c r="K73">
        <f ca="1">IF($C73-K$1&lt;År1,0,J72*(1-VLOOKUP($A73,[1]Hugst!$R$5:$W$9,MATCH(ROUNDUP((K$1)/10,0)*10,[1]Hugst!$R$4:$W$4,0))))</f>
        <v>3261.3715841937615</v>
      </c>
      <c r="L73">
        <f ca="1">IF($C73-L$1&lt;År1,0,K72*(1-VLOOKUP($A73,[1]Hugst!$R$5:$W$9,MATCH(ROUNDUP((L$1)/10,0)*10,[1]Hugst!$R$4:$W$4,0))))</f>
        <v>3266.1930093978795</v>
      </c>
      <c r="M73">
        <f ca="1">IF($C73-M$1&lt;År1,0,L72*(1-VLOOKUP($A73,[1]Hugst!$R$5:$W$9,MATCH(ROUNDUP((M$1)/10,0)*10,[1]Hugst!$R$4:$W$4,0))))</f>
        <v>3271.0386628693586</v>
      </c>
      <c r="N73">
        <f ca="1">IF($C73-N$1&lt;År1,0,M72*(1-VLOOKUP($A73,[1]Hugst!$R$5:$W$9,MATCH(ROUNDUP((N$1)/10,0)*10,[1]Hugst!$R$4:$W$4,0))))</f>
        <v>3275.9086663582484</v>
      </c>
      <c r="O73">
        <f ca="1">IF($C73-O$1&lt;År1,0,N72*(1-VLOOKUP($A73,[1]Hugst!$R$5:$W$9,MATCH(ROUNDUP((O$1)/10,0)*10,[1]Hugst!$R$4:$W$4,0))))</f>
        <v>3280.8031422265312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55000000000000004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5.0046149627196428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3237.9496998617469</v>
      </c>
      <c r="G74">
        <f ca="1">IF($C74-G$1&lt;År1,0,F73*(1-VLOOKUP($A74,[1]Hugst!$R$5:$W$9,MATCH(ROUNDUP((G$1)/10,0)*10,[1]Hugst!$R$4:$W$4,0))))</f>
        <v>3237.6236633729714</v>
      </c>
      <c r="H74">
        <f ca="1">IF($C74-H$1&lt;År1,0,G73*(1-VLOOKUP($A74,[1]Hugst!$R$5:$W$9,MATCH(ROUNDUP((H$1)/10,0)*10,[1]Hugst!$R$4:$W$4,0))))</f>
        <v>3242.3257522916001</v>
      </c>
      <c r="I74">
        <f ca="1">IF($C74-I$1&lt;År1,0,H73*(1-VLOOKUP($A74,[1]Hugst!$R$5:$W$9,MATCH(ROUNDUP((I$1)/10,0)*10,[1]Hugst!$R$4:$W$4,0))))</f>
        <v>3247.0514697977023</v>
      </c>
      <c r="J74">
        <f ca="1">IF($C74-J$1&lt;År1,0,I73*(1-VLOOKUP($A74,[1]Hugst!$R$5:$W$9,MATCH(ROUNDUP((J$1)/10,0)*10,[1]Hugst!$R$4:$W$4,0))))</f>
        <v>3251.8009346279605</v>
      </c>
      <c r="K74">
        <f ca="1">IF($C74-K$1&lt;År1,0,J73*(1-VLOOKUP($A74,[1]Hugst!$R$5:$W$9,MATCH(ROUNDUP((K$1)/10,0)*10,[1]Hugst!$R$4:$W$4,0))))</f>
        <v>3256.574266115661</v>
      </c>
      <c r="L74">
        <f ca="1">IF($C74-L$1&lt;År1,0,K73*(1-VLOOKUP($A74,[1]Hugst!$R$5:$W$9,MATCH(ROUNDUP((L$1)/10,0)*10,[1]Hugst!$R$4:$W$4,0))))</f>
        <v>3261.3715841937615</v>
      </c>
      <c r="M74">
        <f ca="1">IF($C74-M$1&lt;År1,0,L73*(1-VLOOKUP($A74,[1]Hugst!$R$5:$W$9,MATCH(ROUNDUP((M$1)/10,0)*10,[1]Hugst!$R$4:$W$4,0))))</f>
        <v>3266.1930093978795</v>
      </c>
      <c r="N74">
        <f ca="1">IF($C74-N$1&lt;År1,0,M73*(1-VLOOKUP($A74,[1]Hugst!$R$5:$W$9,MATCH(ROUNDUP((N$1)/10,0)*10,[1]Hugst!$R$4:$W$4,0))))</f>
        <v>3271.0386628693586</v>
      </c>
      <c r="O74">
        <f ca="1">IF($C74-O$1&lt;År1,0,N73*(1-VLOOKUP($A74,[1]Hugst!$R$5:$W$9,MATCH(ROUNDUP((O$1)/10,0)*10,[1]Hugst!$R$4:$W$4,0))))</f>
        <v>3275.9086663582484</v>
      </c>
      <c r="P74">
        <f ca="1">IF($C74-P$1&lt;År1,0,O73*(1-VLOOKUP($A74,[1]Hugst!$R$5:$W$9,MATCH(ROUNDUP((P$1)/10,0)*10,[1]Hugst!$R$4:$W$4,0))))</f>
        <v>3275.7985272638125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55000000000000004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9.9941296173929004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4553.6600109773863</v>
      </c>
      <c r="G75">
        <f ca="1">IF($C75-G$1&lt;År1,0,F74*(1-VLOOKUP($A75,[1]Hugst!$R$5:$W$9,MATCH(ROUNDUP((G$1)/10,0)*10,[1]Hugst!$R$4:$W$4,0))))</f>
        <v>3237.9496998617469</v>
      </c>
      <c r="H75">
        <f ca="1">IF($C75-H$1&lt;År1,0,G74*(1-VLOOKUP($A75,[1]Hugst!$R$5:$W$9,MATCH(ROUNDUP((H$1)/10,0)*10,[1]Hugst!$R$4:$W$4,0))))</f>
        <v>3237.6236633729714</v>
      </c>
      <c r="I75">
        <f ca="1">IF($C75-I$1&lt;År1,0,H74*(1-VLOOKUP($A75,[1]Hugst!$R$5:$W$9,MATCH(ROUNDUP((I$1)/10,0)*10,[1]Hugst!$R$4:$W$4,0))))</f>
        <v>3242.3257522916001</v>
      </c>
      <c r="J75">
        <f ca="1">IF($C75-J$1&lt;År1,0,I74*(1-VLOOKUP($A75,[1]Hugst!$R$5:$W$9,MATCH(ROUNDUP((J$1)/10,0)*10,[1]Hugst!$R$4:$W$4,0))))</f>
        <v>3247.0514697977023</v>
      </c>
      <c r="K75">
        <f ca="1">IF($C75-K$1&lt;År1,0,J74*(1-VLOOKUP($A75,[1]Hugst!$R$5:$W$9,MATCH(ROUNDUP((K$1)/10,0)*10,[1]Hugst!$R$4:$W$4,0))))</f>
        <v>3251.8009346279605</v>
      </c>
      <c r="L75">
        <f ca="1">IF($C75-L$1&lt;År1,0,K74*(1-VLOOKUP($A75,[1]Hugst!$R$5:$W$9,MATCH(ROUNDUP((L$1)/10,0)*10,[1]Hugst!$R$4:$W$4,0))))</f>
        <v>3256.574266115661</v>
      </c>
      <c r="M75">
        <f ca="1">IF($C75-M$1&lt;År1,0,L74*(1-VLOOKUP($A75,[1]Hugst!$R$5:$W$9,MATCH(ROUNDUP((M$1)/10,0)*10,[1]Hugst!$R$4:$W$4,0))))</f>
        <v>3261.3715841937615</v>
      </c>
      <c r="N75">
        <f ca="1">IF($C75-N$1&lt;År1,0,M74*(1-VLOOKUP($A75,[1]Hugst!$R$5:$W$9,MATCH(ROUNDUP((N$1)/10,0)*10,[1]Hugst!$R$4:$W$4,0))))</f>
        <v>3266.1930093978795</v>
      </c>
      <c r="O75">
        <f ca="1">IF($C75-O$1&lt;År1,0,N74*(1-VLOOKUP($A75,[1]Hugst!$R$5:$W$9,MATCH(ROUNDUP((O$1)/10,0)*10,[1]Hugst!$R$4:$W$4,0))))</f>
        <v>3271.0386628693586</v>
      </c>
      <c r="P75">
        <f ca="1">IF($C75-P$1&lt;År1,0,O74*(1-VLOOKUP($A75,[1]Hugst!$R$5:$W$9,MATCH(ROUNDUP((P$1)/10,0)*10,[1]Hugst!$R$4:$W$4,0))))</f>
        <v>3270.9115175451593</v>
      </c>
      <c r="Q75">
        <f ca="1">IF($C75-Q$1&lt;År1,0,P74*(1-VLOOKUP($A75,[1]Hugst!$R$5:$W$9,MATCH(ROUNDUP((Q$1)/10,0)*10,[1]Hugst!$R$4:$W$4,0))))</f>
        <v>3270.8015464595119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55000000000000004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14.968604329122172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4554.0025760354492</v>
      </c>
      <c r="G76">
        <f ca="1">IF($C76-G$1&lt;År1,0,F75*(1-VLOOKUP($A76,[1]Hugst!$R$5:$W$9,MATCH(ROUNDUP((G$1)/10,0)*10,[1]Hugst!$R$4:$W$4,0))))</f>
        <v>4553.6600109773863</v>
      </c>
      <c r="H76">
        <f ca="1">IF($C76-H$1&lt;År1,0,G75*(1-VLOOKUP($A76,[1]Hugst!$R$5:$W$9,MATCH(ROUNDUP((H$1)/10,0)*10,[1]Hugst!$R$4:$W$4,0))))</f>
        <v>3237.9496998617469</v>
      </c>
      <c r="I76">
        <f ca="1">IF($C76-I$1&lt;År1,0,H75*(1-VLOOKUP($A76,[1]Hugst!$R$5:$W$9,MATCH(ROUNDUP((I$1)/10,0)*10,[1]Hugst!$R$4:$W$4,0))))</f>
        <v>3237.6236633729714</v>
      </c>
      <c r="J76">
        <f ca="1">IF($C76-J$1&lt;År1,0,I75*(1-VLOOKUP($A76,[1]Hugst!$R$5:$W$9,MATCH(ROUNDUP((J$1)/10,0)*10,[1]Hugst!$R$4:$W$4,0))))</f>
        <v>3242.3257522916001</v>
      </c>
      <c r="K76">
        <f ca="1">IF($C76-K$1&lt;År1,0,J75*(1-VLOOKUP($A76,[1]Hugst!$R$5:$W$9,MATCH(ROUNDUP((K$1)/10,0)*10,[1]Hugst!$R$4:$W$4,0))))</f>
        <v>3247.0514697977023</v>
      </c>
      <c r="L76">
        <f ca="1">IF($C76-L$1&lt;År1,0,K75*(1-VLOOKUP($A76,[1]Hugst!$R$5:$W$9,MATCH(ROUNDUP((L$1)/10,0)*10,[1]Hugst!$R$4:$W$4,0))))</f>
        <v>3251.8009346279605</v>
      </c>
      <c r="M76">
        <f ca="1">IF($C76-M$1&lt;År1,0,L75*(1-VLOOKUP($A76,[1]Hugst!$R$5:$W$9,MATCH(ROUNDUP((M$1)/10,0)*10,[1]Hugst!$R$4:$W$4,0))))</f>
        <v>3256.574266115661</v>
      </c>
      <c r="N76">
        <f ca="1">IF($C76-N$1&lt;År1,0,M75*(1-VLOOKUP($A76,[1]Hugst!$R$5:$W$9,MATCH(ROUNDUP((N$1)/10,0)*10,[1]Hugst!$R$4:$W$4,0))))</f>
        <v>3261.3715841937615</v>
      </c>
      <c r="O76">
        <f ca="1">IF($C76-O$1&lt;År1,0,N75*(1-VLOOKUP($A76,[1]Hugst!$R$5:$W$9,MATCH(ROUNDUP((O$1)/10,0)*10,[1]Hugst!$R$4:$W$4,0))))</f>
        <v>3266.1930093978795</v>
      </c>
      <c r="P76">
        <f ca="1">IF($C76-P$1&lt;År1,0,O75*(1-VLOOKUP($A76,[1]Hugst!$R$5:$W$9,MATCH(ROUNDUP((P$1)/10,0)*10,[1]Hugst!$R$4:$W$4,0))))</f>
        <v>3266.0489428751512</v>
      </c>
      <c r="Q76">
        <f ca="1">IF($C76-Q$1&lt;År1,0,P75*(1-VLOOKUP($A76,[1]Hugst!$R$5:$W$9,MATCH(ROUNDUP((Q$1)/10,0)*10,[1]Hugst!$R$4:$W$4,0))))</f>
        <v>3265.9219915014464</v>
      </c>
      <c r="R76">
        <f ca="1">IF($C76-R$1&lt;År1,0,Q75*(1-VLOOKUP($A76,[1]Hugst!$R$5:$W$9,MATCH(ROUNDUP((R$1)/10,0)*10,[1]Hugst!$R$4:$W$4,0))))</f>
        <v>3265.8121881683023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55000000000000004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19.928099184326129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4554.3533207851833</v>
      </c>
      <c r="G77">
        <f ca="1">IF($C77-G$1&lt;År1,0,F76*(1-VLOOKUP($A77,[1]Hugst!$R$5:$W$9,MATCH(ROUNDUP((G$1)/10,0)*10,[1]Hugst!$R$4:$W$4,0))))</f>
        <v>4554.0025760354492</v>
      </c>
      <c r="H77">
        <f ca="1">IF($C77-H$1&lt;År1,0,G76*(1-VLOOKUP($A77,[1]Hugst!$R$5:$W$9,MATCH(ROUNDUP((H$1)/10,0)*10,[1]Hugst!$R$4:$W$4,0))))</f>
        <v>4553.6600109773863</v>
      </c>
      <c r="I77">
        <f ca="1">IF($C77-I$1&lt;År1,0,H76*(1-VLOOKUP($A77,[1]Hugst!$R$5:$W$9,MATCH(ROUNDUP((I$1)/10,0)*10,[1]Hugst!$R$4:$W$4,0))))</f>
        <v>3237.9496998617469</v>
      </c>
      <c r="J77">
        <f ca="1">IF($C77-J$1&lt;År1,0,I76*(1-VLOOKUP($A77,[1]Hugst!$R$5:$W$9,MATCH(ROUNDUP((J$1)/10,0)*10,[1]Hugst!$R$4:$W$4,0))))</f>
        <v>3237.6236633729714</v>
      </c>
      <c r="K77">
        <f ca="1">IF($C77-K$1&lt;År1,0,J76*(1-VLOOKUP($A77,[1]Hugst!$R$5:$W$9,MATCH(ROUNDUP((K$1)/10,0)*10,[1]Hugst!$R$4:$W$4,0))))</f>
        <v>3242.3257522916001</v>
      </c>
      <c r="L77">
        <f ca="1">IF($C77-L$1&lt;År1,0,K76*(1-VLOOKUP($A77,[1]Hugst!$R$5:$W$9,MATCH(ROUNDUP((L$1)/10,0)*10,[1]Hugst!$R$4:$W$4,0))))</f>
        <v>3247.0514697977023</v>
      </c>
      <c r="M77">
        <f ca="1">IF($C77-M$1&lt;År1,0,L76*(1-VLOOKUP($A77,[1]Hugst!$R$5:$W$9,MATCH(ROUNDUP((M$1)/10,0)*10,[1]Hugst!$R$4:$W$4,0))))</f>
        <v>3251.8009346279605</v>
      </c>
      <c r="N77">
        <f ca="1">IF($C77-N$1&lt;År1,0,M76*(1-VLOOKUP($A77,[1]Hugst!$R$5:$W$9,MATCH(ROUNDUP((N$1)/10,0)*10,[1]Hugst!$R$4:$W$4,0))))</f>
        <v>3256.574266115661</v>
      </c>
      <c r="O77">
        <f ca="1">IF($C77-O$1&lt;År1,0,N76*(1-VLOOKUP($A77,[1]Hugst!$R$5:$W$9,MATCH(ROUNDUP((O$1)/10,0)*10,[1]Hugst!$R$4:$W$4,0))))</f>
        <v>3261.3715841937615</v>
      </c>
      <c r="P77">
        <f ca="1">IF($C77-P$1&lt;År1,0,O76*(1-VLOOKUP($A77,[1]Hugst!$R$5:$W$9,MATCH(ROUNDUP((P$1)/10,0)*10,[1]Hugst!$R$4:$W$4,0))))</f>
        <v>3261.2106810784589</v>
      </c>
      <c r="Q77">
        <f ca="1">IF($C77-Q$1&lt;År1,0,P76*(1-VLOOKUP($A77,[1]Hugst!$R$5:$W$9,MATCH(ROUNDUP((Q$1)/10,0)*10,[1]Hugst!$R$4:$W$4,0))))</f>
        <v>3261.0668343182228</v>
      </c>
      <c r="R77">
        <f ca="1">IF($C77-R$1&lt;År1,0,Q76*(1-VLOOKUP($A77,[1]Hugst!$R$5:$W$9,MATCH(ROUNDUP((R$1)/10,0)*10,[1]Hugst!$R$4:$W$4,0))))</f>
        <v>3260.9400765991559</v>
      </c>
      <c r="S77">
        <f ca="1">IF($C77-S$1&lt;År1,0,R76*(1-VLOOKUP($A77,[1]Hugst!$R$5:$W$9,MATCH(ROUNDUP((S$1)/10,0)*10,[1]Hugst!$R$4:$W$4,0))))</f>
        <v>3260.8304407626219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55000000000000004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24.872673991958436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4554.7121892379037</v>
      </c>
      <c r="G78">
        <f ca="1">IF($C78-G$1&lt;År1,0,F77*(1-VLOOKUP($A78,[1]Hugst!$R$5:$W$9,MATCH(ROUNDUP((G$1)/10,0)*10,[1]Hugst!$R$4:$W$4,0))))</f>
        <v>4554.3533207851833</v>
      </c>
      <c r="H78">
        <f ca="1">IF($C78-H$1&lt;År1,0,G77*(1-VLOOKUP($A78,[1]Hugst!$R$5:$W$9,MATCH(ROUNDUP((H$1)/10,0)*10,[1]Hugst!$R$4:$W$4,0))))</f>
        <v>4554.0025760354492</v>
      </c>
      <c r="I78">
        <f ca="1">IF($C78-I$1&lt;År1,0,H77*(1-VLOOKUP($A78,[1]Hugst!$R$5:$W$9,MATCH(ROUNDUP((I$1)/10,0)*10,[1]Hugst!$R$4:$W$4,0))))</f>
        <v>4553.6600109773863</v>
      </c>
      <c r="J78">
        <f ca="1">IF($C78-J$1&lt;År1,0,I77*(1-VLOOKUP($A78,[1]Hugst!$R$5:$W$9,MATCH(ROUNDUP((J$1)/10,0)*10,[1]Hugst!$R$4:$W$4,0))))</f>
        <v>3237.9496998617469</v>
      </c>
      <c r="K78">
        <f ca="1">IF($C78-K$1&lt;År1,0,J77*(1-VLOOKUP($A78,[1]Hugst!$R$5:$W$9,MATCH(ROUNDUP((K$1)/10,0)*10,[1]Hugst!$R$4:$W$4,0))))</f>
        <v>3237.6236633729714</v>
      </c>
      <c r="L78">
        <f ca="1">IF($C78-L$1&lt;År1,0,K77*(1-VLOOKUP($A78,[1]Hugst!$R$5:$W$9,MATCH(ROUNDUP((L$1)/10,0)*10,[1]Hugst!$R$4:$W$4,0))))</f>
        <v>3242.3257522916001</v>
      </c>
      <c r="M78">
        <f ca="1">IF($C78-M$1&lt;År1,0,L77*(1-VLOOKUP($A78,[1]Hugst!$R$5:$W$9,MATCH(ROUNDUP((M$1)/10,0)*10,[1]Hugst!$R$4:$W$4,0))))</f>
        <v>3247.0514697977023</v>
      </c>
      <c r="N78">
        <f ca="1">IF($C78-N$1&lt;År1,0,M77*(1-VLOOKUP($A78,[1]Hugst!$R$5:$W$9,MATCH(ROUNDUP((N$1)/10,0)*10,[1]Hugst!$R$4:$W$4,0))))</f>
        <v>3251.8009346279605</v>
      </c>
      <c r="O78">
        <f ca="1">IF($C78-O$1&lt;År1,0,N77*(1-VLOOKUP($A78,[1]Hugst!$R$5:$W$9,MATCH(ROUNDUP((O$1)/10,0)*10,[1]Hugst!$R$4:$W$4,0))))</f>
        <v>3256.574266115661</v>
      </c>
      <c r="P78">
        <f ca="1">IF($C78-P$1&lt;År1,0,O77*(1-VLOOKUP($A78,[1]Hugst!$R$5:$W$9,MATCH(ROUNDUP((P$1)/10,0)*10,[1]Hugst!$R$4:$W$4,0))))</f>
        <v>3256.3966105907539</v>
      </c>
      <c r="Q78">
        <f ca="1">IF($C78-Q$1&lt;År1,0,P77*(1-VLOOKUP($A78,[1]Hugst!$R$5:$W$9,MATCH(ROUNDUP((Q$1)/10,0)*10,[1]Hugst!$R$4:$W$4,0))))</f>
        <v>3256.2359529208816</v>
      </c>
      <c r="R78">
        <f ca="1">IF($C78-R$1&lt;År1,0,Q77*(1-VLOOKUP($A78,[1]Hugst!$R$5:$W$9,MATCH(ROUNDUP((R$1)/10,0)*10,[1]Hugst!$R$4:$W$4,0))))</f>
        <v>3256.092325587907</v>
      </c>
      <c r="S78">
        <f ca="1">IF($C78-S$1&lt;År1,0,R77*(1-VLOOKUP($A78,[1]Hugst!$R$5:$W$9,MATCH(ROUNDUP((S$1)/10,0)*10,[1]Hugst!$R$4:$W$4,0))))</f>
        <v>3255.9657612280721</v>
      </c>
      <c r="T78">
        <f ca="1">IF($C78-T$1&lt;År1,0,S77*(1-VLOOKUP($A78,[1]Hugst!$R$5:$W$9,MATCH(ROUNDUP((T$1)/10,0)*10,[1]Hugst!$R$4:$W$4,0))))</f>
        <v>3255.8562926326449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55000000000000004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29.802388285039342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4555.0791257078599</v>
      </c>
      <c r="G79">
        <f ca="1">IF($C79-G$1&lt;År1,0,F78*(1-VLOOKUP($A79,[1]Hugst!$R$5:$W$9,MATCH(ROUNDUP((G$1)/10,0)*10,[1]Hugst!$R$4:$W$4,0))))</f>
        <v>4554.7121892379037</v>
      </c>
      <c r="H79">
        <f ca="1">IF($C79-H$1&lt;År1,0,G78*(1-VLOOKUP($A79,[1]Hugst!$R$5:$W$9,MATCH(ROUNDUP((H$1)/10,0)*10,[1]Hugst!$R$4:$W$4,0))))</f>
        <v>4554.3533207851833</v>
      </c>
      <c r="I79">
        <f ca="1">IF($C79-I$1&lt;År1,0,H78*(1-VLOOKUP($A79,[1]Hugst!$R$5:$W$9,MATCH(ROUNDUP((I$1)/10,0)*10,[1]Hugst!$R$4:$W$4,0))))</f>
        <v>4554.0025760354492</v>
      </c>
      <c r="J79">
        <f ca="1">IF($C79-J$1&lt;År1,0,I78*(1-VLOOKUP($A79,[1]Hugst!$R$5:$W$9,MATCH(ROUNDUP((J$1)/10,0)*10,[1]Hugst!$R$4:$W$4,0))))</f>
        <v>4553.6600109773863</v>
      </c>
      <c r="K79">
        <f ca="1">IF($C79-K$1&lt;År1,0,J78*(1-VLOOKUP($A79,[1]Hugst!$R$5:$W$9,MATCH(ROUNDUP((K$1)/10,0)*10,[1]Hugst!$R$4:$W$4,0))))</f>
        <v>3237.9496998617469</v>
      </c>
      <c r="L79">
        <f ca="1">IF($C79-L$1&lt;År1,0,K78*(1-VLOOKUP($A79,[1]Hugst!$R$5:$W$9,MATCH(ROUNDUP((L$1)/10,0)*10,[1]Hugst!$R$4:$W$4,0))))</f>
        <v>3237.6236633729714</v>
      </c>
      <c r="M79">
        <f ca="1">IF($C79-M$1&lt;År1,0,L78*(1-VLOOKUP($A79,[1]Hugst!$R$5:$W$9,MATCH(ROUNDUP((M$1)/10,0)*10,[1]Hugst!$R$4:$W$4,0))))</f>
        <v>3242.3257522916001</v>
      </c>
      <c r="N79">
        <f ca="1">IF($C79-N$1&lt;År1,0,M78*(1-VLOOKUP($A79,[1]Hugst!$R$5:$W$9,MATCH(ROUNDUP((N$1)/10,0)*10,[1]Hugst!$R$4:$W$4,0))))</f>
        <v>3247.0514697977023</v>
      </c>
      <c r="O79">
        <f ca="1">IF($C79-O$1&lt;År1,0,N78*(1-VLOOKUP($A79,[1]Hugst!$R$5:$W$9,MATCH(ROUNDUP((O$1)/10,0)*10,[1]Hugst!$R$4:$W$4,0))))</f>
        <v>3251.8009346279605</v>
      </c>
      <c r="P79">
        <f ca="1">IF($C79-P$1&lt;År1,0,O78*(1-VLOOKUP($A79,[1]Hugst!$R$5:$W$9,MATCH(ROUNDUP((P$1)/10,0)*10,[1]Hugst!$R$4:$W$4,0))))</f>
        <v>3251.6066104554843</v>
      </c>
      <c r="Q79">
        <f ca="1">IF($C79-Q$1&lt;År1,0,P78*(1-VLOOKUP($A79,[1]Hugst!$R$5:$W$9,MATCH(ROUNDUP((Q$1)/10,0)*10,[1]Hugst!$R$4:$W$4,0))))</f>
        <v>3251.4292259305307</v>
      </c>
      <c r="R79">
        <f ca="1">IF($C79-R$1&lt;År1,0,Q78*(1-VLOOKUP($A79,[1]Hugst!$R$5:$W$9,MATCH(ROUNDUP((R$1)/10,0)*10,[1]Hugst!$R$4:$W$4,0))))</f>
        <v>3251.2688133316801</v>
      </c>
      <c r="S79">
        <f ca="1">IF($C79-S$1&lt;År1,0,R78*(1-VLOOKUP($A79,[1]Hugst!$R$5:$W$9,MATCH(ROUNDUP((S$1)/10,0)*10,[1]Hugst!$R$4:$W$4,0))))</f>
        <v>3251.1254050912476</v>
      </c>
      <c r="T79">
        <f ca="1">IF($C79-T$1&lt;År1,0,S78*(1-VLOOKUP($A79,[1]Hugst!$R$5:$W$9,MATCH(ROUNDUP((T$1)/10,0)*10,[1]Hugst!$R$4:$W$4,0))))</f>
        <v>3250.9990337956901</v>
      </c>
      <c r="U79">
        <f ca="1">IF($C79-U$1&lt;År1,0,T78*(1-VLOOKUP($A79,[1]Hugst!$R$5:$W$9,MATCH(ROUNDUP((U$1)/10,0)*10,[1]Hugst!$R$4:$W$4,0))))</f>
        <v>3250.889732186256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55000000000000004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34.717301321812556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4555.4540748105992</v>
      </c>
      <c r="G80">
        <f ca="1">IF($C80-G$1&lt;År1,0,F79*(1-VLOOKUP($A80,[1]Hugst!$R$5:$W$9,MATCH(ROUNDUP((G$1)/10,0)*10,[1]Hugst!$R$4:$W$4,0))))</f>
        <v>4555.0791257078599</v>
      </c>
      <c r="H80">
        <f ca="1">IF($C80-H$1&lt;År1,0,G79*(1-VLOOKUP($A80,[1]Hugst!$R$5:$W$9,MATCH(ROUNDUP((H$1)/10,0)*10,[1]Hugst!$R$4:$W$4,0))))</f>
        <v>4554.7121892379037</v>
      </c>
      <c r="I80">
        <f ca="1">IF($C80-I$1&lt;År1,0,H79*(1-VLOOKUP($A80,[1]Hugst!$R$5:$W$9,MATCH(ROUNDUP((I$1)/10,0)*10,[1]Hugst!$R$4:$W$4,0))))</f>
        <v>4554.3533207851833</v>
      </c>
      <c r="J80">
        <f ca="1">IF($C80-J$1&lt;År1,0,I79*(1-VLOOKUP($A80,[1]Hugst!$R$5:$W$9,MATCH(ROUNDUP((J$1)/10,0)*10,[1]Hugst!$R$4:$W$4,0))))</f>
        <v>4554.0025760354492</v>
      </c>
      <c r="K80">
        <f ca="1">IF($C80-K$1&lt;År1,0,J79*(1-VLOOKUP($A80,[1]Hugst!$R$5:$W$9,MATCH(ROUNDUP((K$1)/10,0)*10,[1]Hugst!$R$4:$W$4,0))))</f>
        <v>4553.6600109773863</v>
      </c>
      <c r="L80">
        <f ca="1">IF($C80-L$1&lt;År1,0,K79*(1-VLOOKUP($A80,[1]Hugst!$R$5:$W$9,MATCH(ROUNDUP((L$1)/10,0)*10,[1]Hugst!$R$4:$W$4,0))))</f>
        <v>3237.9496998617469</v>
      </c>
      <c r="M80">
        <f ca="1">IF($C80-M$1&lt;År1,0,L79*(1-VLOOKUP($A80,[1]Hugst!$R$5:$W$9,MATCH(ROUNDUP((M$1)/10,0)*10,[1]Hugst!$R$4:$W$4,0))))</f>
        <v>3237.6236633729714</v>
      </c>
      <c r="N80">
        <f ca="1">IF($C80-N$1&lt;År1,0,M79*(1-VLOOKUP($A80,[1]Hugst!$R$5:$W$9,MATCH(ROUNDUP((N$1)/10,0)*10,[1]Hugst!$R$4:$W$4,0))))</f>
        <v>3242.3257522916001</v>
      </c>
      <c r="O80">
        <f ca="1">IF($C80-O$1&lt;År1,0,N79*(1-VLOOKUP($A80,[1]Hugst!$R$5:$W$9,MATCH(ROUNDUP((O$1)/10,0)*10,[1]Hugst!$R$4:$W$4,0))))</f>
        <v>3247.0514697977023</v>
      </c>
      <c r="P80">
        <f ca="1">IF($C80-P$1&lt;År1,0,O79*(1-VLOOKUP($A80,[1]Hugst!$R$5:$W$9,MATCH(ROUNDUP((P$1)/10,0)*10,[1]Hugst!$R$4:$W$4,0))))</f>
        <v>3246.8405603209007</v>
      </c>
      <c r="Q80">
        <f ca="1">IF($C80-Q$1&lt;År1,0,P79*(1-VLOOKUP($A80,[1]Hugst!$R$5:$W$9,MATCH(ROUNDUP((Q$1)/10,0)*10,[1]Hugst!$R$4:$W$4,0))))</f>
        <v>3246.6465325751283</v>
      </c>
      <c r="R80">
        <f ca="1">IF($C80-R$1&lt;År1,0,Q79*(1-VLOOKUP($A80,[1]Hugst!$R$5:$W$9,MATCH(ROUNDUP((R$1)/10,0)*10,[1]Hugst!$R$4:$W$4,0))))</f>
        <v>3246.4694186367383</v>
      </c>
      <c r="S80">
        <f ca="1">IF($C80-S$1&lt;År1,0,R79*(1-VLOOKUP($A80,[1]Hugst!$R$5:$W$9,MATCH(ROUNDUP((S$1)/10,0)*10,[1]Hugst!$R$4:$W$4,0))))</f>
        <v>3246.3092507350725</v>
      </c>
      <c r="T80">
        <f ca="1">IF($C80-T$1&lt;År1,0,S79*(1-VLOOKUP($A80,[1]Hugst!$R$5:$W$9,MATCH(ROUNDUP((T$1)/10,0)*10,[1]Hugst!$R$4:$W$4,0))))</f>
        <v>3246.1660612529727</v>
      </c>
      <c r="U80">
        <f ca="1">IF($C80-U$1&lt;År1,0,T79*(1-VLOOKUP($A80,[1]Hugst!$R$5:$W$9,MATCH(ROUNDUP((U$1)/10,0)*10,[1]Hugst!$R$4:$W$4,0))))</f>
        <v>3246.0398827271883</v>
      </c>
      <c r="V80">
        <f ca="1">IF($C80-V$1&lt;År1,0,U79*(1-VLOOKUP($A80,[1]Hugst!$R$5:$W$9,MATCH(ROUNDUP((V$1)/10,0)*10,[1]Hugst!$R$4:$W$4,0))))</f>
        <v>3245.9307478490227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55000000000000004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39.617472087316855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4555.8369814617399</v>
      </c>
      <c r="G81">
        <f ca="1">IF($C81-G$1&lt;År1,0,F80*(1-VLOOKUP($A81,[1]Hugst!$R$5:$W$9,MATCH(ROUNDUP((G$1)/10,0)*10,[1]Hugst!$R$4:$W$4,0))))</f>
        <v>4555.4540748105992</v>
      </c>
      <c r="H81">
        <f ca="1">IF($C81-H$1&lt;År1,0,G80*(1-VLOOKUP($A81,[1]Hugst!$R$5:$W$9,MATCH(ROUNDUP((H$1)/10,0)*10,[1]Hugst!$R$4:$W$4,0))))</f>
        <v>4555.0791257078599</v>
      </c>
      <c r="I81">
        <f ca="1">IF($C81-I$1&lt;År1,0,H80*(1-VLOOKUP($A81,[1]Hugst!$R$5:$W$9,MATCH(ROUNDUP((I$1)/10,0)*10,[1]Hugst!$R$4:$W$4,0))))</f>
        <v>4554.7121892379037</v>
      </c>
      <c r="J81">
        <f ca="1">IF($C81-J$1&lt;År1,0,I80*(1-VLOOKUP($A81,[1]Hugst!$R$5:$W$9,MATCH(ROUNDUP((J$1)/10,0)*10,[1]Hugst!$R$4:$W$4,0))))</f>
        <v>4554.3533207851833</v>
      </c>
      <c r="K81">
        <f ca="1">IF($C81-K$1&lt;År1,0,J80*(1-VLOOKUP($A81,[1]Hugst!$R$5:$W$9,MATCH(ROUNDUP((K$1)/10,0)*10,[1]Hugst!$R$4:$W$4,0))))</f>
        <v>4554.0025760354492</v>
      </c>
      <c r="L81">
        <f ca="1">IF($C81-L$1&lt;År1,0,K80*(1-VLOOKUP($A81,[1]Hugst!$R$5:$W$9,MATCH(ROUNDUP((L$1)/10,0)*10,[1]Hugst!$R$4:$W$4,0))))</f>
        <v>4553.6600109773863</v>
      </c>
      <c r="M81">
        <f ca="1">IF($C81-M$1&lt;År1,0,L80*(1-VLOOKUP($A81,[1]Hugst!$R$5:$W$9,MATCH(ROUNDUP((M$1)/10,0)*10,[1]Hugst!$R$4:$W$4,0))))</f>
        <v>3237.9496998617469</v>
      </c>
      <c r="N81">
        <f ca="1">IF($C81-N$1&lt;År1,0,M80*(1-VLOOKUP($A81,[1]Hugst!$R$5:$W$9,MATCH(ROUNDUP((N$1)/10,0)*10,[1]Hugst!$R$4:$W$4,0))))</f>
        <v>3237.6236633729714</v>
      </c>
      <c r="O81">
        <f ca="1">IF($C81-O$1&lt;År1,0,N80*(1-VLOOKUP($A81,[1]Hugst!$R$5:$W$9,MATCH(ROUNDUP((O$1)/10,0)*10,[1]Hugst!$R$4:$W$4,0))))</f>
        <v>3242.3257522916001</v>
      </c>
      <c r="P81">
        <f ca="1">IF($C81-P$1&lt;År1,0,O80*(1-VLOOKUP($A81,[1]Hugst!$R$5:$W$9,MATCH(ROUNDUP((P$1)/10,0)*10,[1]Hugst!$R$4:$W$4,0))))</f>
        <v>3242.098340436994</v>
      </c>
      <c r="Q81">
        <f ca="1">IF($C81-Q$1&lt;År1,0,P80*(1-VLOOKUP($A81,[1]Hugst!$R$5:$W$9,MATCH(ROUNDUP((Q$1)/10,0)*10,[1]Hugst!$R$4:$W$4,0))))</f>
        <v>3241.8877526865126</v>
      </c>
      <c r="R81">
        <f ca="1">IF($C81-R$1&lt;År1,0,Q80*(1-VLOOKUP($A81,[1]Hugst!$R$5:$W$9,MATCH(ROUNDUP((R$1)/10,0)*10,[1]Hugst!$R$4:$W$4,0))))</f>
        <v>3241.6940209152676</v>
      </c>
      <c r="S81">
        <f ca="1">IF($C81-S$1&lt;År1,0,R80*(1-VLOOKUP($A81,[1]Hugst!$R$5:$W$9,MATCH(ROUNDUP((S$1)/10,0)*10,[1]Hugst!$R$4:$W$4,0))))</f>
        <v>3241.5171771506821</v>
      </c>
      <c r="T81">
        <f ca="1">IF($C81-T$1&lt;År1,0,S80*(1-VLOOKUP($A81,[1]Hugst!$R$5:$W$9,MATCH(ROUNDUP((T$1)/10,0)*10,[1]Hugst!$R$4:$W$4,0))))</f>
        <v>3241.357253572934</v>
      </c>
      <c r="U81">
        <f ca="1">IF($C81-U$1&lt;År1,0,T80*(1-VLOOKUP($A81,[1]Hugst!$R$5:$W$9,MATCH(ROUNDUP((U$1)/10,0)*10,[1]Hugst!$R$4:$W$4,0))))</f>
        <v>3241.2142825154679</v>
      </c>
      <c r="V81">
        <f ca="1">IF($C81-V$1&lt;År1,0,U80*(1-VLOOKUP($A81,[1]Hugst!$R$5:$W$9,MATCH(ROUNDUP((V$1)/10,0)*10,[1]Hugst!$R$4:$W$4,0))))</f>
        <v>3241.0882964654011</v>
      </c>
      <c r="W81">
        <f ca="1">IF($C81-W$1&lt;År1,0,V80*(1-VLOOKUP($A81,[1]Hugst!$R$5:$W$9,MATCH(ROUNDUP((W$1)/10,0)*10,[1]Hugst!$R$4:$W$4,0))))</f>
        <v>3240.9793280641684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55000000000000004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44.502959294390166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4556.2277908750566</v>
      </c>
      <c r="G82">
        <f ca="1">IF($C82-G$1&lt;År1,0,F81*(1-VLOOKUP($A82,[1]Hugst!$R$5:$W$9,MATCH(ROUNDUP((G$1)/10,0)*10,[1]Hugst!$R$4:$W$4,0))))</f>
        <v>4555.8369814617399</v>
      </c>
      <c r="H82">
        <f ca="1">IF($C82-H$1&lt;År1,0,G81*(1-VLOOKUP($A82,[1]Hugst!$R$5:$W$9,MATCH(ROUNDUP((H$1)/10,0)*10,[1]Hugst!$R$4:$W$4,0))))</f>
        <v>4555.4540748105992</v>
      </c>
      <c r="I82">
        <f ca="1">IF($C82-I$1&lt;År1,0,H81*(1-VLOOKUP($A82,[1]Hugst!$R$5:$W$9,MATCH(ROUNDUP((I$1)/10,0)*10,[1]Hugst!$R$4:$W$4,0))))</f>
        <v>4555.0791257078599</v>
      </c>
      <c r="J82">
        <f ca="1">IF($C82-J$1&lt;År1,0,I81*(1-VLOOKUP($A82,[1]Hugst!$R$5:$W$9,MATCH(ROUNDUP((J$1)/10,0)*10,[1]Hugst!$R$4:$W$4,0))))</f>
        <v>4554.7121892379037</v>
      </c>
      <c r="K82">
        <f ca="1">IF($C82-K$1&lt;År1,0,J81*(1-VLOOKUP($A82,[1]Hugst!$R$5:$W$9,MATCH(ROUNDUP((K$1)/10,0)*10,[1]Hugst!$R$4:$W$4,0))))</f>
        <v>4554.3533207851833</v>
      </c>
      <c r="L82">
        <f ca="1">IF($C82-L$1&lt;År1,0,K81*(1-VLOOKUP($A82,[1]Hugst!$R$5:$W$9,MATCH(ROUNDUP((L$1)/10,0)*10,[1]Hugst!$R$4:$W$4,0))))</f>
        <v>4554.0025760354492</v>
      </c>
      <c r="M82">
        <f ca="1">IF($C82-M$1&lt;År1,0,L81*(1-VLOOKUP($A82,[1]Hugst!$R$5:$W$9,MATCH(ROUNDUP((M$1)/10,0)*10,[1]Hugst!$R$4:$W$4,0))))</f>
        <v>4553.6600109773863</v>
      </c>
      <c r="N82">
        <f ca="1">IF($C82-N$1&lt;År1,0,M81*(1-VLOOKUP($A82,[1]Hugst!$R$5:$W$9,MATCH(ROUNDUP((N$1)/10,0)*10,[1]Hugst!$R$4:$W$4,0))))</f>
        <v>3237.9496998617469</v>
      </c>
      <c r="O82">
        <f ca="1">IF($C82-O$1&lt;År1,0,N81*(1-VLOOKUP($A82,[1]Hugst!$R$5:$W$9,MATCH(ROUNDUP((O$1)/10,0)*10,[1]Hugst!$R$4:$W$4,0))))</f>
        <v>3237.6236633729714</v>
      </c>
      <c r="P82">
        <f ca="1">IF($C82-P$1&lt;År1,0,O81*(1-VLOOKUP($A82,[1]Hugst!$R$5:$W$9,MATCH(ROUNDUP((P$1)/10,0)*10,[1]Hugst!$R$4:$W$4,0))))</f>
        <v>3237.3798316525113</v>
      </c>
      <c r="Q82">
        <f ca="1">IF($C82-Q$1&lt;År1,0,P81*(1-VLOOKUP($A82,[1]Hugst!$R$5:$W$9,MATCH(ROUNDUP((Q$1)/10,0)*10,[1]Hugst!$R$4:$W$4,0))))</f>
        <v>3237.1527666973443</v>
      </c>
      <c r="R82">
        <f ca="1">IF($C82-R$1&lt;År1,0,Q81*(1-VLOOKUP($A82,[1]Hugst!$R$5:$W$9,MATCH(ROUNDUP((R$1)/10,0)*10,[1]Hugst!$R$4:$W$4,0))))</f>
        <v>3236.9425001824143</v>
      </c>
      <c r="S82">
        <f ca="1">IF($C82-S$1&lt;År1,0,R81*(1-VLOOKUP($A82,[1]Hugst!$R$5:$W$9,MATCH(ROUNDUP((S$1)/10,0)*10,[1]Hugst!$R$4:$W$4,0))))</f>
        <v>3236.7490639342104</v>
      </c>
      <c r="T82">
        <f ca="1">IF($C82-T$1&lt;År1,0,S81*(1-VLOOKUP($A82,[1]Hugst!$R$5:$W$9,MATCH(ROUNDUP((T$1)/10,0)*10,[1]Hugst!$R$4:$W$4,0))))</f>
        <v>3236.5724899312995</v>
      </c>
      <c r="U82">
        <f ca="1">IF($C82-U$1&lt;År1,0,T81*(1-VLOOKUP($A82,[1]Hugst!$R$5:$W$9,MATCH(ROUNDUP((U$1)/10,0)*10,[1]Hugst!$R$4:$W$4,0))))</f>
        <v>3236.4128103047719</v>
      </c>
      <c r="V82">
        <f ca="1">IF($C82-V$1&lt;År1,0,U81*(1-VLOOKUP($A82,[1]Hugst!$R$5:$W$9,MATCH(ROUNDUP((V$1)/10,0)*10,[1]Hugst!$R$4:$W$4,0))))</f>
        <v>3236.2700573387492</v>
      </c>
      <c r="W82">
        <f ca="1">IF($C82-W$1&lt;År1,0,V81*(1-VLOOKUP($A82,[1]Hugst!$R$5:$W$9,MATCH(ROUNDUP((W$1)/10,0)*10,[1]Hugst!$R$4:$W$4,0))))</f>
        <v>3236.1442634707928</v>
      </c>
      <c r="X82">
        <f ca="1">IF($C82-X$1&lt;År1,0,W81*(1-VLOOKUP($A82,[1]Hugst!$R$5:$W$9,MATCH(ROUNDUP((X$1)/10,0)*10,[1]Hugst!$R$4:$W$4,0))))</f>
        <v>3236.0354612925448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55000000000000004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49.373821385364863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4556.6264485611628</v>
      </c>
      <c r="G83">
        <f ca="1">IF($C83-G$1&lt;År1,0,F82*(1-VLOOKUP($A83,[1]Hugst!$R$5:$W$9,MATCH(ROUNDUP((G$1)/10,0)*10,[1]Hugst!$R$4:$W$4,0))))</f>
        <v>4556.2277908750566</v>
      </c>
      <c r="H83">
        <f ca="1">IF($C83-H$1&lt;År1,0,G82*(1-VLOOKUP($A83,[1]Hugst!$R$5:$W$9,MATCH(ROUNDUP((H$1)/10,0)*10,[1]Hugst!$R$4:$W$4,0))))</f>
        <v>4555.8369814617399</v>
      </c>
      <c r="I83">
        <f ca="1">IF($C83-I$1&lt;År1,0,H82*(1-VLOOKUP($A83,[1]Hugst!$R$5:$W$9,MATCH(ROUNDUP((I$1)/10,0)*10,[1]Hugst!$R$4:$W$4,0))))</f>
        <v>4555.4540748105992</v>
      </c>
      <c r="J83">
        <f ca="1">IF($C83-J$1&lt;År1,0,I82*(1-VLOOKUP($A83,[1]Hugst!$R$5:$W$9,MATCH(ROUNDUP((J$1)/10,0)*10,[1]Hugst!$R$4:$W$4,0))))</f>
        <v>4555.0791257078599</v>
      </c>
      <c r="K83">
        <f ca="1">IF($C83-K$1&lt;År1,0,J82*(1-VLOOKUP($A83,[1]Hugst!$R$5:$W$9,MATCH(ROUNDUP((K$1)/10,0)*10,[1]Hugst!$R$4:$W$4,0))))</f>
        <v>4554.7121892379037</v>
      </c>
      <c r="L83">
        <f ca="1">IF($C83-L$1&lt;År1,0,K82*(1-VLOOKUP($A83,[1]Hugst!$R$5:$W$9,MATCH(ROUNDUP((L$1)/10,0)*10,[1]Hugst!$R$4:$W$4,0))))</f>
        <v>4554.3533207851833</v>
      </c>
      <c r="M83">
        <f ca="1">IF($C83-M$1&lt;År1,0,L82*(1-VLOOKUP($A83,[1]Hugst!$R$5:$W$9,MATCH(ROUNDUP((M$1)/10,0)*10,[1]Hugst!$R$4:$W$4,0))))</f>
        <v>4554.0025760354492</v>
      </c>
      <c r="N83">
        <f ca="1">IF($C83-N$1&lt;År1,0,M82*(1-VLOOKUP($A83,[1]Hugst!$R$5:$W$9,MATCH(ROUNDUP((N$1)/10,0)*10,[1]Hugst!$R$4:$W$4,0))))</f>
        <v>4553.6600109773863</v>
      </c>
      <c r="O83">
        <f ca="1">IF($C83-O$1&lt;År1,0,N82*(1-VLOOKUP($A83,[1]Hugst!$R$5:$W$9,MATCH(ROUNDUP((O$1)/10,0)*10,[1]Hugst!$R$4:$W$4,0))))</f>
        <v>3237.9496998617469</v>
      </c>
      <c r="P83">
        <f ca="1">IF($C83-P$1&lt;År1,0,O82*(1-VLOOKUP($A83,[1]Hugst!$R$5:$W$9,MATCH(ROUNDUP((P$1)/10,0)*10,[1]Hugst!$R$4:$W$4,0))))</f>
        <v>3232.6849154118941</v>
      </c>
      <c r="Q83">
        <f ca="1">IF($C83-Q$1&lt;År1,0,P82*(1-VLOOKUP($A83,[1]Hugst!$R$5:$W$9,MATCH(ROUNDUP((Q$1)/10,0)*10,[1]Hugst!$R$4:$W$4,0))))</f>
        <v>3232.4414556381262</v>
      </c>
      <c r="R83">
        <f ca="1">IF($C83-R$1&lt;År1,0,Q82*(1-VLOOKUP($A83,[1]Hugst!$R$5:$W$9,MATCH(ROUNDUP((R$1)/10,0)*10,[1]Hugst!$R$4:$W$4,0))))</f>
        <v>3232.2147370532298</v>
      </c>
      <c r="S83">
        <f ca="1">IF($C83-S$1&lt;År1,0,R82*(1-VLOOKUP($A83,[1]Hugst!$R$5:$W$9,MATCH(ROUNDUP((S$1)/10,0)*10,[1]Hugst!$R$4:$W$4,0))))</f>
        <v>3232.0047912838309</v>
      </c>
      <c r="T83">
        <f ca="1">IF($C83-T$1&lt;År1,0,S82*(1-VLOOKUP($A83,[1]Hugst!$R$5:$W$9,MATCH(ROUNDUP((T$1)/10,0)*10,[1]Hugst!$R$4:$W$4,0))))</f>
        <v>3231.8116501078698</v>
      </c>
      <c r="U83">
        <f ca="1">IF($C83-U$1&lt;År1,0,T82*(1-VLOOKUP($A83,[1]Hugst!$R$5:$W$9,MATCH(ROUNDUP((U$1)/10,0)*10,[1]Hugst!$R$4:$W$4,0))))</f>
        <v>3231.6353454551331</v>
      </c>
      <c r="V83">
        <f ca="1">IF($C83-V$1&lt;År1,0,U82*(1-VLOOKUP($A83,[1]Hugst!$R$5:$W$9,MATCH(ROUNDUP((V$1)/10,0)*10,[1]Hugst!$R$4:$W$4,0))))</f>
        <v>3231.4759094076967</v>
      </c>
      <c r="W83">
        <f ca="1">IF($C83-W$1&lt;År1,0,V82*(1-VLOOKUP($A83,[1]Hugst!$R$5:$W$9,MATCH(ROUNDUP((W$1)/10,0)*10,[1]Hugst!$R$4:$W$4,0))))</f>
        <v>3231.3333742004356</v>
      </c>
      <c r="X83">
        <f ca="1">IF($C83-X$1&lt;År1,0,W82*(1-VLOOKUP($A83,[1]Hugst!$R$5:$W$9,MATCH(ROUNDUP((X$1)/10,0)*10,[1]Hugst!$R$4:$W$4,0))))</f>
        <v>3231.2077722214303</v>
      </c>
      <c r="Y83">
        <f ca="1">IF($C83-Y$1&lt;År1,0,X82*(1-VLOOKUP($A83,[1]Hugst!$R$5:$W$9,MATCH(ROUNDUP((Y$1)/10,0)*10,[1]Hugst!$R$4:$W$4,0))))</f>
        <v>3231.0991360126068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55000000000000004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54.922305593208876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4557.7250893862383</v>
      </c>
      <c r="G84">
        <f ca="1">IF($C84-G$1&lt;År1,0,F83*(1-VLOOKUP($A84,[1]Hugst!$R$5:$W$9,MATCH(ROUNDUP((G$1)/10,0)*10,[1]Hugst!$R$4:$W$4,0))))</f>
        <v>4556.6264485611628</v>
      </c>
      <c r="H84">
        <f ca="1">IF($C84-H$1&lt;År1,0,G83*(1-VLOOKUP($A84,[1]Hugst!$R$5:$W$9,MATCH(ROUNDUP((H$1)/10,0)*10,[1]Hugst!$R$4:$W$4,0))))</f>
        <v>4556.2277908750566</v>
      </c>
      <c r="I84">
        <f ca="1">IF($C84-I$1&lt;År1,0,H83*(1-VLOOKUP($A84,[1]Hugst!$R$5:$W$9,MATCH(ROUNDUP((I$1)/10,0)*10,[1]Hugst!$R$4:$W$4,0))))</f>
        <v>4555.8369814617399</v>
      </c>
      <c r="J84">
        <f ca="1">IF($C84-J$1&lt;År1,0,I83*(1-VLOOKUP($A84,[1]Hugst!$R$5:$W$9,MATCH(ROUNDUP((J$1)/10,0)*10,[1]Hugst!$R$4:$W$4,0))))</f>
        <v>4555.4540748105992</v>
      </c>
      <c r="K84">
        <f ca="1">IF($C84-K$1&lt;År1,0,J83*(1-VLOOKUP($A84,[1]Hugst!$R$5:$W$9,MATCH(ROUNDUP((K$1)/10,0)*10,[1]Hugst!$R$4:$W$4,0))))</f>
        <v>4555.0791257078599</v>
      </c>
      <c r="L84">
        <f ca="1">IF($C84-L$1&lt;År1,0,K83*(1-VLOOKUP($A84,[1]Hugst!$R$5:$W$9,MATCH(ROUNDUP((L$1)/10,0)*10,[1]Hugst!$R$4:$W$4,0))))</f>
        <v>4554.7121892379037</v>
      </c>
      <c r="M84">
        <f ca="1">IF($C84-M$1&lt;År1,0,L83*(1-VLOOKUP($A84,[1]Hugst!$R$5:$W$9,MATCH(ROUNDUP((M$1)/10,0)*10,[1]Hugst!$R$4:$W$4,0))))</f>
        <v>4554.3533207851833</v>
      </c>
      <c r="N84">
        <f ca="1">IF($C84-N$1&lt;År1,0,M83*(1-VLOOKUP($A84,[1]Hugst!$R$5:$W$9,MATCH(ROUNDUP((N$1)/10,0)*10,[1]Hugst!$R$4:$W$4,0))))</f>
        <v>4554.0025760354492</v>
      </c>
      <c r="O84">
        <f ca="1">IF($C84-O$1&lt;År1,0,N83*(1-VLOOKUP($A84,[1]Hugst!$R$5:$W$9,MATCH(ROUNDUP((O$1)/10,0)*10,[1]Hugst!$R$4:$W$4,0))))</f>
        <v>4553.6600109773863</v>
      </c>
      <c r="P84">
        <f ca="1">IF($C84-P$1&lt;År1,0,O83*(1-VLOOKUP($A84,[1]Hugst!$R$5:$W$9,MATCH(ROUNDUP((P$1)/10,0)*10,[1]Hugst!$R$4:$W$4,0))))</f>
        <v>3233.0104545568729</v>
      </c>
      <c r="Q84">
        <f ca="1">IF($C84-Q$1&lt;År1,0,P83*(1-VLOOKUP($A84,[1]Hugst!$R$5:$W$9,MATCH(ROUNDUP((Q$1)/10,0)*10,[1]Hugst!$R$4:$W$4,0))))</f>
        <v>3227.7537011341469</v>
      </c>
      <c r="R84">
        <f ca="1">IF($C84-R$1&lt;År1,0,Q83*(1-VLOOKUP($A84,[1]Hugst!$R$5:$W$9,MATCH(ROUNDUP((R$1)/10,0)*10,[1]Hugst!$R$4:$W$4,0))))</f>
        <v>3227.5106127396948</v>
      </c>
      <c r="S84">
        <f ca="1">IF($C84-S$1&lt;År1,0,R83*(1-VLOOKUP($A84,[1]Hugst!$R$5:$W$9,MATCH(ROUNDUP((S$1)/10,0)*10,[1]Hugst!$R$4:$W$4,0))))</f>
        <v>3227.2842399967076</v>
      </c>
      <c r="T84">
        <f ca="1">IF($C84-T$1&lt;År1,0,S83*(1-VLOOKUP($A84,[1]Hugst!$R$5:$W$9,MATCH(ROUNDUP((T$1)/10,0)*10,[1]Hugst!$R$4:$W$4,0))))</f>
        <v>3227.0746144835671</v>
      </c>
      <c r="U84">
        <f ca="1">IF($C84-U$1&lt;År1,0,T83*(1-VLOOKUP($A84,[1]Hugst!$R$5:$W$9,MATCH(ROUNDUP((U$1)/10,0)*10,[1]Hugst!$R$4:$W$4,0))))</f>
        <v>3226.881767929739</v>
      </c>
      <c r="V84">
        <f ca="1">IF($C84-V$1&lt;År1,0,U83*(1-VLOOKUP($A84,[1]Hugst!$R$5:$W$9,MATCH(ROUNDUP((V$1)/10,0)*10,[1]Hugst!$R$4:$W$4,0))))</f>
        <v>3226.7057322163032</v>
      </c>
      <c r="W84">
        <f ca="1">IF($C84-W$1&lt;År1,0,V83*(1-VLOOKUP($A84,[1]Hugst!$R$5:$W$9,MATCH(ROUNDUP((W$1)/10,0)*10,[1]Hugst!$R$4:$W$4,0))))</f>
        <v>3226.5465393763966</v>
      </c>
      <c r="X84">
        <f ca="1">IF($C84-X$1&lt;År1,0,W83*(1-VLOOKUP($A84,[1]Hugst!$R$5:$W$9,MATCH(ROUNDUP((X$1)/10,0)*10,[1]Hugst!$R$4:$W$4,0))))</f>
        <v>3226.4042215957229</v>
      </c>
      <c r="Y84">
        <f ca="1">IF($C84-Y$1&lt;År1,0,X83*(1-VLOOKUP($A84,[1]Hugst!$R$5:$W$9,MATCH(ROUNDUP((Y$1)/10,0)*10,[1]Hugst!$R$4:$W$4,0))))</f>
        <v>3226.278811212957</v>
      </c>
      <c r="Z84">
        <f ca="1">IF($C84-Z$1&lt;År1,0,Y83*(1-VLOOKUP($A84,[1]Hugst!$R$5:$W$9,MATCH(ROUNDUP((Z$1)/10,0)*10,[1]Hugst!$R$4:$W$4,0))))</f>
        <v>3225.4857858186865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55000000000000004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62.467131216064445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4560.8423208432305</v>
      </c>
      <c r="G85">
        <f ca="1">IF($C85-G$1&lt;År1,0,F84*(1-VLOOKUP($A85,[1]Hugst!$R$5:$W$9,MATCH(ROUNDUP((G$1)/10,0)*10,[1]Hugst!$R$4:$W$4,0))))</f>
        <v>4557.7250893862383</v>
      </c>
      <c r="H85">
        <f ca="1">IF($C85-H$1&lt;År1,0,G84*(1-VLOOKUP($A85,[1]Hugst!$R$5:$W$9,MATCH(ROUNDUP((H$1)/10,0)*10,[1]Hugst!$R$4:$W$4,0))))</f>
        <v>4556.6264485611628</v>
      </c>
      <c r="I85">
        <f ca="1">IF($C85-I$1&lt;År1,0,H84*(1-VLOOKUP($A85,[1]Hugst!$R$5:$W$9,MATCH(ROUNDUP((I$1)/10,0)*10,[1]Hugst!$R$4:$W$4,0))))</f>
        <v>4556.2277908750566</v>
      </c>
      <c r="J85">
        <f ca="1">IF($C85-J$1&lt;År1,0,I84*(1-VLOOKUP($A85,[1]Hugst!$R$5:$W$9,MATCH(ROUNDUP((J$1)/10,0)*10,[1]Hugst!$R$4:$W$4,0))))</f>
        <v>4555.8369814617399</v>
      </c>
      <c r="K85">
        <f ca="1">IF($C85-K$1&lt;År1,0,J84*(1-VLOOKUP($A85,[1]Hugst!$R$5:$W$9,MATCH(ROUNDUP((K$1)/10,0)*10,[1]Hugst!$R$4:$W$4,0))))</f>
        <v>4555.4540748105992</v>
      </c>
      <c r="L85">
        <f ca="1">IF($C85-L$1&lt;År1,0,K84*(1-VLOOKUP($A85,[1]Hugst!$R$5:$W$9,MATCH(ROUNDUP((L$1)/10,0)*10,[1]Hugst!$R$4:$W$4,0))))</f>
        <v>4555.0791257078599</v>
      </c>
      <c r="M85">
        <f ca="1">IF($C85-M$1&lt;År1,0,L84*(1-VLOOKUP($A85,[1]Hugst!$R$5:$W$9,MATCH(ROUNDUP((M$1)/10,0)*10,[1]Hugst!$R$4:$W$4,0))))</f>
        <v>4554.7121892379037</v>
      </c>
      <c r="N85">
        <f ca="1">IF($C85-N$1&lt;År1,0,M84*(1-VLOOKUP($A85,[1]Hugst!$R$5:$W$9,MATCH(ROUNDUP((N$1)/10,0)*10,[1]Hugst!$R$4:$W$4,0))))</f>
        <v>4554.3533207851833</v>
      </c>
      <c r="O85">
        <f ca="1">IF($C85-O$1&lt;År1,0,N84*(1-VLOOKUP($A85,[1]Hugst!$R$5:$W$9,MATCH(ROUNDUP((O$1)/10,0)*10,[1]Hugst!$R$4:$W$4,0))))</f>
        <v>4554.0025760354492</v>
      </c>
      <c r="P85">
        <f ca="1">IF($C85-P$1&lt;År1,0,O84*(1-VLOOKUP($A85,[1]Hugst!$R$5:$W$9,MATCH(ROUNDUP((P$1)/10,0)*10,[1]Hugst!$R$4:$W$4,0))))</f>
        <v>4546.7137499436922</v>
      </c>
      <c r="Q85">
        <f ca="1">IF($C85-Q$1&lt;År1,0,P84*(1-VLOOKUP($A85,[1]Hugst!$R$5:$W$9,MATCH(ROUNDUP((Q$1)/10,0)*10,[1]Hugst!$R$4:$W$4,0))))</f>
        <v>3228.0787436939895</v>
      </c>
      <c r="R85">
        <f ca="1">IF($C85-R$1&lt;År1,0,Q84*(1-VLOOKUP($A85,[1]Hugst!$R$5:$W$9,MATCH(ROUNDUP((R$1)/10,0)*10,[1]Hugst!$R$4:$W$4,0))))</f>
        <v>3222.830009047671</v>
      </c>
      <c r="S85">
        <f ca="1">IF($C85-S$1&lt;År1,0,R84*(1-VLOOKUP($A85,[1]Hugst!$R$5:$W$9,MATCH(ROUNDUP((S$1)/10,0)*10,[1]Hugst!$R$4:$W$4,0))))</f>
        <v>3222.587291466024</v>
      </c>
      <c r="T85">
        <f ca="1">IF($C85-T$1&lt;År1,0,S84*(1-VLOOKUP($A85,[1]Hugst!$R$5:$W$9,MATCH(ROUNDUP((T$1)/10,0)*10,[1]Hugst!$R$4:$W$4,0))))</f>
        <v>3222.3612640373904</v>
      </c>
      <c r="U85">
        <f ca="1">IF($C85-U$1&lt;År1,0,T84*(1-VLOOKUP($A85,[1]Hugst!$R$5:$W$9,MATCH(ROUNDUP((U$1)/10,0)*10,[1]Hugst!$R$4:$W$4,0))))</f>
        <v>3222.1519582919818</v>
      </c>
      <c r="V85">
        <f ca="1">IF($C85-V$1&lt;År1,0,U84*(1-VLOOKUP($A85,[1]Hugst!$R$5:$W$9,MATCH(ROUNDUP((V$1)/10,0)*10,[1]Hugst!$R$4:$W$4,0))))</f>
        <v>3221.9594059108631</v>
      </c>
      <c r="W85">
        <f ca="1">IF($C85-W$1&lt;År1,0,V84*(1-VLOOKUP($A85,[1]Hugst!$R$5:$W$9,MATCH(ROUNDUP((W$1)/10,0)*10,[1]Hugst!$R$4:$W$4,0))))</f>
        <v>3221.7836387264815</v>
      </c>
      <c r="X85">
        <f ca="1">IF($C85-X$1&lt;År1,0,W84*(1-VLOOKUP($A85,[1]Hugst!$R$5:$W$9,MATCH(ROUNDUP((X$1)/10,0)*10,[1]Hugst!$R$4:$W$4,0))))</f>
        <v>3221.6246887231105</v>
      </c>
      <c r="Y85">
        <f ca="1">IF($C85-Y$1&lt;År1,0,X84*(1-VLOOKUP($A85,[1]Hugst!$R$5:$W$9,MATCH(ROUNDUP((Y$1)/10,0)*10,[1]Hugst!$R$4:$W$4,0))))</f>
        <v>3221.4825880373564</v>
      </c>
      <c r="Z85">
        <f ca="1">IF($C85-Z$1&lt;År1,0,Y84*(1-VLOOKUP($A85,[1]Hugst!$R$5:$W$9,MATCH(ROUNDUP((Z$1)/10,0)*10,[1]Hugst!$R$4:$W$4,0))))</f>
        <v>3220.6738353121209</v>
      </c>
      <c r="AA85">
        <f ca="1">IF($C85-AA$1&lt;År1,0,Z84*(1-VLOOKUP($A85,[1]Hugst!$R$5:$W$9,MATCH(ROUNDUP((AA$1)/10,0)*10,[1]Hugst!$R$4:$W$4,0))))</f>
        <v>3219.8821876314591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55000000000000004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69.998768761943211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4563.968502194044</v>
      </c>
      <c r="G86">
        <f ca="1">IF($C86-G$1&lt;År1,0,F85*(1-VLOOKUP($A86,[1]Hugst!$R$5:$W$9,MATCH(ROUNDUP((G$1)/10,0)*10,[1]Hugst!$R$4:$W$4,0))))</f>
        <v>4560.8423208432305</v>
      </c>
      <c r="H86">
        <f ca="1">IF($C86-H$1&lt;År1,0,G85*(1-VLOOKUP($A86,[1]Hugst!$R$5:$W$9,MATCH(ROUNDUP((H$1)/10,0)*10,[1]Hugst!$R$4:$W$4,0))))</f>
        <v>4557.7250893862383</v>
      </c>
      <c r="I86">
        <f ca="1">IF($C86-I$1&lt;År1,0,H85*(1-VLOOKUP($A86,[1]Hugst!$R$5:$W$9,MATCH(ROUNDUP((I$1)/10,0)*10,[1]Hugst!$R$4:$W$4,0))))</f>
        <v>4556.6264485611628</v>
      </c>
      <c r="J86">
        <f ca="1">IF($C86-J$1&lt;År1,0,I85*(1-VLOOKUP($A86,[1]Hugst!$R$5:$W$9,MATCH(ROUNDUP((J$1)/10,0)*10,[1]Hugst!$R$4:$W$4,0))))</f>
        <v>4556.2277908750566</v>
      </c>
      <c r="K86">
        <f ca="1">IF($C86-K$1&lt;År1,0,J85*(1-VLOOKUP($A86,[1]Hugst!$R$5:$W$9,MATCH(ROUNDUP((K$1)/10,0)*10,[1]Hugst!$R$4:$W$4,0))))</f>
        <v>4555.8369814617399</v>
      </c>
      <c r="L86">
        <f ca="1">IF($C86-L$1&lt;År1,0,K85*(1-VLOOKUP($A86,[1]Hugst!$R$5:$W$9,MATCH(ROUNDUP((L$1)/10,0)*10,[1]Hugst!$R$4:$W$4,0))))</f>
        <v>4555.4540748105992</v>
      </c>
      <c r="M86">
        <f ca="1">IF($C86-M$1&lt;År1,0,L85*(1-VLOOKUP($A86,[1]Hugst!$R$5:$W$9,MATCH(ROUNDUP((M$1)/10,0)*10,[1]Hugst!$R$4:$W$4,0))))</f>
        <v>4555.0791257078599</v>
      </c>
      <c r="N86">
        <f ca="1">IF($C86-N$1&lt;År1,0,M85*(1-VLOOKUP($A86,[1]Hugst!$R$5:$W$9,MATCH(ROUNDUP((N$1)/10,0)*10,[1]Hugst!$R$4:$W$4,0))))</f>
        <v>4554.7121892379037</v>
      </c>
      <c r="O86">
        <f ca="1">IF($C86-O$1&lt;År1,0,N85*(1-VLOOKUP($A86,[1]Hugst!$R$5:$W$9,MATCH(ROUNDUP((O$1)/10,0)*10,[1]Hugst!$R$4:$W$4,0))))</f>
        <v>4554.3533207851833</v>
      </c>
      <c r="P86">
        <f ca="1">IF($C86-P$1&lt;År1,0,O85*(1-VLOOKUP($A86,[1]Hugst!$R$5:$W$9,MATCH(ROUNDUP((P$1)/10,0)*10,[1]Hugst!$R$4:$W$4,0))))</f>
        <v>4547.0557924448867</v>
      </c>
      <c r="Q86">
        <f ca="1">IF($C86-Q$1&lt;År1,0,P85*(1-VLOOKUP($A86,[1]Hugst!$R$5:$W$9,MATCH(ROUNDUP((Q$1)/10,0)*10,[1]Hugst!$R$4:$W$4,0))))</f>
        <v>4539.7780849014052</v>
      </c>
      <c r="R86">
        <f ca="1">IF($C86-R$1&lt;År1,0,Q85*(1-VLOOKUP($A86,[1]Hugst!$R$5:$W$9,MATCH(ROUNDUP((R$1)/10,0)*10,[1]Hugst!$R$4:$W$4,0))))</f>
        <v>3223.15455577988</v>
      </c>
      <c r="S86">
        <f ca="1">IF($C86-S$1&lt;År1,0,R85*(1-VLOOKUP($A86,[1]Hugst!$R$5:$W$9,MATCH(ROUNDUP((S$1)/10,0)*10,[1]Hugst!$R$4:$W$4,0))))</f>
        <v>3217.9138276779372</v>
      </c>
      <c r="T86">
        <f ca="1">IF($C86-T$1&lt;År1,0,S85*(1-VLOOKUP($A86,[1]Hugst!$R$5:$W$9,MATCH(ROUNDUP((T$1)/10,0)*10,[1]Hugst!$R$4:$W$4,0))))</f>
        <v>3217.6714803434488</v>
      </c>
      <c r="U86">
        <f ca="1">IF($C86-U$1&lt;År1,0,T85*(1-VLOOKUP($A86,[1]Hugst!$R$5:$W$9,MATCH(ROUNDUP((U$1)/10,0)*10,[1]Hugst!$R$4:$W$4,0))))</f>
        <v>3217.4457977024181</v>
      </c>
      <c r="V86">
        <f ca="1">IF($C86-V$1&lt;År1,0,U85*(1-VLOOKUP($A86,[1]Hugst!$R$5:$W$9,MATCH(ROUNDUP((V$1)/10,0)*10,[1]Hugst!$R$4:$W$4,0))))</f>
        <v>3217.23681123696</v>
      </c>
      <c r="W86">
        <f ca="1">IF($C86-W$1&lt;År1,0,V85*(1-VLOOKUP($A86,[1]Hugst!$R$5:$W$9,MATCH(ROUNDUP((W$1)/10,0)*10,[1]Hugst!$R$4:$W$4,0))))</f>
        <v>3217.0445525798127</v>
      </c>
      <c r="X86">
        <f ca="1">IF($C86-X$1&lt;År1,0,W85*(1-VLOOKUP($A86,[1]Hugst!$R$5:$W$9,MATCH(ROUNDUP((X$1)/10,0)*10,[1]Hugst!$R$4:$W$4,0))))</f>
        <v>3216.8690535148648</v>
      </c>
      <c r="Y86">
        <f ca="1">IF($C86-Y$1&lt;År1,0,X85*(1-VLOOKUP($A86,[1]Hugst!$R$5:$W$9,MATCH(ROUNDUP((Y$1)/10,0)*10,[1]Hugst!$R$4:$W$4,0))))</f>
        <v>3216.7103459776004</v>
      </c>
      <c r="Z86">
        <f ca="1">IF($C86-Z$1&lt;År1,0,Y85*(1-VLOOKUP($A86,[1]Hugst!$R$5:$W$9,MATCH(ROUNDUP((Z$1)/10,0)*10,[1]Hugst!$R$4:$W$4,0))))</f>
        <v>3215.8859445581388</v>
      </c>
      <c r="AA86">
        <f ca="1">IF($C86-AA$1&lt;År1,0,Z85*(1-VLOOKUP($A86,[1]Hugst!$R$5:$W$9,MATCH(ROUNDUP((AA$1)/10,0)*10,[1]Hugst!$R$4:$W$4,0))))</f>
        <v>3215.0785968694177</v>
      </c>
      <c r="AB86">
        <f ca="1">IF($C86-AB$1&lt;År1,0,AA85*(1-VLOOKUP($A86,[1]Hugst!$R$5:$W$9,MATCH(ROUNDUP((AB$1)/10,0)*10,[1]Hugst!$R$4:$W$4,0))))</f>
        <v>3214.2883245088788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55000000000000004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77.517259731277591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4567.1035642492952</v>
      </c>
      <c r="G87">
        <f ca="1">IF($C87-G$1&lt;År1,0,F86*(1-VLOOKUP($A87,[1]Hugst!$R$5:$W$9,MATCH(ROUNDUP((G$1)/10,0)*10,[1]Hugst!$R$4:$W$4,0))))</f>
        <v>4563.968502194044</v>
      </c>
      <c r="H87">
        <f ca="1">IF($C87-H$1&lt;År1,0,G86*(1-VLOOKUP($A87,[1]Hugst!$R$5:$W$9,MATCH(ROUNDUP((H$1)/10,0)*10,[1]Hugst!$R$4:$W$4,0))))</f>
        <v>4560.8423208432305</v>
      </c>
      <c r="I87">
        <f ca="1">IF($C87-I$1&lt;År1,0,H86*(1-VLOOKUP($A87,[1]Hugst!$R$5:$W$9,MATCH(ROUNDUP((I$1)/10,0)*10,[1]Hugst!$R$4:$W$4,0))))</f>
        <v>4557.7250893862383</v>
      </c>
      <c r="J87">
        <f ca="1">IF($C87-J$1&lt;År1,0,I86*(1-VLOOKUP($A87,[1]Hugst!$R$5:$W$9,MATCH(ROUNDUP((J$1)/10,0)*10,[1]Hugst!$R$4:$W$4,0))))</f>
        <v>4556.6264485611628</v>
      </c>
      <c r="K87">
        <f ca="1">IF($C87-K$1&lt;År1,0,J86*(1-VLOOKUP($A87,[1]Hugst!$R$5:$W$9,MATCH(ROUNDUP((K$1)/10,0)*10,[1]Hugst!$R$4:$W$4,0))))</f>
        <v>4556.2277908750566</v>
      </c>
      <c r="L87">
        <f ca="1">IF($C87-L$1&lt;År1,0,K86*(1-VLOOKUP($A87,[1]Hugst!$R$5:$W$9,MATCH(ROUNDUP((L$1)/10,0)*10,[1]Hugst!$R$4:$W$4,0))))</f>
        <v>4555.8369814617399</v>
      </c>
      <c r="M87">
        <f ca="1">IF($C87-M$1&lt;År1,0,L86*(1-VLOOKUP($A87,[1]Hugst!$R$5:$W$9,MATCH(ROUNDUP((M$1)/10,0)*10,[1]Hugst!$R$4:$W$4,0))))</f>
        <v>4555.4540748105992</v>
      </c>
      <c r="N87">
        <f ca="1">IF($C87-N$1&lt;År1,0,M86*(1-VLOOKUP($A87,[1]Hugst!$R$5:$W$9,MATCH(ROUNDUP((N$1)/10,0)*10,[1]Hugst!$R$4:$W$4,0))))</f>
        <v>4555.0791257078599</v>
      </c>
      <c r="O87">
        <f ca="1">IF($C87-O$1&lt;År1,0,N86*(1-VLOOKUP($A87,[1]Hugst!$R$5:$W$9,MATCH(ROUNDUP((O$1)/10,0)*10,[1]Hugst!$R$4:$W$4,0))))</f>
        <v>4554.7121892379037</v>
      </c>
      <c r="P87">
        <f ca="1">IF($C87-P$1&lt;År1,0,O86*(1-VLOOKUP($A87,[1]Hugst!$R$5:$W$9,MATCH(ROUNDUP((P$1)/10,0)*10,[1]Hugst!$R$4:$W$4,0))))</f>
        <v>4547.4060021602563</v>
      </c>
      <c r="Q87">
        <f ca="1">IF($C87-Q$1&lt;År1,0,P86*(1-VLOOKUP($A87,[1]Hugst!$R$5:$W$9,MATCH(ROUNDUP((Q$1)/10,0)*10,[1]Hugst!$R$4:$W$4,0))))</f>
        <v>4540.1196056428516</v>
      </c>
      <c r="R87">
        <f ca="1">IF($C87-R$1&lt;År1,0,Q86*(1-VLOOKUP($A87,[1]Hugst!$R$5:$W$9,MATCH(ROUNDUP((R$1)/10,0)*10,[1]Hugst!$R$4:$W$4,0))))</f>
        <v>4532.8529996871484</v>
      </c>
      <c r="S87">
        <f ca="1">IF($C87-S$1&lt;År1,0,R86*(1-VLOOKUP($A87,[1]Hugst!$R$5:$W$9,MATCH(ROUNDUP((S$1)/10,0)*10,[1]Hugst!$R$4:$W$4,0))))</f>
        <v>3218.2378793388598</v>
      </c>
      <c r="T87">
        <f ca="1">IF($C87-T$1&lt;År1,0,S86*(1-VLOOKUP($A87,[1]Hugst!$R$5:$W$9,MATCH(ROUNDUP((T$1)/10,0)*10,[1]Hugst!$R$4:$W$4,0))))</f>
        <v>3213.00514556792</v>
      </c>
      <c r="U87">
        <f ca="1">IF($C87-U$1&lt;År1,0,T86*(1-VLOOKUP($A87,[1]Hugst!$R$5:$W$9,MATCH(ROUNDUP((U$1)/10,0)*10,[1]Hugst!$R$4:$W$4,0))))</f>
        <v>3212.7631679158062</v>
      </c>
      <c r="V87">
        <f ca="1">IF($C87-V$1&lt;År1,0,U86*(1-VLOOKUP($A87,[1]Hugst!$R$5:$W$9,MATCH(ROUNDUP((V$1)/10,0)*10,[1]Hugst!$R$4:$W$4,0))))</f>
        <v>3212.5378295364312</v>
      </c>
      <c r="W87">
        <f ca="1">IF($C87-W$1&lt;År1,0,V86*(1-VLOOKUP($A87,[1]Hugst!$R$5:$W$9,MATCH(ROUNDUP((W$1)/10,0)*10,[1]Hugst!$R$4:$W$4,0))))</f>
        <v>3212.3291618638864</v>
      </c>
      <c r="X87">
        <f ca="1">IF($C87-X$1&lt;År1,0,W86*(1-VLOOKUP($A87,[1]Hugst!$R$5:$W$9,MATCH(ROUNDUP((X$1)/10,0)*10,[1]Hugst!$R$4:$W$4,0))))</f>
        <v>3212.1371964826571</v>
      </c>
      <c r="Y87">
        <f ca="1">IF($C87-Y$1&lt;År1,0,X86*(1-VLOOKUP($A87,[1]Hugst!$R$5:$W$9,MATCH(ROUNDUP((Y$1)/10,0)*10,[1]Hugst!$R$4:$W$4,0))))</f>
        <v>3211.9619651281473</v>
      </c>
      <c r="Z87">
        <f ca="1">IF($C87-Z$1&lt;År1,0,Y86*(1-VLOOKUP($A87,[1]Hugst!$R$5:$W$9,MATCH(ROUNDUP((Z$1)/10,0)*10,[1]Hugst!$R$4:$W$4,0))))</f>
        <v>3211.1219932578933</v>
      </c>
      <c r="AA87">
        <f ca="1">IF($C87-AA$1&lt;År1,0,Z86*(1-VLOOKUP($A87,[1]Hugst!$R$5:$W$9,MATCH(ROUNDUP((AA$1)/10,0)*10,[1]Hugst!$R$4:$W$4,0))))</f>
        <v>3210.2990240612367</v>
      </c>
      <c r="AB87">
        <f ca="1">IF($C87-AB$1&lt;År1,0,AA86*(1-VLOOKUP($A87,[1]Hugst!$R$5:$W$9,MATCH(ROUNDUP((AB$1)/10,0)*10,[1]Hugst!$R$4:$W$4,0))))</f>
        <v>3209.4930789680766</v>
      </c>
      <c r="AC87">
        <f ca="1">IF($C87-AC$1&lt;År1,0,AB86*(1-VLOOKUP($A87,[1]Hugst!$R$5:$W$9,MATCH(ROUNDUP((AC$1)/10,0)*10,[1]Hugst!$R$4:$W$4,0))))</f>
        <v>3208.7041795383334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55000000000000004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85.022645435048616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4570.2474381835691</v>
      </c>
      <c r="G88">
        <f ca="1">IF($C88-G$1&lt;År1,0,F87*(1-VLOOKUP($A88,[1]Hugst!$R$5:$W$9,MATCH(ROUNDUP((G$1)/10,0)*10,[1]Hugst!$R$4:$W$4,0))))</f>
        <v>4567.1035642492952</v>
      </c>
      <c r="H88">
        <f ca="1">IF($C88-H$1&lt;År1,0,G87*(1-VLOOKUP($A88,[1]Hugst!$R$5:$W$9,MATCH(ROUNDUP((H$1)/10,0)*10,[1]Hugst!$R$4:$W$4,0))))</f>
        <v>4563.968502194044</v>
      </c>
      <c r="I88">
        <f ca="1">IF($C88-I$1&lt;År1,0,H87*(1-VLOOKUP($A88,[1]Hugst!$R$5:$W$9,MATCH(ROUNDUP((I$1)/10,0)*10,[1]Hugst!$R$4:$W$4,0))))</f>
        <v>4560.8423208432305</v>
      </c>
      <c r="J88">
        <f ca="1">IF($C88-J$1&lt;År1,0,I87*(1-VLOOKUP($A88,[1]Hugst!$R$5:$W$9,MATCH(ROUNDUP((J$1)/10,0)*10,[1]Hugst!$R$4:$W$4,0))))</f>
        <v>4557.7250893862383</v>
      </c>
      <c r="K88">
        <f ca="1">IF($C88-K$1&lt;År1,0,J87*(1-VLOOKUP($A88,[1]Hugst!$R$5:$W$9,MATCH(ROUNDUP((K$1)/10,0)*10,[1]Hugst!$R$4:$W$4,0))))</f>
        <v>4556.6264485611628</v>
      </c>
      <c r="L88">
        <f ca="1">IF($C88-L$1&lt;År1,0,K87*(1-VLOOKUP($A88,[1]Hugst!$R$5:$W$9,MATCH(ROUNDUP((L$1)/10,0)*10,[1]Hugst!$R$4:$W$4,0))))</f>
        <v>4556.2277908750566</v>
      </c>
      <c r="M88">
        <f ca="1">IF($C88-M$1&lt;År1,0,L87*(1-VLOOKUP($A88,[1]Hugst!$R$5:$W$9,MATCH(ROUNDUP((M$1)/10,0)*10,[1]Hugst!$R$4:$W$4,0))))</f>
        <v>4555.8369814617399</v>
      </c>
      <c r="N88">
        <f ca="1">IF($C88-N$1&lt;År1,0,M87*(1-VLOOKUP($A88,[1]Hugst!$R$5:$W$9,MATCH(ROUNDUP((N$1)/10,0)*10,[1]Hugst!$R$4:$W$4,0))))</f>
        <v>4555.4540748105992</v>
      </c>
      <c r="O88">
        <f ca="1">IF($C88-O$1&lt;År1,0,N87*(1-VLOOKUP($A88,[1]Hugst!$R$5:$W$9,MATCH(ROUNDUP((O$1)/10,0)*10,[1]Hugst!$R$4:$W$4,0))))</f>
        <v>4555.0791257078599</v>
      </c>
      <c r="P88">
        <f ca="1">IF($C88-P$1&lt;År1,0,O87*(1-VLOOKUP($A88,[1]Hugst!$R$5:$W$9,MATCH(ROUNDUP((P$1)/10,0)*10,[1]Hugst!$R$4:$W$4,0))))</f>
        <v>4547.7643231865241</v>
      </c>
      <c r="Q88">
        <f ca="1">IF($C88-Q$1&lt;År1,0,P87*(1-VLOOKUP($A88,[1]Hugst!$R$5:$W$9,MATCH(ROUNDUP((Q$1)/10,0)*10,[1]Hugst!$R$4:$W$4,0))))</f>
        <v>4540.4692811400118</v>
      </c>
      <c r="R88">
        <f ca="1">IF($C88-R$1&lt;År1,0,Q87*(1-VLOOKUP($A88,[1]Hugst!$R$5:$W$9,MATCH(ROUNDUP((R$1)/10,0)*10,[1]Hugst!$R$4:$W$4,0))))</f>
        <v>4533.1939994647519</v>
      </c>
      <c r="S88">
        <f ca="1">IF($C88-S$1&lt;År1,0,R87*(1-VLOOKUP($A88,[1]Hugst!$R$5:$W$9,MATCH(ROUNDUP((S$1)/10,0)*10,[1]Hugst!$R$4:$W$4,0))))</f>
        <v>4525.938478162202</v>
      </c>
      <c r="T88">
        <f ca="1">IF($C88-T$1&lt;År1,0,S87*(1-VLOOKUP($A88,[1]Hugst!$R$5:$W$9,MATCH(ROUNDUP((T$1)/10,0)*10,[1]Hugst!$R$4:$W$4,0))))</f>
        <v>3213.3287029127496</v>
      </c>
      <c r="U88">
        <f ca="1">IF($C88-U$1&lt;År1,0,T87*(1-VLOOKUP($A88,[1]Hugst!$R$5:$W$9,MATCH(ROUNDUP((U$1)/10,0)*10,[1]Hugst!$R$4:$W$4,0))))</f>
        <v>3208.1039512780703</v>
      </c>
      <c r="V88">
        <f ca="1">IF($C88-V$1&lt;År1,0,U87*(1-VLOOKUP($A88,[1]Hugst!$R$5:$W$9,MATCH(ROUNDUP((V$1)/10,0)*10,[1]Hugst!$R$4:$W$4,0))))</f>
        <v>3207.862342744409</v>
      </c>
      <c r="W88">
        <f ca="1">IF($C88-W$1&lt;År1,0,V87*(1-VLOOKUP($A88,[1]Hugst!$R$5:$W$9,MATCH(ROUNDUP((W$1)/10,0)*10,[1]Hugst!$R$4:$W$4,0))))</f>
        <v>3207.6373481015448</v>
      </c>
      <c r="X88">
        <f ca="1">IF($C88-X$1&lt;År1,0,W87*(1-VLOOKUP($A88,[1]Hugst!$R$5:$W$9,MATCH(ROUNDUP((X$1)/10,0)*10,[1]Hugst!$R$4:$W$4,0))))</f>
        <v>3207.4289987356192</v>
      </c>
      <c r="Y88">
        <f ca="1">IF($C88-Y$1&lt;År1,0,X87*(1-VLOOKUP($A88,[1]Hugst!$R$5:$W$9,MATCH(ROUNDUP((Y$1)/10,0)*10,[1]Hugst!$R$4:$W$4,0))))</f>
        <v>3207.2373261829375</v>
      </c>
      <c r="Z88">
        <f ca="1">IF($C88-Z$1&lt;År1,0,Y87*(1-VLOOKUP($A88,[1]Hugst!$R$5:$W$9,MATCH(ROUNDUP((Z$1)/10,0)*10,[1]Hugst!$R$4:$W$4,0))))</f>
        <v>3206.3818617141533</v>
      </c>
      <c r="AA88">
        <f ca="1">IF($C88-AA$1&lt;År1,0,Z87*(1-VLOOKUP($A88,[1]Hugst!$R$5:$W$9,MATCH(ROUNDUP((AA$1)/10,0)*10,[1]Hugst!$R$4:$W$4,0))))</f>
        <v>3205.5433491170638</v>
      </c>
      <c r="AB88">
        <f ca="1">IF($C88-AB$1&lt;År1,0,AA87*(1-VLOOKUP($A88,[1]Hugst!$R$5:$W$9,MATCH(ROUNDUP((AB$1)/10,0)*10,[1]Hugst!$R$4:$W$4,0))))</f>
        <v>3204.7218096550282</v>
      </c>
      <c r="AC88">
        <f ca="1">IF($C88-AC$1&lt;År1,0,AB87*(1-VLOOKUP($A88,[1]Hugst!$R$5:$W$9,MATCH(ROUNDUP((AC$1)/10,0)*10,[1]Hugst!$R$4:$W$4,0))))</f>
        <v>3203.9172647207165</v>
      </c>
      <c r="AD88">
        <f ca="1">IF($C88-AD$1&lt;År1,0,AC87*(1-VLOOKUP($A88,[1]Hugst!$R$5:$W$9,MATCH(ROUNDUP((AD$1)/10,0)*10,[1]Hugst!$R$4:$W$4,0))))</f>
        <v>3203.1297358365928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55000000000000004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92.514966995295254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4573.4000555331568</v>
      </c>
      <c r="G89">
        <f ca="1">IF($C89-G$1&lt;År1,0,F88*(1-VLOOKUP($A89,[1]Hugst!$R$5:$W$9,MATCH(ROUNDUP((G$1)/10,0)*10,[1]Hugst!$R$4:$W$4,0))))</f>
        <v>4570.2474381835691</v>
      </c>
      <c r="H89">
        <f ca="1">IF($C89-H$1&lt;År1,0,G88*(1-VLOOKUP($A89,[1]Hugst!$R$5:$W$9,MATCH(ROUNDUP((H$1)/10,0)*10,[1]Hugst!$R$4:$W$4,0))))</f>
        <v>4567.1035642492952</v>
      </c>
      <c r="I89">
        <f ca="1">IF($C89-I$1&lt;År1,0,H88*(1-VLOOKUP($A89,[1]Hugst!$R$5:$W$9,MATCH(ROUNDUP((I$1)/10,0)*10,[1]Hugst!$R$4:$W$4,0))))</f>
        <v>4563.968502194044</v>
      </c>
      <c r="J89">
        <f ca="1">IF($C89-J$1&lt;År1,0,I88*(1-VLOOKUP($A89,[1]Hugst!$R$5:$W$9,MATCH(ROUNDUP((J$1)/10,0)*10,[1]Hugst!$R$4:$W$4,0))))</f>
        <v>4560.8423208432305</v>
      </c>
      <c r="K89">
        <f ca="1">IF($C89-K$1&lt;År1,0,J88*(1-VLOOKUP($A89,[1]Hugst!$R$5:$W$9,MATCH(ROUNDUP((K$1)/10,0)*10,[1]Hugst!$R$4:$W$4,0))))</f>
        <v>4557.7250893862383</v>
      </c>
      <c r="L89">
        <f ca="1">IF($C89-L$1&lt;År1,0,K88*(1-VLOOKUP($A89,[1]Hugst!$R$5:$W$9,MATCH(ROUNDUP((L$1)/10,0)*10,[1]Hugst!$R$4:$W$4,0))))</f>
        <v>4556.6264485611628</v>
      </c>
      <c r="M89">
        <f ca="1">IF($C89-M$1&lt;År1,0,L88*(1-VLOOKUP($A89,[1]Hugst!$R$5:$W$9,MATCH(ROUNDUP((M$1)/10,0)*10,[1]Hugst!$R$4:$W$4,0))))</f>
        <v>4556.2277908750566</v>
      </c>
      <c r="N89">
        <f ca="1">IF($C89-N$1&lt;År1,0,M88*(1-VLOOKUP($A89,[1]Hugst!$R$5:$W$9,MATCH(ROUNDUP((N$1)/10,0)*10,[1]Hugst!$R$4:$W$4,0))))</f>
        <v>4555.8369814617399</v>
      </c>
      <c r="O89">
        <f ca="1">IF($C89-O$1&lt;År1,0,N88*(1-VLOOKUP($A89,[1]Hugst!$R$5:$W$9,MATCH(ROUNDUP((O$1)/10,0)*10,[1]Hugst!$R$4:$W$4,0))))</f>
        <v>4555.4540748105992</v>
      </c>
      <c r="P89">
        <f ca="1">IF($C89-P$1&lt;År1,0,O88*(1-VLOOKUP($A89,[1]Hugst!$R$5:$W$9,MATCH(ROUNDUP((P$1)/10,0)*10,[1]Hugst!$R$4:$W$4,0))))</f>
        <v>4548.1306999228818</v>
      </c>
      <c r="Q89">
        <f ca="1">IF($C89-Q$1&lt;År1,0,P88*(1-VLOOKUP($A89,[1]Hugst!$R$5:$W$9,MATCH(ROUNDUP((Q$1)/10,0)*10,[1]Hugst!$R$4:$W$4,0))))</f>
        <v>4540.8270555748832</v>
      </c>
      <c r="R89">
        <f ca="1">IF($C89-R$1&lt;År1,0,Q88*(1-VLOOKUP($A89,[1]Hugst!$R$5:$W$9,MATCH(ROUNDUP((R$1)/10,0)*10,[1]Hugst!$R$4:$W$4,0))))</f>
        <v>4533.5431415586118</v>
      </c>
      <c r="S89">
        <f ca="1">IF($C89-S$1&lt;År1,0,R88*(1-VLOOKUP($A89,[1]Hugst!$R$5:$W$9,MATCH(ROUNDUP((S$1)/10,0)*10,[1]Hugst!$R$4:$W$4,0))))</f>
        <v>4526.2789577706526</v>
      </c>
      <c r="T89">
        <f ca="1">IF($C89-T$1&lt;År1,0,S88*(1-VLOOKUP($A89,[1]Hugst!$R$5:$W$9,MATCH(ROUNDUP((T$1)/10,0)*10,[1]Hugst!$R$4:$W$4,0))))</f>
        <v>4519.0345042124627</v>
      </c>
      <c r="U89">
        <f ca="1">IF($C89-U$1&lt;År1,0,T88*(1-VLOOKUP($A89,[1]Hugst!$R$5:$W$9,MATCH(ROUNDUP((U$1)/10,0)*10,[1]Hugst!$R$4:$W$4,0))))</f>
        <v>3208.4270150608486</v>
      </c>
      <c r="V89">
        <f ca="1">IF($C89-V$1&lt;År1,0,U88*(1-VLOOKUP($A89,[1]Hugst!$R$5:$W$9,MATCH(ROUNDUP((V$1)/10,0)*10,[1]Hugst!$R$4:$W$4,0))))</f>
        <v>3203.2102333862899</v>
      </c>
      <c r="W89">
        <f ca="1">IF($C89-W$1&lt;År1,0,V88*(1-VLOOKUP($A89,[1]Hugst!$R$5:$W$9,MATCH(ROUNDUP((W$1)/10,0)*10,[1]Hugst!$R$4:$W$4,0))))</f>
        <v>3202.9689934080193</v>
      </c>
      <c r="X89">
        <f ca="1">IF($C89-X$1&lt;År1,0,W88*(1-VLOOKUP($A89,[1]Hugst!$R$5:$W$9,MATCH(ROUNDUP((X$1)/10,0)*10,[1]Hugst!$R$4:$W$4,0))))</f>
        <v>3202.7443419773222</v>
      </c>
      <c r="Y89">
        <f ca="1">IF($C89-Y$1&lt;År1,0,X88*(1-VLOOKUP($A89,[1]Hugst!$R$5:$W$9,MATCH(ROUNDUP((Y$1)/10,0)*10,[1]Hugst!$R$4:$W$4,0))))</f>
        <v>3202.5363104324629</v>
      </c>
      <c r="Z89">
        <f ca="1">IF($C89-Z$1&lt;År1,0,Y88*(1-VLOOKUP($A89,[1]Hugst!$R$5:$W$9,MATCH(ROUNDUP((Z$1)/10,0)*10,[1]Hugst!$R$4:$W$4,0))))</f>
        <v>3201.6654308281281</v>
      </c>
      <c r="AA89">
        <f ca="1">IF($C89-AA$1&lt;År1,0,Z88*(1-VLOOKUP($A89,[1]Hugst!$R$5:$W$9,MATCH(ROUNDUP((AA$1)/10,0)*10,[1]Hugst!$R$4:$W$4,0))))</f>
        <v>3200.8114525476158</v>
      </c>
      <c r="AB89">
        <f ca="1">IF($C89-AB$1&lt;År1,0,AA88*(1-VLOOKUP($A89,[1]Hugst!$R$5:$W$9,MATCH(ROUNDUP((AB$1)/10,0)*10,[1]Hugst!$R$4:$W$4,0))))</f>
        <v>3199.974396688513</v>
      </c>
      <c r="AC89">
        <f ca="1">IF($C89-AC$1&lt;År1,0,AB88*(1-VLOOKUP($A89,[1]Hugst!$R$5:$W$9,MATCH(ROUNDUP((AC$1)/10,0)*10,[1]Hugst!$R$4:$W$4,0))))</f>
        <v>3199.1542844772375</v>
      </c>
      <c r="AD89">
        <f ca="1">IF($C89-AD$1&lt;År1,0,AC88*(1-VLOOKUP($A89,[1]Hugst!$R$5:$W$9,MATCH(ROUNDUP((AD$1)/10,0)*10,[1]Hugst!$R$4:$W$4,0))))</f>
        <v>3198.3511372692947</v>
      </c>
      <c r="AE89">
        <f ca="1">IF($C89-AE$1&lt;År1,0,AD88*(1-VLOOKUP($A89,[1]Hugst!$R$5:$W$9,MATCH(ROUNDUP((AE$1)/10,0)*10,[1]Hugst!$R$4:$W$4,0))))</f>
        <v>3197.5649765497578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55000000000000004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99.994265346496832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4576.5613481947858</v>
      </c>
      <c r="G90">
        <f ca="1">IF($C90-G$1&lt;År1,0,F89*(1-VLOOKUP($A90,[1]Hugst!$R$5:$W$9,MATCH(ROUNDUP((G$1)/10,0)*10,[1]Hugst!$R$4:$W$4,0))))</f>
        <v>4573.4000555331568</v>
      </c>
      <c r="H90">
        <f ca="1">IF($C90-H$1&lt;År1,0,G89*(1-VLOOKUP($A90,[1]Hugst!$R$5:$W$9,MATCH(ROUNDUP((H$1)/10,0)*10,[1]Hugst!$R$4:$W$4,0))))</f>
        <v>4570.2474381835691</v>
      </c>
      <c r="I90">
        <f ca="1">IF($C90-I$1&lt;År1,0,H89*(1-VLOOKUP($A90,[1]Hugst!$R$5:$W$9,MATCH(ROUNDUP((I$1)/10,0)*10,[1]Hugst!$R$4:$W$4,0))))</f>
        <v>4567.1035642492952</v>
      </c>
      <c r="J90">
        <f ca="1">IF($C90-J$1&lt;År1,0,I89*(1-VLOOKUP($A90,[1]Hugst!$R$5:$W$9,MATCH(ROUNDUP((J$1)/10,0)*10,[1]Hugst!$R$4:$W$4,0))))</f>
        <v>4563.968502194044</v>
      </c>
      <c r="K90">
        <f ca="1">IF($C90-K$1&lt;År1,0,J89*(1-VLOOKUP($A90,[1]Hugst!$R$5:$W$9,MATCH(ROUNDUP((K$1)/10,0)*10,[1]Hugst!$R$4:$W$4,0))))</f>
        <v>4560.8423208432305</v>
      </c>
      <c r="L90">
        <f ca="1">IF($C90-L$1&lt;År1,0,K89*(1-VLOOKUP($A90,[1]Hugst!$R$5:$W$9,MATCH(ROUNDUP((L$1)/10,0)*10,[1]Hugst!$R$4:$W$4,0))))</f>
        <v>4557.7250893862383</v>
      </c>
      <c r="M90">
        <f ca="1">IF($C90-M$1&lt;År1,0,L89*(1-VLOOKUP($A90,[1]Hugst!$R$5:$W$9,MATCH(ROUNDUP((M$1)/10,0)*10,[1]Hugst!$R$4:$W$4,0))))</f>
        <v>4556.6264485611628</v>
      </c>
      <c r="N90">
        <f ca="1">IF($C90-N$1&lt;År1,0,M89*(1-VLOOKUP($A90,[1]Hugst!$R$5:$W$9,MATCH(ROUNDUP((N$1)/10,0)*10,[1]Hugst!$R$4:$W$4,0))))</f>
        <v>4556.2277908750566</v>
      </c>
      <c r="O90">
        <f ca="1">IF($C90-O$1&lt;År1,0,N89*(1-VLOOKUP($A90,[1]Hugst!$R$5:$W$9,MATCH(ROUNDUP((O$1)/10,0)*10,[1]Hugst!$R$4:$W$4,0))))</f>
        <v>4555.8369814617399</v>
      </c>
      <c r="P90">
        <f ca="1">IF($C90-P$1&lt;År1,0,O89*(1-VLOOKUP($A90,[1]Hugst!$R$5:$W$9,MATCH(ROUNDUP((P$1)/10,0)*10,[1]Hugst!$R$4:$W$4,0))))</f>
        <v>4548.5050770693624</v>
      </c>
      <c r="Q90">
        <f ca="1">IF($C90-Q$1&lt;År1,0,P89*(1-VLOOKUP($A90,[1]Hugst!$R$5:$W$9,MATCH(ROUNDUP((Q$1)/10,0)*10,[1]Hugst!$R$4:$W$4,0))))</f>
        <v>4541.1928734314743</v>
      </c>
      <c r="R90">
        <f ca="1">IF($C90-R$1&lt;År1,0,Q89*(1-VLOOKUP($A90,[1]Hugst!$R$5:$W$9,MATCH(ROUNDUP((R$1)/10,0)*10,[1]Hugst!$R$4:$W$4,0))))</f>
        <v>4533.9003702358705</v>
      </c>
      <c r="S90">
        <f ca="1">IF($C90-S$1&lt;År1,0,R89*(1-VLOOKUP($A90,[1]Hugst!$R$5:$W$9,MATCH(ROUNDUP((S$1)/10,0)*10,[1]Hugst!$R$4:$W$4,0))))</f>
        <v>4526.6275672748779</v>
      </c>
      <c r="T90">
        <f ca="1">IF($C90-T$1&lt;År1,0,S89*(1-VLOOKUP($A90,[1]Hugst!$R$5:$W$9,MATCH(ROUNDUP((T$1)/10,0)*10,[1]Hugst!$R$4:$W$4,0))))</f>
        <v>4519.3744644452399</v>
      </c>
      <c r="U90">
        <f ca="1">IF($C90-U$1&lt;År1,0,T89*(1-VLOOKUP($A90,[1]Hugst!$R$5:$W$9,MATCH(ROUNDUP((U$1)/10,0)*10,[1]Hugst!$R$4:$W$4,0))))</f>
        <v>4512.1410617484098</v>
      </c>
      <c r="V90">
        <f ca="1">IF($C90-V$1&lt;År1,0,U89*(1-VLOOKUP($A90,[1]Hugst!$R$5:$W$9,MATCH(ROUNDUP((V$1)/10,0)*10,[1]Hugst!$R$4:$W$4,0))))</f>
        <v>3203.5328043599084</v>
      </c>
      <c r="W90">
        <f ca="1">IF($C90-W$1&lt;År1,0,V89*(1-VLOOKUP($A90,[1]Hugst!$R$5:$W$9,MATCH(ROUNDUP((W$1)/10,0)*10,[1]Hugst!$R$4:$W$4,0))))</f>
        <v>3198.323980487904</v>
      </c>
      <c r="X90">
        <f ca="1">IF($C90-X$1&lt;År1,0,W89*(1-VLOOKUP($A90,[1]Hugst!$R$5:$W$9,MATCH(ROUNDUP((X$1)/10,0)*10,[1]Hugst!$R$4:$W$4,0))))</f>
        <v>3198.0831085028203</v>
      </c>
      <c r="Y90">
        <f ca="1">IF($C90-Y$1&lt;År1,0,X89*(1-VLOOKUP($A90,[1]Hugst!$R$5:$W$9,MATCH(ROUNDUP((Y$1)/10,0)*10,[1]Hugst!$R$4:$W$4,0))))</f>
        <v>3197.8587997607465</v>
      </c>
      <c r="Z90">
        <f ca="1">IF($C90-Z$1&lt;År1,0,Y89*(1-VLOOKUP($A90,[1]Hugst!$R$5:$W$9,MATCH(ROUNDUP((Z$1)/10,0)*10,[1]Hugst!$R$4:$W$4,0))))</f>
        <v>3196.9725820965418</v>
      </c>
      <c r="AA90">
        <f ca="1">IF($C90-AA$1&lt;År1,0,Z89*(1-VLOOKUP($A90,[1]Hugst!$R$5:$W$9,MATCH(ROUNDUP((AA$1)/10,0)*10,[1]Hugst!$R$4:$W$4,0))))</f>
        <v>3196.1032154610111</v>
      </c>
      <c r="AB90">
        <f ca="1">IF($C90-AB$1&lt;År1,0,AA89*(1-VLOOKUP($A90,[1]Hugst!$R$5:$W$9,MATCH(ROUNDUP((AB$1)/10,0)*10,[1]Hugst!$R$4:$W$4,0))))</f>
        <v>3195.2507207868339</v>
      </c>
      <c r="AC90">
        <f ca="1">IF($C90-AC$1&lt;År1,0,AB89*(1-VLOOKUP($A90,[1]Hugst!$R$5:$W$9,MATCH(ROUNDUP((AC$1)/10,0)*10,[1]Hugst!$R$4:$W$4,0))))</f>
        <v>3194.4151191349438</v>
      </c>
      <c r="AD90">
        <f ca="1">IF($C90-AD$1&lt;År1,0,AC89*(1-VLOOKUP($A90,[1]Hugst!$R$5:$W$9,MATCH(ROUNDUP((AD$1)/10,0)*10,[1]Hugst!$R$4:$W$4,0))))</f>
        <v>3193.596431694883</v>
      </c>
      <c r="AE90">
        <f ca="1">IF($C90-AE$1&lt;År1,0,AD89*(1-VLOOKUP($A90,[1]Hugst!$R$5:$W$9,MATCH(ROUNDUP((AE$1)/10,0)*10,[1]Hugst!$R$4:$W$4,0))))</f>
        <v>3192.7946797850555</v>
      </c>
      <c r="AF90">
        <f ca="1">IF($C90-AF$1&lt;År1,0,AE89*(1-VLOOKUP($A90,[1]Hugst!$R$5:$W$9,MATCH(ROUNDUP((AF$1)/10,0)*10,[1]Hugst!$R$4:$W$4,0))))</f>
        <v>3192.0098848532093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55000000000000004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107.46058123648982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4579.7312484235681</v>
      </c>
      <c r="G91">
        <f ca="1">IF($C91-G$1&lt;År1,0,F90*(1-VLOOKUP($A91,[1]Hugst!$R$5:$W$9,MATCH(ROUNDUP((G$1)/10,0)*10,[1]Hugst!$R$4:$W$4,0))))</f>
        <v>4576.5613481947858</v>
      </c>
      <c r="H91">
        <f ca="1">IF($C91-H$1&lt;År1,0,G90*(1-VLOOKUP($A91,[1]Hugst!$R$5:$W$9,MATCH(ROUNDUP((H$1)/10,0)*10,[1]Hugst!$R$4:$W$4,0))))</f>
        <v>4573.4000555331568</v>
      </c>
      <c r="I91">
        <f ca="1">IF($C91-I$1&lt;År1,0,H90*(1-VLOOKUP($A91,[1]Hugst!$R$5:$W$9,MATCH(ROUNDUP((I$1)/10,0)*10,[1]Hugst!$R$4:$W$4,0))))</f>
        <v>4570.2474381835691</v>
      </c>
      <c r="J91">
        <f ca="1">IF($C91-J$1&lt;År1,0,I90*(1-VLOOKUP($A91,[1]Hugst!$R$5:$W$9,MATCH(ROUNDUP((J$1)/10,0)*10,[1]Hugst!$R$4:$W$4,0))))</f>
        <v>4567.1035642492952</v>
      </c>
      <c r="K91">
        <f ca="1">IF($C91-K$1&lt;År1,0,J90*(1-VLOOKUP($A91,[1]Hugst!$R$5:$W$9,MATCH(ROUNDUP((K$1)/10,0)*10,[1]Hugst!$R$4:$W$4,0))))</f>
        <v>4563.968502194044</v>
      </c>
      <c r="L91">
        <f ca="1">IF($C91-L$1&lt;År1,0,K90*(1-VLOOKUP($A91,[1]Hugst!$R$5:$W$9,MATCH(ROUNDUP((L$1)/10,0)*10,[1]Hugst!$R$4:$W$4,0))))</f>
        <v>4560.8423208432305</v>
      </c>
      <c r="M91">
        <f ca="1">IF($C91-M$1&lt;År1,0,L90*(1-VLOOKUP($A91,[1]Hugst!$R$5:$W$9,MATCH(ROUNDUP((M$1)/10,0)*10,[1]Hugst!$R$4:$W$4,0))))</f>
        <v>4557.7250893862383</v>
      </c>
      <c r="N91">
        <f ca="1">IF($C91-N$1&lt;År1,0,M90*(1-VLOOKUP($A91,[1]Hugst!$R$5:$W$9,MATCH(ROUNDUP((N$1)/10,0)*10,[1]Hugst!$R$4:$W$4,0))))</f>
        <v>4556.6264485611628</v>
      </c>
      <c r="O91">
        <f ca="1">IF($C91-O$1&lt;År1,0,N90*(1-VLOOKUP($A91,[1]Hugst!$R$5:$W$9,MATCH(ROUNDUP((O$1)/10,0)*10,[1]Hugst!$R$4:$W$4,0))))</f>
        <v>4556.2277908750566</v>
      </c>
      <c r="P91">
        <f ca="1">IF($C91-P$1&lt;År1,0,O90*(1-VLOOKUP($A91,[1]Hugst!$R$5:$W$9,MATCH(ROUNDUP((P$1)/10,0)*10,[1]Hugst!$R$4:$W$4,0))))</f>
        <v>4548.8873996256116</v>
      </c>
      <c r="Q91">
        <f ca="1">IF($C91-Q$1&lt;År1,0,P90*(1-VLOOKUP($A91,[1]Hugst!$R$5:$W$9,MATCH(ROUNDUP((Q$1)/10,0)*10,[1]Hugst!$R$4:$W$4,0))))</f>
        <v>4541.5666794941717</v>
      </c>
      <c r="R91">
        <f ca="1">IF($C91-R$1&lt;År1,0,Q90*(1-VLOOKUP($A91,[1]Hugst!$R$5:$W$9,MATCH(ROUNDUP((R$1)/10,0)*10,[1]Hugst!$R$4:$W$4,0))))</f>
        <v>4534.2656300652225</v>
      </c>
      <c r="S91">
        <f ca="1">IF($C91-S$1&lt;År1,0,R90*(1-VLOOKUP($A91,[1]Hugst!$R$5:$W$9,MATCH(ROUNDUP((S$1)/10,0)*10,[1]Hugst!$R$4:$W$4,0))))</f>
        <v>4526.9842510270355</v>
      </c>
      <c r="T91">
        <f ca="1">IF($C91-T$1&lt;År1,0,S90*(1-VLOOKUP($A91,[1]Hugst!$R$5:$W$9,MATCH(ROUNDUP((T$1)/10,0)*10,[1]Hugst!$R$4:$W$4,0))))</f>
        <v>4519.7225421722551</v>
      </c>
      <c r="U91">
        <f ca="1">IF($C91-U$1&lt;År1,0,T90*(1-VLOOKUP($A91,[1]Hugst!$R$5:$W$9,MATCH(ROUNDUP((U$1)/10,0)*10,[1]Hugst!$R$4:$W$4,0))))</f>
        <v>4512.4805033977809</v>
      </c>
      <c r="V91">
        <f ca="1">IF($C91-V$1&lt;År1,0,U90*(1-VLOOKUP($A91,[1]Hugst!$R$5:$W$9,MATCH(ROUNDUP((V$1)/10,0)*10,[1]Hugst!$R$4:$W$4,0))))</f>
        <v>4505.2581347050645</v>
      </c>
      <c r="W91">
        <f ca="1">IF($C91-W$1&lt;År1,0,V90*(1-VLOOKUP($A91,[1]Hugst!$R$5:$W$9,MATCH(ROUNDUP((W$1)/10,0)*10,[1]Hugst!$R$4:$W$4,0))))</f>
        <v>3198.646059404105</v>
      </c>
      <c r="X91">
        <f ca="1">IF($C91-X$1&lt;År1,0,W90*(1-VLOOKUP($A91,[1]Hugst!$R$5:$W$9,MATCH(ROUNDUP((X$1)/10,0)*10,[1]Hugst!$R$4:$W$4,0))))</f>
        <v>3193.4451811956342</v>
      </c>
      <c r="Y91">
        <f ca="1">IF($C91-Y$1&lt;År1,0,X90*(1-VLOOKUP($A91,[1]Hugst!$R$5:$W$9,MATCH(ROUNDUP((Y$1)/10,0)*10,[1]Hugst!$R$4:$W$4,0))))</f>
        <v>3193.2046766423923</v>
      </c>
      <c r="Z91">
        <f ca="1">IF($C91-Z$1&lt;År1,0,Y90*(1-VLOOKUP($A91,[1]Hugst!$R$5:$W$9,MATCH(ROUNDUP((Z$1)/10,0)*10,[1]Hugst!$R$4:$W$4,0))))</f>
        <v>3192.3031976086195</v>
      </c>
      <c r="AA91">
        <f ca="1">IF($C91-AA$1&lt;År1,0,Z90*(1-VLOOKUP($A91,[1]Hugst!$R$5:$W$9,MATCH(ROUNDUP((AA$1)/10,0)*10,[1]Hugst!$R$4:$W$4,0))))</f>
        <v>3191.4185195598484</v>
      </c>
      <c r="AB91">
        <f ca="1">IF($C91-AB$1&lt;År1,0,AA90*(1-VLOOKUP($A91,[1]Hugst!$R$5:$W$9,MATCH(ROUNDUP((AB$1)/10,0)*10,[1]Hugst!$R$4:$W$4,0))))</f>
        <v>3190.5506632646593</v>
      </c>
      <c r="AC91">
        <f ca="1">IF($C91-AC$1&lt;År1,0,AB90*(1-VLOOKUP($A91,[1]Hugst!$R$5:$W$9,MATCH(ROUNDUP((AC$1)/10,0)*10,[1]Hugst!$R$4:$W$4,0))))</f>
        <v>3189.6996496193651</v>
      </c>
      <c r="AD91">
        <f ca="1">IF($C91-AD$1&lt;År1,0,AC90*(1-VLOOKUP($A91,[1]Hugst!$R$5:$W$9,MATCH(ROUNDUP((AD$1)/10,0)*10,[1]Hugst!$R$4:$W$4,0))))</f>
        <v>3188.865499648311</v>
      </c>
      <c r="AE91">
        <f ca="1">IF($C91-AE$1&lt;År1,0,AD90*(1-VLOOKUP($A91,[1]Hugst!$R$5:$W$9,MATCH(ROUNDUP((AE$1)/10,0)*10,[1]Hugst!$R$4:$W$4,0))))</f>
        <v>3188.0482345042265</v>
      </c>
      <c r="AF91">
        <f ca="1">IF($C91-AF$1&lt;År1,0,AE90*(1-VLOOKUP($A91,[1]Hugst!$R$5:$W$9,MATCH(ROUNDUP((AF$1)/10,0)*10,[1]Hugst!$R$4:$W$4,0))))</f>
        <v>3187.2478754684794</v>
      </c>
      <c r="AG91">
        <f ca="1">IF($C91-AG$1&lt;År1,0,AF90*(1-VLOOKUP($A91,[1]Hugst!$R$5:$W$9,MATCH(ROUNDUP((AG$1)/10,0)*10,[1]Hugst!$R$4:$W$4,0))))</f>
        <v>3186.4644439515573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55000000000000004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114.91395522718085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4582.9096888314361</v>
      </c>
      <c r="G92">
        <f ca="1">IF($C92-G$1&lt;År1,0,F91*(1-VLOOKUP($A92,[1]Hugst!$R$5:$W$9,MATCH(ROUNDUP((G$1)/10,0)*10,[1]Hugst!$R$4:$W$4,0))))</f>
        <v>4579.7312484235681</v>
      </c>
      <c r="H92">
        <f ca="1">IF($C92-H$1&lt;År1,0,G91*(1-VLOOKUP($A92,[1]Hugst!$R$5:$W$9,MATCH(ROUNDUP((H$1)/10,0)*10,[1]Hugst!$R$4:$W$4,0))))</f>
        <v>4576.5613481947858</v>
      </c>
      <c r="I92">
        <f ca="1">IF($C92-I$1&lt;År1,0,H91*(1-VLOOKUP($A92,[1]Hugst!$R$5:$W$9,MATCH(ROUNDUP((I$1)/10,0)*10,[1]Hugst!$R$4:$W$4,0))))</f>
        <v>4573.4000555331568</v>
      </c>
      <c r="J92">
        <f ca="1">IF($C92-J$1&lt;År1,0,I91*(1-VLOOKUP($A92,[1]Hugst!$R$5:$W$9,MATCH(ROUNDUP((J$1)/10,0)*10,[1]Hugst!$R$4:$W$4,0))))</f>
        <v>4570.2474381835691</v>
      </c>
      <c r="K92">
        <f ca="1">IF($C92-K$1&lt;År1,0,J91*(1-VLOOKUP($A92,[1]Hugst!$R$5:$W$9,MATCH(ROUNDUP((K$1)/10,0)*10,[1]Hugst!$R$4:$W$4,0))))</f>
        <v>4567.1035642492952</v>
      </c>
      <c r="L92">
        <f ca="1">IF($C92-L$1&lt;År1,0,K91*(1-VLOOKUP($A92,[1]Hugst!$R$5:$W$9,MATCH(ROUNDUP((L$1)/10,0)*10,[1]Hugst!$R$4:$W$4,0))))</f>
        <v>4563.968502194044</v>
      </c>
      <c r="M92">
        <f ca="1">IF($C92-M$1&lt;År1,0,L91*(1-VLOOKUP($A92,[1]Hugst!$R$5:$W$9,MATCH(ROUNDUP((M$1)/10,0)*10,[1]Hugst!$R$4:$W$4,0))))</f>
        <v>4560.8423208432305</v>
      </c>
      <c r="N92">
        <f ca="1">IF($C92-N$1&lt;År1,0,M91*(1-VLOOKUP($A92,[1]Hugst!$R$5:$W$9,MATCH(ROUNDUP((N$1)/10,0)*10,[1]Hugst!$R$4:$W$4,0))))</f>
        <v>4557.7250893862383</v>
      </c>
      <c r="O92">
        <f ca="1">IF($C92-O$1&lt;År1,0,N91*(1-VLOOKUP($A92,[1]Hugst!$R$5:$W$9,MATCH(ROUNDUP((O$1)/10,0)*10,[1]Hugst!$R$4:$W$4,0))))</f>
        <v>4556.6264485611628</v>
      </c>
      <c r="P92">
        <f ca="1">IF($C92-P$1&lt;År1,0,O91*(1-VLOOKUP($A92,[1]Hugst!$R$5:$W$9,MATCH(ROUNDUP((P$1)/10,0)*10,[1]Hugst!$R$4:$W$4,0))))</f>
        <v>4549.2776128889755</v>
      </c>
      <c r="Q92">
        <f ca="1">IF($C92-Q$1&lt;År1,0,P91*(1-VLOOKUP($A92,[1]Hugst!$R$5:$W$9,MATCH(ROUNDUP((Q$1)/10,0)*10,[1]Hugst!$R$4:$W$4,0))))</f>
        <v>4541.9484188465212</v>
      </c>
      <c r="R92">
        <f ca="1">IF($C92-R$1&lt;År1,0,Q91*(1-VLOOKUP($A92,[1]Hugst!$R$5:$W$9,MATCH(ROUNDUP((R$1)/10,0)*10,[1]Hugst!$R$4:$W$4,0))))</f>
        <v>4534.6388659152817</v>
      </c>
      <c r="S92">
        <f ca="1">IF($C92-S$1&lt;År1,0,R91*(1-VLOOKUP($A92,[1]Hugst!$R$5:$W$9,MATCH(ROUNDUP((S$1)/10,0)*10,[1]Hugst!$R$4:$W$4,0))))</f>
        <v>4527.3489536803772</v>
      </c>
      <c r="T92">
        <f ca="1">IF($C92-T$1&lt;År1,0,S91*(1-VLOOKUP($A92,[1]Hugst!$R$5:$W$9,MATCH(ROUNDUP((T$1)/10,0)*10,[1]Hugst!$R$4:$W$4,0))))</f>
        <v>4520.0786818305533</v>
      </c>
      <c r="U92">
        <f ca="1">IF($C92-U$1&lt;År1,0,T91*(1-VLOOKUP($A92,[1]Hugst!$R$5:$W$9,MATCH(ROUNDUP((U$1)/10,0)*10,[1]Hugst!$R$4:$W$4,0))))</f>
        <v>4512.8280501587715</v>
      </c>
      <c r="V92">
        <f ca="1">IF($C92-V$1&lt;År1,0,U91*(1-VLOOKUP($A92,[1]Hugst!$R$5:$W$9,MATCH(ROUNDUP((V$1)/10,0)*10,[1]Hugst!$R$4:$W$4,0))))</f>
        <v>4505.5970585620889</v>
      </c>
      <c r="W92">
        <f ca="1">IF($C92-W$1&lt;År1,0,V91*(1-VLOOKUP($A92,[1]Hugst!$R$5:$W$9,MATCH(ROUNDUP((W$1)/10,0)*10,[1]Hugst!$R$4:$W$4,0))))</f>
        <v>4498.3857070419554</v>
      </c>
      <c r="X92">
        <f ca="1">IF($C92-X$1&lt;År1,0,W91*(1-VLOOKUP($A92,[1]Hugst!$R$5:$W$9,MATCH(ROUNDUP((X$1)/10,0)*10,[1]Hugst!$R$4:$W$4,0))))</f>
        <v>3193.7667688050137</v>
      </c>
      <c r="Y92">
        <f ca="1">IF($C92-Y$1&lt;År1,0,X91*(1-VLOOKUP($A92,[1]Hugst!$R$5:$W$9,MATCH(ROUNDUP((Y$1)/10,0)*10,[1]Hugst!$R$4:$W$4,0))))</f>
        <v>3188.5738241395729</v>
      </c>
      <c r="Z92">
        <f ca="1">IF($C92-Z$1&lt;År1,0,Y91*(1-VLOOKUP($A92,[1]Hugst!$R$5:$W$9,MATCH(ROUNDUP((Z$1)/10,0)*10,[1]Hugst!$R$4:$W$4,0))))</f>
        <v>3187.6571600431407</v>
      </c>
      <c r="AA92">
        <f ca="1">IF($C92-AA$1&lt;År1,0,Z91*(1-VLOOKUP($A92,[1]Hugst!$R$5:$W$9,MATCH(ROUNDUP((AA$1)/10,0)*10,[1]Hugst!$R$4:$W$4,0))))</f>
        <v>3186.7572471381977</v>
      </c>
      <c r="AB92">
        <f ca="1">IF($C92-AB$1&lt;År1,0,AA91*(1-VLOOKUP($A92,[1]Hugst!$R$5:$W$9,MATCH(ROUNDUP((AB$1)/10,0)*10,[1]Hugst!$R$4:$W$4,0))))</f>
        <v>3185.8741060301045</v>
      </c>
      <c r="AC92">
        <f ca="1">IF($C92-AC$1&lt;År1,0,AB91*(1-VLOOKUP($A92,[1]Hugst!$R$5:$W$9,MATCH(ROUNDUP((AC$1)/10,0)*10,[1]Hugst!$R$4:$W$4,0))))</f>
        <v>3185.0077574513602</v>
      </c>
      <c r="AD92">
        <f ca="1">IF($C92-AD$1&lt;År1,0,AC91*(1-VLOOKUP($A92,[1]Hugst!$R$5:$W$9,MATCH(ROUNDUP((AD$1)/10,0)*10,[1]Hugst!$R$4:$W$4,0))))</f>
        <v>3184.1582222619754</v>
      </c>
      <c r="AE92">
        <f ca="1">IF($C92-AE$1&lt;År1,0,AD91*(1-VLOOKUP($A92,[1]Hugst!$R$5:$W$9,MATCH(ROUNDUP((AE$1)/10,0)*10,[1]Hugst!$R$4:$W$4,0))))</f>
        <v>3183.3255214497694</v>
      </c>
      <c r="AF92">
        <f ca="1">IF($C92-AF$1&lt;År1,0,AE91*(1-VLOOKUP($A92,[1]Hugst!$R$5:$W$9,MATCH(ROUNDUP((AF$1)/10,0)*10,[1]Hugst!$R$4:$W$4,0))))</f>
        <v>3182.5096761307232</v>
      </c>
      <c r="AG92">
        <f ca="1">IF($C92-AG$1&lt;År1,0,AF91*(1-VLOOKUP($A92,[1]Hugst!$R$5:$W$9,MATCH(ROUNDUP((AG$1)/10,0)*10,[1]Hugst!$R$4:$W$4,0))))</f>
        <v>3181.7107075492331</v>
      </c>
      <c r="AH92">
        <f ca="1">IF($C92-AH$1&lt;År1,0,AG91*(1-VLOOKUP($A92,[1]Hugst!$R$5:$W$9,MATCH(ROUNDUP((AH$1)/10,0)*10,[1]Hugst!$R$4:$W$4,0))))</f>
        <v>3180.9286370785903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55000000000000004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122.35442769560905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4586.0966023849342</v>
      </c>
      <c r="G93">
        <f ca="1">IF($C93-G$1&lt;År1,0,F92*(1-VLOOKUP($A93,[1]Hugst!$R$5:$W$9,MATCH(ROUNDUP((G$1)/10,0)*10,[1]Hugst!$R$4:$W$4,0))))</f>
        <v>4582.9096888314361</v>
      </c>
      <c r="H93">
        <f ca="1">IF($C93-H$1&lt;År1,0,G92*(1-VLOOKUP($A93,[1]Hugst!$R$5:$W$9,MATCH(ROUNDUP((H$1)/10,0)*10,[1]Hugst!$R$4:$W$4,0))))</f>
        <v>4579.7312484235681</v>
      </c>
      <c r="I93">
        <f ca="1">IF($C93-I$1&lt;År1,0,H92*(1-VLOOKUP($A93,[1]Hugst!$R$5:$W$9,MATCH(ROUNDUP((I$1)/10,0)*10,[1]Hugst!$R$4:$W$4,0))))</f>
        <v>4576.5613481947858</v>
      </c>
      <c r="J93">
        <f ca="1">IF($C93-J$1&lt;År1,0,I92*(1-VLOOKUP($A93,[1]Hugst!$R$5:$W$9,MATCH(ROUNDUP((J$1)/10,0)*10,[1]Hugst!$R$4:$W$4,0))))</f>
        <v>4573.4000555331568</v>
      </c>
      <c r="K93">
        <f ca="1">IF($C93-K$1&lt;År1,0,J92*(1-VLOOKUP($A93,[1]Hugst!$R$5:$W$9,MATCH(ROUNDUP((K$1)/10,0)*10,[1]Hugst!$R$4:$W$4,0))))</f>
        <v>4570.2474381835691</v>
      </c>
      <c r="L93">
        <f ca="1">IF($C93-L$1&lt;År1,0,K92*(1-VLOOKUP($A93,[1]Hugst!$R$5:$W$9,MATCH(ROUNDUP((L$1)/10,0)*10,[1]Hugst!$R$4:$W$4,0))))</f>
        <v>4567.1035642492952</v>
      </c>
      <c r="M93">
        <f ca="1">IF($C93-M$1&lt;År1,0,L92*(1-VLOOKUP($A93,[1]Hugst!$R$5:$W$9,MATCH(ROUNDUP((M$1)/10,0)*10,[1]Hugst!$R$4:$W$4,0))))</f>
        <v>4563.968502194044</v>
      </c>
      <c r="N93">
        <f ca="1">IF($C93-N$1&lt;År1,0,M92*(1-VLOOKUP($A93,[1]Hugst!$R$5:$W$9,MATCH(ROUNDUP((N$1)/10,0)*10,[1]Hugst!$R$4:$W$4,0))))</f>
        <v>4560.8423208432305</v>
      </c>
      <c r="O93">
        <f ca="1">IF($C93-O$1&lt;År1,0,N92*(1-VLOOKUP($A93,[1]Hugst!$R$5:$W$9,MATCH(ROUNDUP((O$1)/10,0)*10,[1]Hugst!$R$4:$W$4,0))))</f>
        <v>4557.7250893862383</v>
      </c>
      <c r="P93">
        <f ca="1">IF($C93-P$1&lt;År1,0,O92*(1-VLOOKUP($A93,[1]Hugst!$R$5:$W$9,MATCH(ROUNDUP((P$1)/10,0)*10,[1]Hugst!$R$4:$W$4,0))))</f>
        <v>4549.6756624531881</v>
      </c>
      <c r="Q93">
        <f ca="1">IF($C93-Q$1&lt;År1,0,P92*(1-VLOOKUP($A93,[1]Hugst!$R$5:$W$9,MATCH(ROUNDUP((Q$1)/10,0)*10,[1]Hugst!$R$4:$W$4,0))))</f>
        <v>4542.3380368693142</v>
      </c>
      <c r="R93">
        <f ca="1">IF($C93-R$1&lt;År1,0,Q92*(1-VLOOKUP($A93,[1]Hugst!$R$5:$W$9,MATCH(ROUNDUP((R$1)/10,0)*10,[1]Hugst!$R$4:$W$4,0))))</f>
        <v>4535.0200229533657</v>
      </c>
      <c r="S93">
        <f ca="1">IF($C93-S$1&lt;År1,0,R92*(1-VLOOKUP($A93,[1]Hugst!$R$5:$W$9,MATCH(ROUNDUP((S$1)/10,0)*10,[1]Hugst!$R$4:$W$4,0))))</f>
        <v>4527.7216201876145</v>
      </c>
      <c r="T93">
        <f ca="1">IF($C93-T$1&lt;År1,0,S92*(1-VLOOKUP($A93,[1]Hugst!$R$5:$W$9,MATCH(ROUNDUP((T$1)/10,0)*10,[1]Hugst!$R$4:$W$4,0))))</f>
        <v>4520.4428281578139</v>
      </c>
      <c r="U93">
        <f ca="1">IF($C93-U$1&lt;År1,0,T92*(1-VLOOKUP($A93,[1]Hugst!$R$5:$W$9,MATCH(ROUNDUP((U$1)/10,0)*10,[1]Hugst!$R$4:$W$4,0))))</f>
        <v>4513.1836465531842</v>
      </c>
      <c r="V93">
        <f ca="1">IF($C93-V$1&lt;År1,0,U92*(1-VLOOKUP($A93,[1]Hugst!$R$5:$W$9,MATCH(ROUNDUP((V$1)/10,0)*10,[1]Hugst!$R$4:$W$4,0))))</f>
        <v>4505.9440751670036</v>
      </c>
      <c r="W93">
        <f ca="1">IF($C93-W$1&lt;År1,0,V92*(1-VLOOKUP($A93,[1]Hugst!$R$5:$W$9,MATCH(ROUNDUP((W$1)/10,0)*10,[1]Hugst!$R$4:$W$4,0))))</f>
        <v>4498.7241138964855</v>
      </c>
      <c r="X93">
        <f ca="1">IF($C93-X$1&lt;År1,0,W92*(1-VLOOKUP($A93,[1]Hugst!$R$5:$W$9,MATCH(ROUNDUP((X$1)/10,0)*10,[1]Hugst!$R$4:$W$4,0))))</f>
        <v>4491.5237627430779</v>
      </c>
      <c r="Y93">
        <f ca="1">IF($C93-Y$1&lt;År1,0,X92*(1-VLOOKUP($A93,[1]Hugst!$R$5:$W$9,MATCH(ROUNDUP((Y$1)/10,0)*10,[1]Hugst!$R$4:$W$4,0))))</f>
        <v>3188.8949211915824</v>
      </c>
      <c r="Z93">
        <f ca="1">IF($C93-Z$1&lt;År1,0,Y92*(1-VLOOKUP($A93,[1]Hugst!$R$5:$W$9,MATCH(ROUNDUP((Z$1)/10,0)*10,[1]Hugst!$R$4:$W$4,0))))</f>
        <v>3183.0343526654319</v>
      </c>
      <c r="AA93">
        <f ca="1">IF($C93-AA$1&lt;År1,0,Z92*(1-VLOOKUP($A93,[1]Hugst!$R$5:$W$9,MATCH(ROUNDUP((AA$1)/10,0)*10,[1]Hugst!$R$4:$W$4,0))))</f>
        <v>3182.1192810786588</v>
      </c>
      <c r="AB93">
        <f ca="1">IF($C93-AB$1&lt;År1,0,AA92*(1-VLOOKUP($A93,[1]Hugst!$R$5:$W$9,MATCH(ROUNDUP((AB$1)/10,0)*10,[1]Hugst!$R$4:$W$4,0))))</f>
        <v>3181.2209315817286</v>
      </c>
      <c r="AC93">
        <f ca="1">IF($C93-AC$1&lt;År1,0,AB92*(1-VLOOKUP($A93,[1]Hugst!$R$5:$W$9,MATCH(ROUNDUP((AC$1)/10,0)*10,[1]Hugst!$R$4:$W$4,0))))</f>
        <v>3180.3393247442045</v>
      </c>
      <c r="AD93">
        <f ca="1">IF($C93-AD$1&lt;År1,0,AC92*(1-VLOOKUP($A93,[1]Hugst!$R$5:$W$9,MATCH(ROUNDUP((AD$1)/10,0)*10,[1]Hugst!$R$4:$W$4,0))))</f>
        <v>3179.4744812625677</v>
      </c>
      <c r="AE93">
        <f ca="1">IF($C93-AE$1&lt;År1,0,AD92*(1-VLOOKUP($A93,[1]Hugst!$R$5:$W$9,MATCH(ROUNDUP((AE$1)/10,0)*10,[1]Hugst!$R$4:$W$4,0))))</f>
        <v>3178.6264219605878</v>
      </c>
      <c r="AF93">
        <f ca="1">IF($C93-AF$1&lt;År1,0,AE92*(1-VLOOKUP($A93,[1]Hugst!$R$5:$W$9,MATCH(ROUNDUP((AF$1)/10,0)*10,[1]Hugst!$R$4:$W$4,0))))</f>
        <v>3177.7951677896235</v>
      </c>
      <c r="AG93">
        <f ca="1">IF($C93-AG$1&lt;År1,0,AF92*(1-VLOOKUP($A93,[1]Hugst!$R$5:$W$9,MATCH(ROUNDUP((AG$1)/10,0)*10,[1]Hugst!$R$4:$W$4,0))))</f>
        <v>3176.9807398289704</v>
      </c>
      <c r="AH93">
        <f ca="1">IF($C93-AH$1&lt;År1,0,AG92*(1-VLOOKUP($A93,[1]Hugst!$R$5:$W$9,MATCH(ROUNDUP((AH$1)/10,0)*10,[1]Hugst!$R$4:$W$4,0))))</f>
        <v>3176.1831592861176</v>
      </c>
      <c r="AI93">
        <f ca="1">IF($C93-AI$1&lt;År1,0,AH92*(1-VLOOKUP($A93,[1]Hugst!$R$5:$W$9,MATCH(ROUNDUP((AI$1)/10,0)*10,[1]Hugst!$R$4:$W$4,0))))</f>
        <v>3175.4024474972248</v>
      </c>
      <c r="AJ93">
        <f>IF($C93-AJ$1&lt;År1,0,AI92*(1-VLOOKUP($A93,[1]Hugst!$R$5:$W$9,MATCH(ROUNDUP((AJ$1)/10,0)*10,[1]Hugst!$R$4:$W$4,0))))</f>
        <v>0</v>
      </c>
    </row>
    <row r="94" spans="1:38" x14ac:dyDescent="0.55000000000000004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127.09311992947187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4586.6030034984487</v>
      </c>
      <c r="G94">
        <f ca="1">IF($C94-G$1&lt;År1,0,F93*(1-VLOOKUP($A94,[1]Hugst!$R$5:$W$9,MATCH(ROUNDUP((G$1)/10,0)*10,[1]Hugst!$R$4:$W$4,0))))</f>
        <v>4586.0966023849342</v>
      </c>
      <c r="H94">
        <f ca="1">IF($C94-H$1&lt;År1,0,G93*(1-VLOOKUP($A94,[1]Hugst!$R$5:$W$9,MATCH(ROUNDUP((H$1)/10,0)*10,[1]Hugst!$R$4:$W$4,0))))</f>
        <v>4582.9096888314361</v>
      </c>
      <c r="I94">
        <f ca="1">IF($C94-I$1&lt;År1,0,H93*(1-VLOOKUP($A94,[1]Hugst!$R$5:$W$9,MATCH(ROUNDUP((I$1)/10,0)*10,[1]Hugst!$R$4:$W$4,0))))</f>
        <v>4579.7312484235681</v>
      </c>
      <c r="J94">
        <f ca="1">IF($C94-J$1&lt;År1,0,I93*(1-VLOOKUP($A94,[1]Hugst!$R$5:$W$9,MATCH(ROUNDUP((J$1)/10,0)*10,[1]Hugst!$R$4:$W$4,0))))</f>
        <v>4576.5613481947858</v>
      </c>
      <c r="K94">
        <f ca="1">IF($C94-K$1&lt;År1,0,J93*(1-VLOOKUP($A94,[1]Hugst!$R$5:$W$9,MATCH(ROUNDUP((K$1)/10,0)*10,[1]Hugst!$R$4:$W$4,0))))</f>
        <v>4573.4000555331568</v>
      </c>
      <c r="L94">
        <f ca="1">IF($C94-L$1&lt;År1,0,K93*(1-VLOOKUP($A94,[1]Hugst!$R$5:$W$9,MATCH(ROUNDUP((L$1)/10,0)*10,[1]Hugst!$R$4:$W$4,0))))</f>
        <v>4570.2474381835691</v>
      </c>
      <c r="M94">
        <f ca="1">IF($C94-M$1&lt;År1,0,L93*(1-VLOOKUP($A94,[1]Hugst!$R$5:$W$9,MATCH(ROUNDUP((M$1)/10,0)*10,[1]Hugst!$R$4:$W$4,0))))</f>
        <v>4567.1035642492952</v>
      </c>
      <c r="N94">
        <f ca="1">IF($C94-N$1&lt;År1,0,M93*(1-VLOOKUP($A94,[1]Hugst!$R$5:$W$9,MATCH(ROUNDUP((N$1)/10,0)*10,[1]Hugst!$R$4:$W$4,0))))</f>
        <v>4563.968502194044</v>
      </c>
      <c r="O94">
        <f ca="1">IF($C94-O$1&lt;År1,0,N93*(1-VLOOKUP($A94,[1]Hugst!$R$5:$W$9,MATCH(ROUNDUP((O$1)/10,0)*10,[1]Hugst!$R$4:$W$4,0))))</f>
        <v>4560.8423208432305</v>
      </c>
      <c r="P94">
        <f ca="1">IF($C94-P$1&lt;År1,0,O93*(1-VLOOKUP($A94,[1]Hugst!$R$5:$W$9,MATCH(ROUNDUP((P$1)/10,0)*10,[1]Hugst!$R$4:$W$4,0))))</f>
        <v>4550.7726273854796</v>
      </c>
      <c r="Q94">
        <f ca="1">IF($C94-Q$1&lt;År1,0,P93*(1-VLOOKUP($A94,[1]Hugst!$R$5:$W$9,MATCH(ROUNDUP((Q$1)/10,0)*10,[1]Hugst!$R$4:$W$4,0))))</f>
        <v>4542.7354792392762</v>
      </c>
      <c r="R94">
        <f ca="1">IF($C94-R$1&lt;År1,0,Q93*(1-VLOOKUP($A94,[1]Hugst!$R$5:$W$9,MATCH(ROUNDUP((R$1)/10,0)*10,[1]Hugst!$R$4:$W$4,0))))</f>
        <v>4535.409046643581</v>
      </c>
      <c r="S94">
        <f ca="1">IF($C94-S$1&lt;År1,0,R93*(1-VLOOKUP($A94,[1]Hugst!$R$5:$W$9,MATCH(ROUNDUP((S$1)/10,0)*10,[1]Hugst!$R$4:$W$4,0))))</f>
        <v>4528.1021957997082</v>
      </c>
      <c r="T94">
        <f ca="1">IF($C94-T$1&lt;År1,0,S93*(1-VLOOKUP($A94,[1]Hugst!$R$5:$W$9,MATCH(ROUNDUP((T$1)/10,0)*10,[1]Hugst!$R$4:$W$4,0))))</f>
        <v>4520.8149261907183</v>
      </c>
      <c r="U94">
        <f ca="1">IF($C94-U$1&lt;År1,0,T93*(1-VLOOKUP($A94,[1]Hugst!$R$5:$W$9,MATCH(ROUNDUP((U$1)/10,0)*10,[1]Hugst!$R$4:$W$4,0))))</f>
        <v>4513.5472374029969</v>
      </c>
      <c r="V94">
        <f ca="1">IF($C94-V$1&lt;År1,0,U93*(1-VLOOKUP($A94,[1]Hugst!$R$5:$W$9,MATCH(ROUNDUP((V$1)/10,0)*10,[1]Hugst!$R$4:$W$4,0))))</f>
        <v>4506.2991291262388</v>
      </c>
      <c r="W94">
        <f ca="1">IF($C94-W$1&lt;År1,0,V93*(1-VLOOKUP($A94,[1]Hugst!$R$5:$W$9,MATCH(ROUNDUP((W$1)/10,0)*10,[1]Hugst!$R$4:$W$4,0))))</f>
        <v>4499.0706011540369</v>
      </c>
      <c r="X94">
        <f ca="1">IF($C94-X$1&lt;År1,0,W93*(1-VLOOKUP($A94,[1]Hugst!$R$5:$W$9,MATCH(ROUNDUP((X$1)/10,0)*10,[1]Hugst!$R$4:$W$4,0))))</f>
        <v>4491.8616533837621</v>
      </c>
      <c r="Y94">
        <f ca="1">IF($C94-Y$1&lt;År1,0,X93*(1-VLOOKUP($A94,[1]Hugst!$R$5:$W$9,MATCH(ROUNDUP((Y$1)/10,0)*10,[1]Hugst!$R$4:$W$4,0))))</f>
        <v>4484.6722858168596</v>
      </c>
      <c r="Z94">
        <f ca="1">IF($C94-Z$1&lt;År1,0,Y93*(1-VLOOKUP($A94,[1]Hugst!$R$5:$W$9,MATCH(ROUNDUP((Z$1)/10,0)*10,[1]Hugst!$R$4:$W$4,0))))</f>
        <v>3183.3548918793426</v>
      </c>
      <c r="AA94">
        <f ca="1">IF($C94-AA$1&lt;År1,0,Z93*(1-VLOOKUP($A94,[1]Hugst!$R$5:$W$9,MATCH(ROUNDUP((AA$1)/10,0)*10,[1]Hugst!$R$4:$W$4,0))))</f>
        <v>3177.5045048493603</v>
      </c>
      <c r="AB94">
        <f ca="1">IF($C94-AB$1&lt;År1,0,AA93*(1-VLOOKUP($A94,[1]Hugst!$R$5:$W$9,MATCH(ROUNDUP((AB$1)/10,0)*10,[1]Hugst!$R$4:$W$4,0))))</f>
        <v>3176.5910230055983</v>
      </c>
      <c r="AC94">
        <f ca="1">IF($C94-AC$1&lt;År1,0,AB93*(1-VLOOKUP($A94,[1]Hugst!$R$5:$W$9,MATCH(ROUNDUP((AC$1)/10,0)*10,[1]Hugst!$R$4:$W$4,0))))</f>
        <v>3175.6942342005905</v>
      </c>
      <c r="AD94">
        <f ca="1">IF($C94-AD$1&lt;År1,0,AC93*(1-VLOOKUP($A94,[1]Hugst!$R$5:$W$9,MATCH(ROUNDUP((AD$1)/10,0)*10,[1]Hugst!$R$4:$W$4,0))))</f>
        <v>3174.8141589681659</v>
      </c>
      <c r="AE94">
        <f ca="1">IF($C94-AE$1&lt;År1,0,AD93*(1-VLOOKUP($A94,[1]Hugst!$R$5:$W$9,MATCH(ROUNDUP((AE$1)/10,0)*10,[1]Hugst!$R$4:$W$4,0))))</f>
        <v>3173.9508179688487</v>
      </c>
      <c r="AF94">
        <f ca="1">IF($C94-AF$1&lt;År1,0,AE93*(1-VLOOKUP($A94,[1]Hugst!$R$5:$W$9,MATCH(ROUNDUP((AF$1)/10,0)*10,[1]Hugst!$R$4:$W$4,0))))</f>
        <v>3173.1042319902322</v>
      </c>
      <c r="AG94">
        <f ca="1">IF($C94-AG$1&lt;År1,0,AF93*(1-VLOOKUP($A94,[1]Hugst!$R$5:$W$9,MATCH(ROUNDUP((AG$1)/10,0)*10,[1]Hugst!$R$4:$W$4,0))))</f>
        <v>3172.274421947277</v>
      </c>
      <c r="AH94">
        <f ca="1">IF($C94-AH$1&lt;År1,0,AG93*(1-VLOOKUP($A94,[1]Hugst!$R$5:$W$9,MATCH(ROUNDUP((AH$1)/10,0)*10,[1]Hugst!$R$4:$W$4,0))))</f>
        <v>3171.4614088826575</v>
      </c>
      <c r="AI94">
        <f ca="1">IF($C94-AI$1&lt;År1,0,AH93*(1-VLOOKUP($A94,[1]Hugst!$R$5:$W$9,MATCH(ROUNDUP((AI$1)/10,0)*10,[1]Hugst!$R$4:$W$4,0))))</f>
        <v>3170.6652139670186</v>
      </c>
      <c r="AJ94">
        <f ca="1">IF($C94-AJ$1&lt;År1,0,AI93*(1-VLOOKUP($A94,[1]Hugst!$R$5:$W$9,MATCH(ROUNDUP((AJ$1)/10,0)*10,[1]Hugst!$R$4:$W$4,0))))</f>
        <v>3172.5768775227571</v>
      </c>
      <c r="AL94">
        <f ca="1">SUM(F94:AJ94)</f>
        <v>125842.74073966099</v>
      </c>
    </row>
    <row r="95" spans="1:38" x14ac:dyDescent="0.55000000000000004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636.13450928862039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55000000000000004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634.70187265687969</v>
      </c>
      <c r="G96">
        <f ca="1">IF($C96-G$1&lt;År1,0,F95*(1-VLOOKUP($A96,[1]Hugst!$R$5:$W$9,MATCH(ROUNDUP((G$1)/10,0)*10,[1]Hugst!$R$4:$W$4,0))))</f>
        <v>636.13450928862039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55000000000000004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633.2763992082987</v>
      </c>
      <c r="G97">
        <f ca="1">IF($C97-G$1&lt;År1,0,F96*(1-VLOOKUP($A97,[1]Hugst!$R$5:$W$9,MATCH(ROUNDUP((G$1)/10,0)*10,[1]Hugst!$R$4:$W$4,0))))</f>
        <v>634.70187265687969</v>
      </c>
      <c r="H97">
        <f ca="1">IF($C97-H$1&lt;År1,0,G96*(1-VLOOKUP($A97,[1]Hugst!$R$5:$W$9,MATCH(ROUNDUP((H$1)/10,0)*10,[1]Hugst!$R$4:$W$4,0))))</f>
        <v>636.13450928862039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55000000000000004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631.85805312695265</v>
      </c>
      <c r="G98">
        <f ca="1">IF($C98-G$1&lt;År1,0,F97*(1-VLOOKUP($A98,[1]Hugst!$R$5:$W$9,MATCH(ROUNDUP((G$1)/10,0)*10,[1]Hugst!$R$4:$W$4,0))))</f>
        <v>633.2763992082987</v>
      </c>
      <c r="H98">
        <f ca="1">IF($C98-H$1&lt;År1,0,G97*(1-VLOOKUP($A98,[1]Hugst!$R$5:$W$9,MATCH(ROUNDUP((H$1)/10,0)*10,[1]Hugst!$R$4:$W$4,0))))</f>
        <v>634.70187265687969</v>
      </c>
      <c r="I98">
        <f ca="1">IF($C98-I$1&lt;År1,0,H97*(1-VLOOKUP($A98,[1]Hugst!$R$5:$W$9,MATCH(ROUNDUP((I$1)/10,0)*10,[1]Hugst!$R$4:$W$4,0))))</f>
        <v>636.13450928862039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55000000000000004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630.44679877602812</v>
      </c>
      <c r="G99">
        <f ca="1">IF($C99-G$1&lt;År1,0,F98*(1-VLOOKUP($A99,[1]Hugst!$R$5:$W$9,MATCH(ROUNDUP((G$1)/10,0)*10,[1]Hugst!$R$4:$W$4,0))))</f>
        <v>631.85805312695265</v>
      </c>
      <c r="H99">
        <f ca="1">IF($C99-H$1&lt;År1,0,G98*(1-VLOOKUP($A99,[1]Hugst!$R$5:$W$9,MATCH(ROUNDUP((H$1)/10,0)*10,[1]Hugst!$R$4:$W$4,0))))</f>
        <v>633.2763992082987</v>
      </c>
      <c r="I99">
        <f ca="1">IF($C99-I$1&lt;År1,0,H98*(1-VLOOKUP($A99,[1]Hugst!$R$5:$W$9,MATCH(ROUNDUP((I$1)/10,0)*10,[1]Hugst!$R$4:$W$4,0))))</f>
        <v>634.70187265687969</v>
      </c>
      <c r="J99">
        <f ca="1">IF($C99-J$1&lt;År1,0,I98*(1-VLOOKUP($A99,[1]Hugst!$R$5:$W$9,MATCH(ROUNDUP((J$1)/10,0)*10,[1]Hugst!$R$4:$W$4,0))))</f>
        <v>636.13450928862039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55000000000000004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629.04260069684574</v>
      </c>
      <c r="G100">
        <f ca="1">IF($C100-G$1&lt;År1,0,F99*(1-VLOOKUP($A100,[1]Hugst!$R$5:$W$9,MATCH(ROUNDUP((G$1)/10,0)*10,[1]Hugst!$R$4:$W$4,0))))</f>
        <v>630.44679877602812</v>
      </c>
      <c r="H100">
        <f ca="1">IF($C100-H$1&lt;År1,0,G99*(1-VLOOKUP($A100,[1]Hugst!$R$5:$W$9,MATCH(ROUNDUP((H$1)/10,0)*10,[1]Hugst!$R$4:$W$4,0))))</f>
        <v>631.85805312695265</v>
      </c>
      <c r="I100">
        <f ca="1">IF($C100-I$1&lt;År1,0,H99*(1-VLOOKUP($A100,[1]Hugst!$R$5:$W$9,MATCH(ROUNDUP((I$1)/10,0)*10,[1]Hugst!$R$4:$W$4,0))))</f>
        <v>633.2763992082987</v>
      </c>
      <c r="J100">
        <f ca="1">IF($C100-J$1&lt;År1,0,I99*(1-VLOOKUP($A100,[1]Hugst!$R$5:$W$9,MATCH(ROUNDUP((J$1)/10,0)*10,[1]Hugst!$R$4:$W$4,0))))</f>
        <v>634.70187265687969</v>
      </c>
      <c r="K100">
        <f ca="1">IF($C100-K$1&lt;År1,0,J99*(1-VLOOKUP($A100,[1]Hugst!$R$5:$W$9,MATCH(ROUNDUP((K$1)/10,0)*10,[1]Hugst!$R$4:$W$4,0))))</f>
        <v>636.13450928862039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55000000000000004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627.6454236080765</v>
      </c>
      <c r="G101">
        <f ca="1">IF($C101-G$1&lt;År1,0,F100*(1-VLOOKUP($A101,[1]Hugst!$R$5:$W$9,MATCH(ROUNDUP((G$1)/10,0)*10,[1]Hugst!$R$4:$W$4,0))))</f>
        <v>629.04260069684574</v>
      </c>
      <c r="H101">
        <f ca="1">IF($C101-H$1&lt;År1,0,G100*(1-VLOOKUP($A101,[1]Hugst!$R$5:$W$9,MATCH(ROUNDUP((H$1)/10,0)*10,[1]Hugst!$R$4:$W$4,0))))</f>
        <v>630.44679877602812</v>
      </c>
      <c r="I101">
        <f ca="1">IF($C101-I$1&lt;År1,0,H100*(1-VLOOKUP($A101,[1]Hugst!$R$5:$W$9,MATCH(ROUNDUP((I$1)/10,0)*10,[1]Hugst!$R$4:$W$4,0))))</f>
        <v>631.85805312695265</v>
      </c>
      <c r="J101">
        <f ca="1">IF($C101-J$1&lt;År1,0,I100*(1-VLOOKUP($A101,[1]Hugst!$R$5:$W$9,MATCH(ROUNDUP((J$1)/10,0)*10,[1]Hugst!$R$4:$W$4,0))))</f>
        <v>633.2763992082987</v>
      </c>
      <c r="K101">
        <f ca="1">IF($C101-K$1&lt;År1,0,J100*(1-VLOOKUP($A101,[1]Hugst!$R$5:$W$9,MATCH(ROUNDUP((K$1)/10,0)*10,[1]Hugst!$R$4:$W$4,0))))</f>
        <v>634.70187265687969</v>
      </c>
      <c r="L101">
        <f ca="1">IF($C101-L$1&lt;År1,0,K100*(1-VLOOKUP($A101,[1]Hugst!$R$5:$W$9,MATCH(ROUNDUP((L$1)/10,0)*10,[1]Hugst!$R$4:$W$4,0))))</f>
        <v>636.13450928862039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55000000000000004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626.25523240472512</v>
      </c>
      <c r="G102">
        <f ca="1">IF($C102-G$1&lt;År1,0,F101*(1-VLOOKUP($A102,[1]Hugst!$R$5:$W$9,MATCH(ROUNDUP((G$1)/10,0)*10,[1]Hugst!$R$4:$W$4,0))))</f>
        <v>627.6454236080765</v>
      </c>
      <c r="H102">
        <f ca="1">IF($C102-H$1&lt;År1,0,G101*(1-VLOOKUP($A102,[1]Hugst!$R$5:$W$9,MATCH(ROUNDUP((H$1)/10,0)*10,[1]Hugst!$R$4:$W$4,0))))</f>
        <v>629.04260069684574</v>
      </c>
      <c r="I102">
        <f ca="1">IF($C102-I$1&lt;År1,0,H101*(1-VLOOKUP($A102,[1]Hugst!$R$5:$W$9,MATCH(ROUNDUP((I$1)/10,0)*10,[1]Hugst!$R$4:$W$4,0))))</f>
        <v>630.44679877602812</v>
      </c>
      <c r="J102">
        <f ca="1">IF($C102-J$1&lt;År1,0,I101*(1-VLOOKUP($A102,[1]Hugst!$R$5:$W$9,MATCH(ROUNDUP((J$1)/10,0)*10,[1]Hugst!$R$4:$W$4,0))))</f>
        <v>631.85805312695265</v>
      </c>
      <c r="K102">
        <f ca="1">IF($C102-K$1&lt;År1,0,J101*(1-VLOOKUP($A102,[1]Hugst!$R$5:$W$9,MATCH(ROUNDUP((K$1)/10,0)*10,[1]Hugst!$R$4:$W$4,0))))</f>
        <v>633.2763992082987</v>
      </c>
      <c r="L102">
        <f ca="1">IF($C102-L$1&lt;År1,0,K101*(1-VLOOKUP($A102,[1]Hugst!$R$5:$W$9,MATCH(ROUNDUP((L$1)/10,0)*10,[1]Hugst!$R$4:$W$4,0))))</f>
        <v>634.70187265687969</v>
      </c>
      <c r="M102">
        <f ca="1">IF($C102-M$1&lt;År1,0,L101*(1-VLOOKUP($A102,[1]Hugst!$R$5:$W$9,MATCH(ROUNDUP((M$1)/10,0)*10,[1]Hugst!$R$4:$W$4,0))))</f>
        <v>636.13450928862039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55000000000000004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624.8719921574102</v>
      </c>
      <c r="G103">
        <f ca="1">IF($C103-G$1&lt;År1,0,F102*(1-VLOOKUP($A103,[1]Hugst!$R$5:$W$9,MATCH(ROUNDUP((G$1)/10,0)*10,[1]Hugst!$R$4:$W$4,0))))</f>
        <v>626.25523240472512</v>
      </c>
      <c r="H103">
        <f ca="1">IF($C103-H$1&lt;År1,0,G102*(1-VLOOKUP($A103,[1]Hugst!$R$5:$W$9,MATCH(ROUNDUP((H$1)/10,0)*10,[1]Hugst!$R$4:$W$4,0))))</f>
        <v>627.6454236080765</v>
      </c>
      <c r="I103">
        <f ca="1">IF($C103-I$1&lt;År1,0,H102*(1-VLOOKUP($A103,[1]Hugst!$R$5:$W$9,MATCH(ROUNDUP((I$1)/10,0)*10,[1]Hugst!$R$4:$W$4,0))))</f>
        <v>629.04260069684574</v>
      </c>
      <c r="J103">
        <f ca="1">IF($C103-J$1&lt;År1,0,I102*(1-VLOOKUP($A103,[1]Hugst!$R$5:$W$9,MATCH(ROUNDUP((J$1)/10,0)*10,[1]Hugst!$R$4:$W$4,0))))</f>
        <v>630.44679877602812</v>
      </c>
      <c r="K103">
        <f ca="1">IF($C103-K$1&lt;År1,0,J102*(1-VLOOKUP($A103,[1]Hugst!$R$5:$W$9,MATCH(ROUNDUP((K$1)/10,0)*10,[1]Hugst!$R$4:$W$4,0))))</f>
        <v>631.85805312695265</v>
      </c>
      <c r="L103">
        <f ca="1">IF($C103-L$1&lt;År1,0,K102*(1-VLOOKUP($A103,[1]Hugst!$R$5:$W$9,MATCH(ROUNDUP((L$1)/10,0)*10,[1]Hugst!$R$4:$W$4,0))))</f>
        <v>633.2763992082987</v>
      </c>
      <c r="M103">
        <f ca="1">IF($C103-M$1&lt;År1,0,L102*(1-VLOOKUP($A103,[1]Hugst!$R$5:$W$9,MATCH(ROUNDUP((M$1)/10,0)*10,[1]Hugst!$R$4:$W$4,0))))</f>
        <v>634.70187265687969</v>
      </c>
      <c r="N103">
        <f ca="1">IF($C103-N$1&lt;År1,0,M102*(1-VLOOKUP($A103,[1]Hugst!$R$5:$W$9,MATCH(ROUNDUP((N$1)/10,0)*10,[1]Hugst!$R$4:$W$4,0))))</f>
        <v>636.13450928862039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55000000000000004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623.49566811132399</v>
      </c>
      <c r="G104">
        <f ca="1">IF($C104-G$1&lt;År1,0,F103*(1-VLOOKUP($A104,[1]Hugst!$R$5:$W$9,MATCH(ROUNDUP((G$1)/10,0)*10,[1]Hugst!$R$4:$W$4,0))))</f>
        <v>624.8719921574102</v>
      </c>
      <c r="H104">
        <f ca="1">IF($C104-H$1&lt;År1,0,G103*(1-VLOOKUP($A104,[1]Hugst!$R$5:$W$9,MATCH(ROUNDUP((H$1)/10,0)*10,[1]Hugst!$R$4:$W$4,0))))</f>
        <v>626.25523240472512</v>
      </c>
      <c r="I104">
        <f ca="1">IF($C104-I$1&lt;År1,0,H103*(1-VLOOKUP($A104,[1]Hugst!$R$5:$W$9,MATCH(ROUNDUP((I$1)/10,0)*10,[1]Hugst!$R$4:$W$4,0))))</f>
        <v>627.6454236080765</v>
      </c>
      <c r="J104">
        <f ca="1">IF($C104-J$1&lt;År1,0,I103*(1-VLOOKUP($A104,[1]Hugst!$R$5:$W$9,MATCH(ROUNDUP((J$1)/10,0)*10,[1]Hugst!$R$4:$W$4,0))))</f>
        <v>629.04260069684574</v>
      </c>
      <c r="K104">
        <f ca="1">IF($C104-K$1&lt;År1,0,J103*(1-VLOOKUP($A104,[1]Hugst!$R$5:$W$9,MATCH(ROUNDUP((K$1)/10,0)*10,[1]Hugst!$R$4:$W$4,0))))</f>
        <v>630.44679877602812</v>
      </c>
      <c r="L104">
        <f ca="1">IF($C104-L$1&lt;År1,0,K103*(1-VLOOKUP($A104,[1]Hugst!$R$5:$W$9,MATCH(ROUNDUP((L$1)/10,0)*10,[1]Hugst!$R$4:$W$4,0))))</f>
        <v>631.85805312695265</v>
      </c>
      <c r="M104">
        <f ca="1">IF($C104-M$1&lt;År1,0,L103*(1-VLOOKUP($A104,[1]Hugst!$R$5:$W$9,MATCH(ROUNDUP((M$1)/10,0)*10,[1]Hugst!$R$4:$W$4,0))))</f>
        <v>633.2763992082987</v>
      </c>
      <c r="N104">
        <f ca="1">IF($C104-N$1&lt;År1,0,M103*(1-VLOOKUP($A104,[1]Hugst!$R$5:$W$9,MATCH(ROUNDUP((N$1)/10,0)*10,[1]Hugst!$R$4:$W$4,0))))</f>
        <v>634.70187265687969</v>
      </c>
      <c r="O104">
        <f ca="1">IF($C104-O$1&lt;År1,0,N103*(1-VLOOKUP($A104,[1]Hugst!$R$5:$W$9,MATCH(ROUNDUP((O$1)/10,0)*10,[1]Hugst!$R$4:$W$4,0))))</f>
        <v>636.13450928862039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55000000000000004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0.970374675185667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623.0966003606618</v>
      </c>
      <c r="G105">
        <f ca="1">IF($C105-G$1&lt;År1,0,F104*(1-VLOOKUP($A105,[1]Hugst!$R$5:$W$9,MATCH(ROUNDUP((G$1)/10,0)*10,[1]Hugst!$R$4:$W$4,0))))</f>
        <v>623.49566811132399</v>
      </c>
      <c r="H105">
        <f ca="1">IF($C105-H$1&lt;År1,0,G104*(1-VLOOKUP($A105,[1]Hugst!$R$5:$W$9,MATCH(ROUNDUP((H$1)/10,0)*10,[1]Hugst!$R$4:$W$4,0))))</f>
        <v>624.8719921574102</v>
      </c>
      <c r="I105">
        <f ca="1">IF($C105-I$1&lt;År1,0,H104*(1-VLOOKUP($A105,[1]Hugst!$R$5:$W$9,MATCH(ROUNDUP((I$1)/10,0)*10,[1]Hugst!$R$4:$W$4,0))))</f>
        <v>626.25523240472512</v>
      </c>
      <c r="J105">
        <f ca="1">IF($C105-J$1&lt;År1,0,I104*(1-VLOOKUP($A105,[1]Hugst!$R$5:$W$9,MATCH(ROUNDUP((J$1)/10,0)*10,[1]Hugst!$R$4:$W$4,0))))</f>
        <v>627.6454236080765</v>
      </c>
      <c r="K105">
        <f ca="1">IF($C105-K$1&lt;År1,0,J104*(1-VLOOKUP($A105,[1]Hugst!$R$5:$W$9,MATCH(ROUNDUP((K$1)/10,0)*10,[1]Hugst!$R$4:$W$4,0))))</f>
        <v>629.04260069684574</v>
      </c>
      <c r="L105">
        <f ca="1">IF($C105-L$1&lt;År1,0,K104*(1-VLOOKUP($A105,[1]Hugst!$R$5:$W$9,MATCH(ROUNDUP((L$1)/10,0)*10,[1]Hugst!$R$4:$W$4,0))))</f>
        <v>630.44679877602812</v>
      </c>
      <c r="M105">
        <f ca="1">IF($C105-M$1&lt;År1,0,L104*(1-VLOOKUP($A105,[1]Hugst!$R$5:$W$9,MATCH(ROUNDUP((M$1)/10,0)*10,[1]Hugst!$R$4:$W$4,0))))</f>
        <v>631.85805312695265</v>
      </c>
      <c r="N105">
        <f ca="1">IF($C105-N$1&lt;År1,0,M104*(1-VLOOKUP($A105,[1]Hugst!$R$5:$W$9,MATCH(ROUNDUP((N$1)/10,0)*10,[1]Hugst!$R$4:$W$4,0))))</f>
        <v>633.2763992082987</v>
      </c>
      <c r="O105">
        <f ca="1">IF($C105-O$1&lt;År1,0,N104*(1-VLOOKUP($A105,[1]Hugst!$R$5:$W$9,MATCH(ROUNDUP((O$1)/10,0)*10,[1]Hugst!$R$4:$W$4,0))))</f>
        <v>634.70187265687969</v>
      </c>
      <c r="P105">
        <f ca="1">IF($C105-P$1&lt;År1,0,O104*(1-VLOOKUP($A105,[1]Hugst!$R$5:$W$9,MATCH(ROUNDUP((P$1)/10,0)*10,[1]Hugst!$R$4:$W$4,0))))</f>
        <v>635.16413461343438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55000000000000004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1.9370837399037555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822.47624732050792</v>
      </c>
      <c r="G106">
        <f ca="1">IF($C106-G$1&lt;År1,0,F105*(1-VLOOKUP($A106,[1]Hugst!$R$5:$W$9,MATCH(ROUNDUP((G$1)/10,0)*10,[1]Hugst!$R$4:$W$4,0))))</f>
        <v>623.0966003606618</v>
      </c>
      <c r="H106">
        <f ca="1">IF($C106-H$1&lt;År1,0,G105*(1-VLOOKUP($A106,[1]Hugst!$R$5:$W$9,MATCH(ROUNDUP((H$1)/10,0)*10,[1]Hugst!$R$4:$W$4,0))))</f>
        <v>623.49566811132399</v>
      </c>
      <c r="I106">
        <f ca="1">IF($C106-I$1&lt;År1,0,H105*(1-VLOOKUP($A106,[1]Hugst!$R$5:$W$9,MATCH(ROUNDUP((I$1)/10,0)*10,[1]Hugst!$R$4:$W$4,0))))</f>
        <v>624.8719921574102</v>
      </c>
      <c r="J106">
        <f ca="1">IF($C106-J$1&lt;År1,0,I105*(1-VLOOKUP($A106,[1]Hugst!$R$5:$W$9,MATCH(ROUNDUP((J$1)/10,0)*10,[1]Hugst!$R$4:$W$4,0))))</f>
        <v>626.25523240472512</v>
      </c>
      <c r="K106">
        <f ca="1">IF($C106-K$1&lt;År1,0,J105*(1-VLOOKUP($A106,[1]Hugst!$R$5:$W$9,MATCH(ROUNDUP((K$1)/10,0)*10,[1]Hugst!$R$4:$W$4,0))))</f>
        <v>627.6454236080765</v>
      </c>
      <c r="L106">
        <f ca="1">IF($C106-L$1&lt;År1,0,K105*(1-VLOOKUP($A106,[1]Hugst!$R$5:$W$9,MATCH(ROUNDUP((L$1)/10,0)*10,[1]Hugst!$R$4:$W$4,0))))</f>
        <v>629.04260069684574</v>
      </c>
      <c r="M106">
        <f ca="1">IF($C106-M$1&lt;År1,0,L105*(1-VLOOKUP($A106,[1]Hugst!$R$5:$W$9,MATCH(ROUNDUP((M$1)/10,0)*10,[1]Hugst!$R$4:$W$4,0))))</f>
        <v>630.44679877602812</v>
      </c>
      <c r="N106">
        <f ca="1">IF($C106-N$1&lt;År1,0,M105*(1-VLOOKUP($A106,[1]Hugst!$R$5:$W$9,MATCH(ROUNDUP((N$1)/10,0)*10,[1]Hugst!$R$4:$W$4,0))))</f>
        <v>631.85805312695265</v>
      </c>
      <c r="O106">
        <f ca="1">IF($C106-O$1&lt;År1,0,N105*(1-VLOOKUP($A106,[1]Hugst!$R$5:$W$9,MATCH(ROUNDUP((O$1)/10,0)*10,[1]Hugst!$R$4:$W$4,0))))</f>
        <v>633.2763992082987</v>
      </c>
      <c r="P106">
        <f ca="1">IF($C106-P$1&lt;År1,0,O105*(1-VLOOKUP($A106,[1]Hugst!$R$5:$W$9,MATCH(ROUNDUP((P$1)/10,0)*10,[1]Hugst!$R$4:$W$4,0))))</f>
        <v>633.73368335960652</v>
      </c>
      <c r="Q106">
        <f ca="1">IF($C106-Q$1&lt;År1,0,P105*(1-VLOOKUP($A106,[1]Hugst!$R$5:$W$9,MATCH(ROUNDUP((Q$1)/10,0)*10,[1]Hugst!$R$4:$W$4,0))))</f>
        <v>634.19524017080369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55000000000000004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2.9001437126535166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822.08352505561163</v>
      </c>
      <c r="G107">
        <f ca="1">IF($C107-G$1&lt;År1,0,F106*(1-VLOOKUP($A107,[1]Hugst!$R$5:$W$9,MATCH(ROUNDUP((G$1)/10,0)*10,[1]Hugst!$R$4:$W$4,0))))</f>
        <v>822.47624732050792</v>
      </c>
      <c r="H107">
        <f ca="1">IF($C107-H$1&lt;År1,0,G106*(1-VLOOKUP($A107,[1]Hugst!$R$5:$W$9,MATCH(ROUNDUP((H$1)/10,0)*10,[1]Hugst!$R$4:$W$4,0))))</f>
        <v>623.0966003606618</v>
      </c>
      <c r="I107">
        <f ca="1">IF($C107-I$1&lt;År1,0,H106*(1-VLOOKUP($A107,[1]Hugst!$R$5:$W$9,MATCH(ROUNDUP((I$1)/10,0)*10,[1]Hugst!$R$4:$W$4,0))))</f>
        <v>623.49566811132399</v>
      </c>
      <c r="J107">
        <f ca="1">IF($C107-J$1&lt;År1,0,I106*(1-VLOOKUP($A107,[1]Hugst!$R$5:$W$9,MATCH(ROUNDUP((J$1)/10,0)*10,[1]Hugst!$R$4:$W$4,0))))</f>
        <v>624.8719921574102</v>
      </c>
      <c r="K107">
        <f ca="1">IF($C107-K$1&lt;År1,0,J106*(1-VLOOKUP($A107,[1]Hugst!$R$5:$W$9,MATCH(ROUNDUP((K$1)/10,0)*10,[1]Hugst!$R$4:$W$4,0))))</f>
        <v>626.25523240472512</v>
      </c>
      <c r="L107">
        <f ca="1">IF($C107-L$1&lt;År1,0,K106*(1-VLOOKUP($A107,[1]Hugst!$R$5:$W$9,MATCH(ROUNDUP((L$1)/10,0)*10,[1]Hugst!$R$4:$W$4,0))))</f>
        <v>627.6454236080765</v>
      </c>
      <c r="M107">
        <f ca="1">IF($C107-M$1&lt;År1,0,L106*(1-VLOOKUP($A107,[1]Hugst!$R$5:$W$9,MATCH(ROUNDUP((M$1)/10,0)*10,[1]Hugst!$R$4:$W$4,0))))</f>
        <v>629.04260069684574</v>
      </c>
      <c r="N107">
        <f ca="1">IF($C107-N$1&lt;År1,0,M106*(1-VLOOKUP($A107,[1]Hugst!$R$5:$W$9,MATCH(ROUNDUP((N$1)/10,0)*10,[1]Hugst!$R$4:$W$4,0))))</f>
        <v>630.44679877602812</v>
      </c>
      <c r="O107">
        <f ca="1">IF($C107-O$1&lt;År1,0,N106*(1-VLOOKUP($A107,[1]Hugst!$R$5:$W$9,MATCH(ROUNDUP((O$1)/10,0)*10,[1]Hugst!$R$4:$W$4,0))))</f>
        <v>631.85805312695265</v>
      </c>
      <c r="P107">
        <f ca="1">IF($C107-P$1&lt;År1,0,O106*(1-VLOOKUP($A107,[1]Hugst!$R$5:$W$9,MATCH(ROUNDUP((P$1)/10,0)*10,[1]Hugst!$R$4:$W$4,0))))</f>
        <v>632.31038436204869</v>
      </c>
      <c r="Q107">
        <f ca="1">IF($C107-Q$1&lt;År1,0,P106*(1-VLOOKUP($A107,[1]Hugst!$R$5:$W$9,MATCH(ROUNDUP((Q$1)/10,0)*10,[1]Hugst!$R$4:$W$4,0))))</f>
        <v>632.76697096126134</v>
      </c>
      <c r="R107">
        <f ca="1">IF($C107-R$1&lt;År1,0,Q106*(1-VLOOKUP($A107,[1]Hugst!$R$5:$W$9,MATCH(ROUNDUP((R$1)/10,0)*10,[1]Hugst!$R$4:$W$4,0))))</f>
        <v>633.22782370274649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55000000000000004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3.8595710320987564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821.6939490485853</v>
      </c>
      <c r="G108">
        <f ca="1">IF($C108-G$1&lt;År1,0,F107*(1-VLOOKUP($A108,[1]Hugst!$R$5:$W$9,MATCH(ROUNDUP((G$1)/10,0)*10,[1]Hugst!$R$4:$W$4,0))))</f>
        <v>822.08352505561163</v>
      </c>
      <c r="H108">
        <f ca="1">IF($C108-H$1&lt;År1,0,G107*(1-VLOOKUP($A108,[1]Hugst!$R$5:$W$9,MATCH(ROUNDUP((H$1)/10,0)*10,[1]Hugst!$R$4:$W$4,0))))</f>
        <v>822.47624732050792</v>
      </c>
      <c r="I108">
        <f ca="1">IF($C108-I$1&lt;År1,0,H107*(1-VLOOKUP($A108,[1]Hugst!$R$5:$W$9,MATCH(ROUNDUP((I$1)/10,0)*10,[1]Hugst!$R$4:$W$4,0))))</f>
        <v>623.0966003606618</v>
      </c>
      <c r="J108">
        <f ca="1">IF($C108-J$1&lt;År1,0,I107*(1-VLOOKUP($A108,[1]Hugst!$R$5:$W$9,MATCH(ROUNDUP((J$1)/10,0)*10,[1]Hugst!$R$4:$W$4,0))))</f>
        <v>623.49566811132399</v>
      </c>
      <c r="K108">
        <f ca="1">IF($C108-K$1&lt;År1,0,J107*(1-VLOOKUP($A108,[1]Hugst!$R$5:$W$9,MATCH(ROUNDUP((K$1)/10,0)*10,[1]Hugst!$R$4:$W$4,0))))</f>
        <v>624.8719921574102</v>
      </c>
      <c r="L108">
        <f ca="1">IF($C108-L$1&lt;År1,0,K107*(1-VLOOKUP($A108,[1]Hugst!$R$5:$W$9,MATCH(ROUNDUP((L$1)/10,0)*10,[1]Hugst!$R$4:$W$4,0))))</f>
        <v>626.25523240472512</v>
      </c>
      <c r="M108">
        <f ca="1">IF($C108-M$1&lt;År1,0,L107*(1-VLOOKUP($A108,[1]Hugst!$R$5:$W$9,MATCH(ROUNDUP((M$1)/10,0)*10,[1]Hugst!$R$4:$W$4,0))))</f>
        <v>627.6454236080765</v>
      </c>
      <c r="N108">
        <f ca="1">IF($C108-N$1&lt;År1,0,M107*(1-VLOOKUP($A108,[1]Hugst!$R$5:$W$9,MATCH(ROUNDUP((N$1)/10,0)*10,[1]Hugst!$R$4:$W$4,0))))</f>
        <v>629.04260069684574</v>
      </c>
      <c r="O108">
        <f ca="1">IF($C108-O$1&lt;År1,0,N107*(1-VLOOKUP($A108,[1]Hugst!$R$5:$W$9,MATCH(ROUNDUP((O$1)/10,0)*10,[1]Hugst!$R$4:$W$4,0))))</f>
        <v>630.44679877602812</v>
      </c>
      <c r="P108">
        <f ca="1">IF($C108-P$1&lt;År1,0,O107*(1-VLOOKUP($A108,[1]Hugst!$R$5:$W$9,MATCH(ROUNDUP((P$1)/10,0)*10,[1]Hugst!$R$4:$W$4,0))))</f>
        <v>630.89420185947085</v>
      </c>
      <c r="Q108">
        <f ca="1">IF($C108-Q$1&lt;År1,0,P107*(1-VLOOKUP($A108,[1]Hugst!$R$5:$W$9,MATCH(ROUNDUP((Q$1)/10,0)*10,[1]Hugst!$R$4:$W$4,0))))</f>
        <v>631.34584309776756</v>
      </c>
      <c r="R108">
        <f ca="1">IF($C108-R$1&lt;År1,0,Q107*(1-VLOOKUP($A108,[1]Hugst!$R$5:$W$9,MATCH(ROUNDUP((R$1)/10,0)*10,[1]Hugst!$R$4:$W$4,0))))</f>
        <v>631.80173320894755</v>
      </c>
      <c r="S108">
        <f ca="1">IF($C108-S$1&lt;År1,0,R107*(1-VLOOKUP($A108,[1]Hugst!$R$5:$W$9,MATCH(ROUNDUP((S$1)/10,0)*10,[1]Hugst!$R$4:$W$4,0))))</f>
        <v>632.26188295472537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55000000000000004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4.8153820574698329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821.30750176412187</v>
      </c>
      <c r="G109">
        <f ca="1">IF($C109-G$1&lt;År1,0,F108*(1-VLOOKUP($A109,[1]Hugst!$R$5:$W$9,MATCH(ROUNDUP((G$1)/10,0)*10,[1]Hugst!$R$4:$W$4,0))))</f>
        <v>821.6939490485853</v>
      </c>
      <c r="H109">
        <f ca="1">IF($C109-H$1&lt;År1,0,G108*(1-VLOOKUP($A109,[1]Hugst!$R$5:$W$9,MATCH(ROUNDUP((H$1)/10,0)*10,[1]Hugst!$R$4:$W$4,0))))</f>
        <v>822.08352505561163</v>
      </c>
      <c r="I109">
        <f ca="1">IF($C109-I$1&lt;År1,0,H108*(1-VLOOKUP($A109,[1]Hugst!$R$5:$W$9,MATCH(ROUNDUP((I$1)/10,0)*10,[1]Hugst!$R$4:$W$4,0))))</f>
        <v>822.47624732050792</v>
      </c>
      <c r="J109">
        <f ca="1">IF($C109-J$1&lt;År1,0,I108*(1-VLOOKUP($A109,[1]Hugst!$R$5:$W$9,MATCH(ROUNDUP((J$1)/10,0)*10,[1]Hugst!$R$4:$W$4,0))))</f>
        <v>623.0966003606618</v>
      </c>
      <c r="K109">
        <f ca="1">IF($C109-K$1&lt;År1,0,J108*(1-VLOOKUP($A109,[1]Hugst!$R$5:$W$9,MATCH(ROUNDUP((K$1)/10,0)*10,[1]Hugst!$R$4:$W$4,0))))</f>
        <v>623.49566811132399</v>
      </c>
      <c r="L109">
        <f ca="1">IF($C109-L$1&lt;År1,0,K108*(1-VLOOKUP($A109,[1]Hugst!$R$5:$W$9,MATCH(ROUNDUP((L$1)/10,0)*10,[1]Hugst!$R$4:$W$4,0))))</f>
        <v>624.8719921574102</v>
      </c>
      <c r="M109">
        <f ca="1">IF($C109-M$1&lt;År1,0,L108*(1-VLOOKUP($A109,[1]Hugst!$R$5:$W$9,MATCH(ROUNDUP((M$1)/10,0)*10,[1]Hugst!$R$4:$W$4,0))))</f>
        <v>626.25523240472512</v>
      </c>
      <c r="N109">
        <f ca="1">IF($C109-N$1&lt;År1,0,M108*(1-VLOOKUP($A109,[1]Hugst!$R$5:$W$9,MATCH(ROUNDUP((N$1)/10,0)*10,[1]Hugst!$R$4:$W$4,0))))</f>
        <v>627.6454236080765</v>
      </c>
      <c r="O109">
        <f ca="1">IF($C109-O$1&lt;År1,0,N108*(1-VLOOKUP($A109,[1]Hugst!$R$5:$W$9,MATCH(ROUNDUP((O$1)/10,0)*10,[1]Hugst!$R$4:$W$4,0))))</f>
        <v>629.04260069684574</v>
      </c>
      <c r="P109">
        <f ca="1">IF($C109-P$1&lt;År1,0,O108*(1-VLOOKUP($A109,[1]Hugst!$R$5:$W$9,MATCH(ROUNDUP((P$1)/10,0)*10,[1]Hugst!$R$4:$W$4,0))))</f>
        <v>629.48510026942063</v>
      </c>
      <c r="Q109">
        <f ca="1">IF($C109-Q$1&lt;År1,0,P108*(1-VLOOKUP($A109,[1]Hugst!$R$5:$W$9,MATCH(ROUNDUP((Q$1)/10,0)*10,[1]Hugst!$R$4:$W$4,0))))</f>
        <v>629.93182087358355</v>
      </c>
      <c r="R109">
        <f ca="1">IF($C109-R$1&lt;År1,0,Q108*(1-VLOOKUP($A109,[1]Hugst!$R$5:$W$9,MATCH(ROUNDUP((R$1)/10,0)*10,[1]Hugst!$R$4:$W$4,0))))</f>
        <v>630.38277316761844</v>
      </c>
      <c r="S109">
        <f ca="1">IF($C109-S$1&lt;År1,0,R108*(1-VLOOKUP($A109,[1]Hugst!$R$5:$W$9,MATCH(ROUNDUP((S$1)/10,0)*10,[1]Hugst!$R$4:$W$4,0))))</f>
        <v>630.8379678532051</v>
      </c>
      <c r="T109">
        <f ca="1">IF($C109-T$1&lt;År1,0,S108*(1-VLOOKUP($A109,[1]Hugst!$R$5:$W$9,MATCH(ROUNDUP((T$1)/10,0)*10,[1]Hugst!$R$4:$W$4,0))))</f>
        <v>631.2974156756419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55000000000000004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5.7675930689547386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820.9241657573258</v>
      </c>
      <c r="G110">
        <f ca="1">IF($C110-G$1&lt;År1,0,F109*(1-VLOOKUP($A110,[1]Hugst!$R$5:$W$9,MATCH(ROUNDUP((G$1)/10,0)*10,[1]Hugst!$R$4:$W$4,0))))</f>
        <v>821.30750176412187</v>
      </c>
      <c r="H110">
        <f ca="1">IF($C110-H$1&lt;År1,0,G109*(1-VLOOKUP($A110,[1]Hugst!$R$5:$W$9,MATCH(ROUNDUP((H$1)/10,0)*10,[1]Hugst!$R$4:$W$4,0))))</f>
        <v>821.6939490485853</v>
      </c>
      <c r="I110">
        <f ca="1">IF($C110-I$1&lt;År1,0,H109*(1-VLOOKUP($A110,[1]Hugst!$R$5:$W$9,MATCH(ROUNDUP((I$1)/10,0)*10,[1]Hugst!$R$4:$W$4,0))))</f>
        <v>822.08352505561163</v>
      </c>
      <c r="J110">
        <f ca="1">IF($C110-J$1&lt;År1,0,I109*(1-VLOOKUP($A110,[1]Hugst!$R$5:$W$9,MATCH(ROUNDUP((J$1)/10,0)*10,[1]Hugst!$R$4:$W$4,0))))</f>
        <v>822.47624732050792</v>
      </c>
      <c r="K110">
        <f ca="1">IF($C110-K$1&lt;År1,0,J109*(1-VLOOKUP($A110,[1]Hugst!$R$5:$W$9,MATCH(ROUNDUP((K$1)/10,0)*10,[1]Hugst!$R$4:$W$4,0))))</f>
        <v>623.0966003606618</v>
      </c>
      <c r="L110">
        <f ca="1">IF($C110-L$1&lt;År1,0,K109*(1-VLOOKUP($A110,[1]Hugst!$R$5:$W$9,MATCH(ROUNDUP((L$1)/10,0)*10,[1]Hugst!$R$4:$W$4,0))))</f>
        <v>623.49566811132399</v>
      </c>
      <c r="M110">
        <f ca="1">IF($C110-M$1&lt;År1,0,L109*(1-VLOOKUP($A110,[1]Hugst!$R$5:$W$9,MATCH(ROUNDUP((M$1)/10,0)*10,[1]Hugst!$R$4:$W$4,0))))</f>
        <v>624.8719921574102</v>
      </c>
      <c r="N110">
        <f ca="1">IF($C110-N$1&lt;År1,0,M109*(1-VLOOKUP($A110,[1]Hugst!$R$5:$W$9,MATCH(ROUNDUP((N$1)/10,0)*10,[1]Hugst!$R$4:$W$4,0))))</f>
        <v>626.25523240472512</v>
      </c>
      <c r="O110">
        <f ca="1">IF($C110-O$1&lt;År1,0,N109*(1-VLOOKUP($A110,[1]Hugst!$R$5:$W$9,MATCH(ROUNDUP((O$1)/10,0)*10,[1]Hugst!$R$4:$W$4,0))))</f>
        <v>627.6454236080765</v>
      </c>
      <c r="P110">
        <f ca="1">IF($C110-P$1&lt;År1,0,O109*(1-VLOOKUP($A110,[1]Hugst!$R$5:$W$9,MATCH(ROUNDUP((P$1)/10,0)*10,[1]Hugst!$R$4:$W$4,0))))</f>
        <v>628.08304418730813</v>
      </c>
      <c r="Q110">
        <f ca="1">IF($C110-Q$1&lt;År1,0,P109*(1-VLOOKUP($A110,[1]Hugst!$R$5:$W$9,MATCH(ROUNDUP((Q$1)/10,0)*10,[1]Hugst!$R$4:$W$4,0))))</f>
        <v>628.52486876053501</v>
      </c>
      <c r="R110">
        <f ca="1">IF($C110-R$1&lt;År1,0,Q109*(1-VLOOKUP($A110,[1]Hugst!$R$5:$W$9,MATCH(ROUNDUP((R$1)/10,0)*10,[1]Hugst!$R$4:$W$4,0))))</f>
        <v>628.97090792648828</v>
      </c>
      <c r="S110">
        <f ca="1">IF($C110-S$1&lt;År1,0,R109*(1-VLOOKUP($A110,[1]Hugst!$R$5:$W$9,MATCH(ROUNDUP((S$1)/10,0)*10,[1]Hugst!$R$4:$W$4,0))))</f>
        <v>629.42117232719329</v>
      </c>
      <c r="T110">
        <f ca="1">IF($C110-T$1&lt;År1,0,S109*(1-VLOOKUP($A110,[1]Hugst!$R$5:$W$9,MATCH(ROUNDUP((T$1)/10,0)*10,[1]Hugst!$R$4:$W$4,0))))</f>
        <v>629.87567264800532</v>
      </c>
      <c r="U110">
        <f ca="1">IF($C110-U$1&lt;År1,0,T109*(1-VLOOKUP($A110,[1]Hugst!$R$5:$W$9,MATCH(ROUNDUP((U$1)/10,0)*10,[1]Hugst!$R$4:$W$4,0))))</f>
        <v>630.3344196178316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55000000000000004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6.7162202680810879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820.54392367325011</v>
      </c>
      <c r="G111">
        <f ca="1">IF($C111-G$1&lt;År1,0,F110*(1-VLOOKUP($A111,[1]Hugst!$R$5:$W$9,MATCH(ROUNDUP((G$1)/10,0)*10,[1]Hugst!$R$4:$W$4,0))))</f>
        <v>820.9241657573258</v>
      </c>
      <c r="H111">
        <f ca="1">IF($C111-H$1&lt;År1,0,G110*(1-VLOOKUP($A111,[1]Hugst!$R$5:$W$9,MATCH(ROUNDUP((H$1)/10,0)*10,[1]Hugst!$R$4:$W$4,0))))</f>
        <v>821.30750176412187</v>
      </c>
      <c r="I111">
        <f ca="1">IF($C111-I$1&lt;År1,0,H110*(1-VLOOKUP($A111,[1]Hugst!$R$5:$W$9,MATCH(ROUNDUP((I$1)/10,0)*10,[1]Hugst!$R$4:$W$4,0))))</f>
        <v>821.6939490485853</v>
      </c>
      <c r="J111">
        <f ca="1">IF($C111-J$1&lt;År1,0,I110*(1-VLOOKUP($A111,[1]Hugst!$R$5:$W$9,MATCH(ROUNDUP((J$1)/10,0)*10,[1]Hugst!$R$4:$W$4,0))))</f>
        <v>822.08352505561163</v>
      </c>
      <c r="K111">
        <f ca="1">IF($C111-K$1&lt;År1,0,J110*(1-VLOOKUP($A111,[1]Hugst!$R$5:$W$9,MATCH(ROUNDUP((K$1)/10,0)*10,[1]Hugst!$R$4:$W$4,0))))</f>
        <v>822.47624732050792</v>
      </c>
      <c r="L111">
        <f ca="1">IF($C111-L$1&lt;År1,0,K110*(1-VLOOKUP($A111,[1]Hugst!$R$5:$W$9,MATCH(ROUNDUP((L$1)/10,0)*10,[1]Hugst!$R$4:$W$4,0))))</f>
        <v>623.0966003606618</v>
      </c>
      <c r="M111">
        <f ca="1">IF($C111-M$1&lt;År1,0,L110*(1-VLOOKUP($A111,[1]Hugst!$R$5:$W$9,MATCH(ROUNDUP((M$1)/10,0)*10,[1]Hugst!$R$4:$W$4,0))))</f>
        <v>623.49566811132399</v>
      </c>
      <c r="N111">
        <f ca="1">IF($C111-N$1&lt;År1,0,M110*(1-VLOOKUP($A111,[1]Hugst!$R$5:$W$9,MATCH(ROUNDUP((N$1)/10,0)*10,[1]Hugst!$R$4:$W$4,0))))</f>
        <v>624.8719921574102</v>
      </c>
      <c r="O111">
        <f ca="1">IF($C111-O$1&lt;År1,0,N110*(1-VLOOKUP($A111,[1]Hugst!$R$5:$W$9,MATCH(ROUNDUP((O$1)/10,0)*10,[1]Hugst!$R$4:$W$4,0))))</f>
        <v>626.25523240472512</v>
      </c>
      <c r="P111">
        <f ca="1">IF($C111-P$1&lt;År1,0,O110*(1-VLOOKUP($A111,[1]Hugst!$R$5:$W$9,MATCH(ROUNDUP((P$1)/10,0)*10,[1]Hugst!$R$4:$W$4,0))))</f>
        <v>626.68799838562347</v>
      </c>
      <c r="Q111">
        <f ca="1">IF($C111-Q$1&lt;År1,0,P110*(1-VLOOKUP($A111,[1]Hugst!$R$5:$W$9,MATCH(ROUNDUP((Q$1)/10,0)*10,[1]Hugst!$R$4:$W$4,0))))</f>
        <v>627.12495140803935</v>
      </c>
      <c r="R111">
        <f ca="1">IF($C111-R$1&lt;År1,0,Q110*(1-VLOOKUP($A111,[1]Hugst!$R$5:$W$9,MATCH(ROUNDUP((R$1)/10,0)*10,[1]Hugst!$R$4:$W$4,0))))</f>
        <v>627.56610201157821</v>
      </c>
      <c r="S111">
        <f ca="1">IF($C111-S$1&lt;År1,0,R110*(1-VLOOKUP($A111,[1]Hugst!$R$5:$W$9,MATCH(ROUNDUP((S$1)/10,0)*10,[1]Hugst!$R$4:$W$4,0))))</f>
        <v>628.01146077880378</v>
      </c>
      <c r="T111">
        <f ca="1">IF($C111-T$1&lt;År1,0,S110*(1-VLOOKUP($A111,[1]Hugst!$R$5:$W$9,MATCH(ROUNDUP((T$1)/10,0)*10,[1]Hugst!$R$4:$W$4,0))))</f>
        <v>628.46103833550774</v>
      </c>
      <c r="U111">
        <f ca="1">IF($C111-U$1&lt;År1,0,T110*(1-VLOOKUP($A111,[1]Hugst!$R$5:$W$9,MATCH(ROUNDUP((U$1)/10,0)*10,[1]Hugst!$R$4:$W$4,0))))</f>
        <v>628.91484535074562</v>
      </c>
      <c r="V111">
        <f ca="1">IF($C111-V$1&lt;År1,0,U110*(1-VLOOKUP($A111,[1]Hugst!$R$5:$W$9,MATCH(ROUNDUP((V$1)/10,0)*10,[1]Hugst!$R$4:$W$4,0))))</f>
        <v>629.37289253705865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55000000000000004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7.6612797781181143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820.16675824651168</v>
      </c>
      <c r="G112">
        <f ca="1">IF($C112-G$1&lt;År1,0,F111*(1-VLOOKUP($A112,[1]Hugst!$R$5:$W$9,MATCH(ROUNDUP((G$1)/10,0)*10,[1]Hugst!$R$4:$W$4,0))))</f>
        <v>820.54392367325011</v>
      </c>
      <c r="H112">
        <f ca="1">IF($C112-H$1&lt;År1,0,G111*(1-VLOOKUP($A112,[1]Hugst!$R$5:$W$9,MATCH(ROUNDUP((H$1)/10,0)*10,[1]Hugst!$R$4:$W$4,0))))</f>
        <v>820.9241657573258</v>
      </c>
      <c r="I112">
        <f ca="1">IF($C112-I$1&lt;År1,0,H111*(1-VLOOKUP($A112,[1]Hugst!$R$5:$W$9,MATCH(ROUNDUP((I$1)/10,0)*10,[1]Hugst!$R$4:$W$4,0))))</f>
        <v>821.30750176412187</v>
      </c>
      <c r="J112">
        <f ca="1">IF($C112-J$1&lt;År1,0,I111*(1-VLOOKUP($A112,[1]Hugst!$R$5:$W$9,MATCH(ROUNDUP((J$1)/10,0)*10,[1]Hugst!$R$4:$W$4,0))))</f>
        <v>821.6939490485853</v>
      </c>
      <c r="K112">
        <f ca="1">IF($C112-K$1&lt;År1,0,J111*(1-VLOOKUP($A112,[1]Hugst!$R$5:$W$9,MATCH(ROUNDUP((K$1)/10,0)*10,[1]Hugst!$R$4:$W$4,0))))</f>
        <v>822.08352505561163</v>
      </c>
      <c r="L112">
        <f ca="1">IF($C112-L$1&lt;År1,0,K111*(1-VLOOKUP($A112,[1]Hugst!$R$5:$W$9,MATCH(ROUNDUP((L$1)/10,0)*10,[1]Hugst!$R$4:$W$4,0))))</f>
        <v>822.47624732050792</v>
      </c>
      <c r="M112">
        <f ca="1">IF($C112-M$1&lt;År1,0,L111*(1-VLOOKUP($A112,[1]Hugst!$R$5:$W$9,MATCH(ROUNDUP((M$1)/10,0)*10,[1]Hugst!$R$4:$W$4,0))))</f>
        <v>623.0966003606618</v>
      </c>
      <c r="N112">
        <f ca="1">IF($C112-N$1&lt;År1,0,M111*(1-VLOOKUP($A112,[1]Hugst!$R$5:$W$9,MATCH(ROUNDUP((N$1)/10,0)*10,[1]Hugst!$R$4:$W$4,0))))</f>
        <v>623.49566811132399</v>
      </c>
      <c r="O112">
        <f ca="1">IF($C112-O$1&lt;År1,0,N111*(1-VLOOKUP($A112,[1]Hugst!$R$5:$W$9,MATCH(ROUNDUP((O$1)/10,0)*10,[1]Hugst!$R$4:$W$4,0))))</f>
        <v>624.8719921574102</v>
      </c>
      <c r="P112">
        <f ca="1">IF($C112-P$1&lt;År1,0,O111*(1-VLOOKUP($A112,[1]Hugst!$R$5:$W$9,MATCH(ROUNDUP((P$1)/10,0)*10,[1]Hugst!$R$4:$W$4,0))))</f>
        <v>625.29992781292128</v>
      </c>
      <c r="Q112">
        <f ca="1">IF($C112-Q$1&lt;År1,0,P111*(1-VLOOKUP($A112,[1]Hugst!$R$5:$W$9,MATCH(ROUNDUP((Q$1)/10,0)*10,[1]Hugst!$R$4:$W$4,0))))</f>
        <v>625.73203364232336</v>
      </c>
      <c r="R112">
        <f ca="1">IF($C112-R$1&lt;År1,0,Q111*(1-VLOOKUP($A112,[1]Hugst!$R$5:$W$9,MATCH(ROUNDUP((R$1)/10,0)*10,[1]Hugst!$R$4:$W$4,0))))</f>
        <v>626.16832012623047</v>
      </c>
      <c r="S112">
        <f ca="1">IF($C112-S$1&lt;År1,0,R111*(1-VLOOKUP($A112,[1]Hugst!$R$5:$W$9,MATCH(ROUNDUP((S$1)/10,0)*10,[1]Hugst!$R$4:$W$4,0))))</f>
        <v>626.6087977881707</v>
      </c>
      <c r="T112">
        <f ca="1">IF($C112-T$1&lt;År1,0,S111*(1-VLOOKUP($A112,[1]Hugst!$R$5:$W$9,MATCH(ROUNDUP((T$1)/10,0)*10,[1]Hugst!$R$4:$W$4,0))))</f>
        <v>627.05347719456495</v>
      </c>
      <c r="U112">
        <f ca="1">IF($C112-U$1&lt;År1,0,T111*(1-VLOOKUP($A112,[1]Hugst!$R$5:$W$9,MATCH(ROUNDUP((U$1)/10,0)*10,[1]Hugst!$R$4:$W$4,0))))</f>
        <v>627.50236895499597</v>
      </c>
      <c r="V112">
        <f ca="1">IF($C112-V$1&lt;År1,0,U111*(1-VLOOKUP($A112,[1]Hugst!$R$5:$W$9,MATCH(ROUNDUP((V$1)/10,0)*10,[1]Hugst!$R$4:$W$4,0))))</f>
        <v>627.95548372224448</v>
      </c>
      <c r="W112">
        <f ca="1">IF($C112-W$1&lt;År1,0,V111*(1-VLOOKUP($A112,[1]Hugst!$R$5:$W$9,MATCH(ROUNDUP((W$1)/10,0)*10,[1]Hugst!$R$4:$W$4,0))))</f>
        <v>628.41283219251056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55000000000000004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8.6027876444622962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819.79265230076555</v>
      </c>
      <c r="G113">
        <f ca="1">IF($C113-G$1&lt;År1,0,F112*(1-VLOOKUP($A113,[1]Hugst!$R$5:$W$9,MATCH(ROUNDUP((G$1)/10,0)*10,[1]Hugst!$R$4:$W$4,0))))</f>
        <v>820.16675824651168</v>
      </c>
      <c r="H113">
        <f ca="1">IF($C113-H$1&lt;År1,0,G112*(1-VLOOKUP($A113,[1]Hugst!$R$5:$W$9,MATCH(ROUNDUP((H$1)/10,0)*10,[1]Hugst!$R$4:$W$4,0))))</f>
        <v>820.54392367325011</v>
      </c>
      <c r="I113">
        <f ca="1">IF($C113-I$1&lt;År1,0,H112*(1-VLOOKUP($A113,[1]Hugst!$R$5:$W$9,MATCH(ROUNDUP((I$1)/10,0)*10,[1]Hugst!$R$4:$W$4,0))))</f>
        <v>820.9241657573258</v>
      </c>
      <c r="J113">
        <f ca="1">IF($C113-J$1&lt;År1,0,I112*(1-VLOOKUP($A113,[1]Hugst!$R$5:$W$9,MATCH(ROUNDUP((J$1)/10,0)*10,[1]Hugst!$R$4:$W$4,0))))</f>
        <v>821.30750176412187</v>
      </c>
      <c r="K113">
        <f ca="1">IF($C113-K$1&lt;År1,0,J112*(1-VLOOKUP($A113,[1]Hugst!$R$5:$W$9,MATCH(ROUNDUP((K$1)/10,0)*10,[1]Hugst!$R$4:$W$4,0))))</f>
        <v>821.6939490485853</v>
      </c>
      <c r="L113">
        <f ca="1">IF($C113-L$1&lt;År1,0,K112*(1-VLOOKUP($A113,[1]Hugst!$R$5:$W$9,MATCH(ROUNDUP((L$1)/10,0)*10,[1]Hugst!$R$4:$W$4,0))))</f>
        <v>822.08352505561163</v>
      </c>
      <c r="M113">
        <f ca="1">IF($C113-M$1&lt;År1,0,L112*(1-VLOOKUP($A113,[1]Hugst!$R$5:$W$9,MATCH(ROUNDUP((M$1)/10,0)*10,[1]Hugst!$R$4:$W$4,0))))</f>
        <v>822.47624732050792</v>
      </c>
      <c r="N113">
        <f ca="1">IF($C113-N$1&lt;År1,0,M112*(1-VLOOKUP($A113,[1]Hugst!$R$5:$W$9,MATCH(ROUNDUP((N$1)/10,0)*10,[1]Hugst!$R$4:$W$4,0))))</f>
        <v>623.0966003606618</v>
      </c>
      <c r="O113">
        <f ca="1">IF($C113-O$1&lt;År1,0,N112*(1-VLOOKUP($A113,[1]Hugst!$R$5:$W$9,MATCH(ROUNDUP((O$1)/10,0)*10,[1]Hugst!$R$4:$W$4,0))))</f>
        <v>623.49566811132399</v>
      </c>
      <c r="P113">
        <f ca="1">IF($C113-P$1&lt;År1,0,O112*(1-VLOOKUP($A113,[1]Hugst!$R$5:$W$9,MATCH(ROUNDUP((P$1)/10,0)*10,[1]Hugst!$R$4:$W$4,0))))</f>
        <v>623.91879759310223</v>
      </c>
      <c r="Q113">
        <f ca="1">IF($C113-Q$1&lt;År1,0,P112*(1-VLOOKUP($A113,[1]Hugst!$R$5:$W$9,MATCH(ROUNDUP((Q$1)/10,0)*10,[1]Hugst!$R$4:$W$4,0))))</f>
        <v>624.34608046541007</v>
      </c>
      <c r="R113">
        <f ca="1">IF($C113-R$1&lt;År1,0,Q112*(1-VLOOKUP($A113,[1]Hugst!$R$5:$W$9,MATCH(ROUNDUP((R$1)/10,0)*10,[1]Hugst!$R$4:$W$4,0))))</f>
        <v>624.77752715032659</v>
      </c>
      <c r="S113">
        <f ca="1">IF($C113-S$1&lt;År1,0,R112*(1-VLOOKUP($A113,[1]Hugst!$R$5:$W$9,MATCH(ROUNDUP((S$1)/10,0)*10,[1]Hugst!$R$4:$W$4,0))))</f>
        <v>625.21314811247862</v>
      </c>
      <c r="T113">
        <f ca="1">IF($C113-T$1&lt;År1,0,S112*(1-VLOOKUP($A113,[1]Hugst!$R$5:$W$9,MATCH(ROUNDUP((T$1)/10,0)*10,[1]Hugst!$R$4:$W$4,0))))</f>
        <v>625.65295385934132</v>
      </c>
      <c r="U113">
        <f ca="1">IF($C113-U$1&lt;År1,0,T112*(1-VLOOKUP($A113,[1]Hugst!$R$5:$W$9,MATCH(ROUNDUP((U$1)/10,0)*10,[1]Hugst!$R$4:$W$4,0))))</f>
        <v>626.09695494121729</v>
      </c>
      <c r="V113">
        <f ca="1">IF($C113-V$1&lt;År1,0,U112*(1-VLOOKUP($A113,[1]Hugst!$R$5:$W$9,MATCH(ROUNDUP((V$1)/10,0)*10,[1]Hugst!$R$4:$W$4,0))))</f>
        <v>626.54516195150529</v>
      </c>
      <c r="W113">
        <f ca="1">IF($C113-W$1&lt;År1,0,V112*(1-VLOOKUP($A113,[1]Hugst!$R$5:$W$9,MATCH(ROUNDUP((W$1)/10,0)*10,[1]Hugst!$R$4:$W$4,0))))</f>
        <v>626.99758552673597</v>
      </c>
      <c r="X113">
        <f ca="1">IF($C113-X$1&lt;År1,0,W112*(1-VLOOKUP($A113,[1]Hugst!$R$5:$W$9,MATCH(ROUNDUP((X$1)/10,0)*10,[1]Hugst!$R$4:$W$4,0))))</f>
        <v>627.45423634679321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55000000000000004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9.540759835001154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819.42158874826066</v>
      </c>
      <c r="G114">
        <f ca="1">IF($C114-G$1&lt;År1,0,F113*(1-VLOOKUP($A114,[1]Hugst!$R$5:$W$9,MATCH(ROUNDUP((G$1)/10,0)*10,[1]Hugst!$R$4:$W$4,0))))</f>
        <v>819.79265230076555</v>
      </c>
      <c r="H114">
        <f ca="1">IF($C114-H$1&lt;År1,0,G113*(1-VLOOKUP($A114,[1]Hugst!$R$5:$W$9,MATCH(ROUNDUP((H$1)/10,0)*10,[1]Hugst!$R$4:$W$4,0))))</f>
        <v>820.16675824651168</v>
      </c>
      <c r="I114">
        <f ca="1">IF($C114-I$1&lt;År1,0,H113*(1-VLOOKUP($A114,[1]Hugst!$R$5:$W$9,MATCH(ROUNDUP((I$1)/10,0)*10,[1]Hugst!$R$4:$W$4,0))))</f>
        <v>820.54392367325011</v>
      </c>
      <c r="J114">
        <f ca="1">IF($C114-J$1&lt;År1,0,I113*(1-VLOOKUP($A114,[1]Hugst!$R$5:$W$9,MATCH(ROUNDUP((J$1)/10,0)*10,[1]Hugst!$R$4:$W$4,0))))</f>
        <v>820.9241657573258</v>
      </c>
      <c r="K114">
        <f ca="1">IF($C114-K$1&lt;År1,0,J113*(1-VLOOKUP($A114,[1]Hugst!$R$5:$W$9,MATCH(ROUNDUP((K$1)/10,0)*10,[1]Hugst!$R$4:$W$4,0))))</f>
        <v>821.30750176412187</v>
      </c>
      <c r="L114">
        <f ca="1">IF($C114-L$1&lt;År1,0,K113*(1-VLOOKUP($A114,[1]Hugst!$R$5:$W$9,MATCH(ROUNDUP((L$1)/10,0)*10,[1]Hugst!$R$4:$W$4,0))))</f>
        <v>821.6939490485853</v>
      </c>
      <c r="M114">
        <f ca="1">IF($C114-M$1&lt;År1,0,L113*(1-VLOOKUP($A114,[1]Hugst!$R$5:$W$9,MATCH(ROUNDUP((M$1)/10,0)*10,[1]Hugst!$R$4:$W$4,0))))</f>
        <v>822.08352505561163</v>
      </c>
      <c r="N114">
        <f ca="1">IF($C114-N$1&lt;År1,0,M113*(1-VLOOKUP($A114,[1]Hugst!$R$5:$W$9,MATCH(ROUNDUP((N$1)/10,0)*10,[1]Hugst!$R$4:$W$4,0))))</f>
        <v>822.47624732050792</v>
      </c>
      <c r="O114">
        <f ca="1">IF($C114-O$1&lt;År1,0,N113*(1-VLOOKUP($A114,[1]Hugst!$R$5:$W$9,MATCH(ROUNDUP((O$1)/10,0)*10,[1]Hugst!$R$4:$W$4,0))))</f>
        <v>623.0966003606618</v>
      </c>
      <c r="P114">
        <f ca="1">IF($C114-P$1&lt;År1,0,O113*(1-VLOOKUP($A114,[1]Hugst!$R$5:$W$9,MATCH(ROUNDUP((P$1)/10,0)*10,[1]Hugst!$R$4:$W$4,0))))</f>
        <v>622.54457302437447</v>
      </c>
      <c r="Q114">
        <f ca="1">IF($C114-Q$1&lt;År1,0,P113*(1-VLOOKUP($A114,[1]Hugst!$R$5:$W$9,MATCH(ROUNDUP((Q$1)/10,0)*10,[1]Hugst!$R$4:$W$4,0))))</f>
        <v>622.96705705440081</v>
      </c>
      <c r="R114">
        <f ca="1">IF($C114-R$1&lt;År1,0,Q113*(1-VLOOKUP($A114,[1]Hugst!$R$5:$W$9,MATCH(ROUNDUP((R$1)/10,0)*10,[1]Hugst!$R$4:$W$4,0))))</f>
        <v>623.39368813927638</v>
      </c>
      <c r="S114">
        <f ca="1">IF($C114-S$1&lt;År1,0,R113*(1-VLOOKUP($A114,[1]Hugst!$R$5:$W$9,MATCH(ROUNDUP((S$1)/10,0)*10,[1]Hugst!$R$4:$W$4,0))))</f>
        <v>623.82447668518205</v>
      </c>
      <c r="T114">
        <f ca="1">IF($C114-T$1&lt;År1,0,S113*(1-VLOOKUP($A114,[1]Hugst!$R$5:$W$9,MATCH(ROUNDUP((T$1)/10,0)*10,[1]Hugst!$R$4:$W$4,0))))</f>
        <v>624.25943314078165</v>
      </c>
      <c r="U114">
        <f ca="1">IF($C114-U$1&lt;År1,0,T113*(1-VLOOKUP($A114,[1]Hugst!$R$5:$W$9,MATCH(ROUNDUP((U$1)/10,0)*10,[1]Hugst!$R$4:$W$4,0))))</f>
        <v>624.69856799752199</v>
      </c>
      <c r="V114">
        <f ca="1">IF($C114-V$1&lt;År1,0,U113*(1-VLOOKUP($A114,[1]Hugst!$R$5:$W$9,MATCH(ROUNDUP((V$1)/10,0)*10,[1]Hugst!$R$4:$W$4,0))))</f>
        <v>625.14189178961203</v>
      </c>
      <c r="W114">
        <f ca="1">IF($C114-W$1&lt;År1,0,V113*(1-VLOOKUP($A114,[1]Hugst!$R$5:$W$9,MATCH(ROUNDUP((W$1)/10,0)*10,[1]Hugst!$R$4:$W$4,0))))</f>
        <v>625.5894150942911</v>
      </c>
      <c r="X114">
        <f ca="1">IF($C114-X$1&lt;År1,0,W113*(1-VLOOKUP($A114,[1]Hugst!$R$5:$W$9,MATCH(ROUNDUP((X$1)/10,0)*10,[1]Hugst!$R$4:$W$4,0))))</f>
        <v>626.04114853186468</v>
      </c>
      <c r="Y114">
        <f ca="1">IF($C114-Y$1&lt;År1,0,X113*(1-VLOOKUP($A114,[1]Hugst!$R$5:$W$9,MATCH(ROUNDUP((Y$1)/10,0)*10,[1]Hugst!$R$4:$W$4,0))))</f>
        <v>626.49710276592521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55000000000000004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10.609424910118832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819.1877632590614</v>
      </c>
      <c r="G115">
        <f ca="1">IF($C115-G$1&lt;År1,0,F114*(1-VLOOKUP($A115,[1]Hugst!$R$5:$W$9,MATCH(ROUNDUP((G$1)/10,0)*10,[1]Hugst!$R$4:$W$4,0))))</f>
        <v>819.42158874826066</v>
      </c>
      <c r="H115">
        <f ca="1">IF($C115-H$1&lt;År1,0,G114*(1-VLOOKUP($A115,[1]Hugst!$R$5:$W$9,MATCH(ROUNDUP((H$1)/10,0)*10,[1]Hugst!$R$4:$W$4,0))))</f>
        <v>819.79265230076555</v>
      </c>
      <c r="I115">
        <f ca="1">IF($C115-I$1&lt;År1,0,H114*(1-VLOOKUP($A115,[1]Hugst!$R$5:$W$9,MATCH(ROUNDUP((I$1)/10,0)*10,[1]Hugst!$R$4:$W$4,0))))</f>
        <v>820.16675824651168</v>
      </c>
      <c r="J115">
        <f ca="1">IF($C115-J$1&lt;År1,0,I114*(1-VLOOKUP($A115,[1]Hugst!$R$5:$W$9,MATCH(ROUNDUP((J$1)/10,0)*10,[1]Hugst!$R$4:$W$4,0))))</f>
        <v>820.54392367325011</v>
      </c>
      <c r="K115">
        <f ca="1">IF($C115-K$1&lt;År1,0,J114*(1-VLOOKUP($A115,[1]Hugst!$R$5:$W$9,MATCH(ROUNDUP((K$1)/10,0)*10,[1]Hugst!$R$4:$W$4,0))))</f>
        <v>820.9241657573258</v>
      </c>
      <c r="L115">
        <f ca="1">IF($C115-L$1&lt;År1,0,K114*(1-VLOOKUP($A115,[1]Hugst!$R$5:$W$9,MATCH(ROUNDUP((L$1)/10,0)*10,[1]Hugst!$R$4:$W$4,0))))</f>
        <v>821.30750176412187</v>
      </c>
      <c r="M115">
        <f ca="1">IF($C115-M$1&lt;År1,0,L114*(1-VLOOKUP($A115,[1]Hugst!$R$5:$W$9,MATCH(ROUNDUP((M$1)/10,0)*10,[1]Hugst!$R$4:$W$4,0))))</f>
        <v>821.6939490485853</v>
      </c>
      <c r="N115">
        <f ca="1">IF($C115-N$1&lt;År1,0,M114*(1-VLOOKUP($A115,[1]Hugst!$R$5:$W$9,MATCH(ROUNDUP((N$1)/10,0)*10,[1]Hugst!$R$4:$W$4,0))))</f>
        <v>822.08352505561163</v>
      </c>
      <c r="O115">
        <f ca="1">IF($C115-O$1&lt;År1,0,N114*(1-VLOOKUP($A115,[1]Hugst!$R$5:$W$9,MATCH(ROUNDUP((O$1)/10,0)*10,[1]Hugst!$R$4:$W$4,0))))</f>
        <v>822.47624732050792</v>
      </c>
      <c r="P115">
        <f ca="1">IF($C115-P$1&lt;År1,0,O114*(1-VLOOKUP($A115,[1]Hugst!$R$5:$W$9,MATCH(ROUNDUP((P$1)/10,0)*10,[1]Hugst!$R$4:$W$4,0))))</f>
        <v>622.1461140211286</v>
      </c>
      <c r="Q115">
        <f ca="1">IF($C115-Q$1&lt;År1,0,P114*(1-VLOOKUP($A115,[1]Hugst!$R$5:$W$9,MATCH(ROUNDUP((Q$1)/10,0)*10,[1]Hugst!$R$4:$W$4,0))))</f>
        <v>621.59492876043896</v>
      </c>
      <c r="R115">
        <f ca="1">IF($C115-R$1&lt;År1,0,Q114*(1-VLOOKUP($A115,[1]Hugst!$R$5:$W$9,MATCH(ROUNDUP((R$1)/10,0)*10,[1]Hugst!$R$4:$W$4,0))))</f>
        <v>622.01676832330088</v>
      </c>
      <c r="S115">
        <f ca="1">IF($C115-S$1&lt;År1,0,R114*(1-VLOOKUP($A115,[1]Hugst!$R$5:$W$9,MATCH(ROUNDUP((S$1)/10,0)*10,[1]Hugst!$R$4:$W$4,0))))</f>
        <v>622.44274861499616</v>
      </c>
      <c r="T115">
        <f ca="1">IF($C115-T$1&lt;År1,0,S114*(1-VLOOKUP($A115,[1]Hugst!$R$5:$W$9,MATCH(ROUNDUP((T$1)/10,0)*10,[1]Hugst!$R$4:$W$4,0))))</f>
        <v>622.87288002583171</v>
      </c>
      <c r="U115">
        <f ca="1">IF($C115-U$1&lt;År1,0,T114*(1-VLOOKUP($A115,[1]Hugst!$R$5:$W$9,MATCH(ROUNDUP((U$1)/10,0)*10,[1]Hugst!$R$4:$W$4,0))))</f>
        <v>623.30717298853301</v>
      </c>
      <c r="V115">
        <f ca="1">IF($C115-V$1&lt;År1,0,U114*(1-VLOOKUP($A115,[1]Hugst!$R$5:$W$9,MATCH(ROUNDUP((V$1)/10,0)*10,[1]Hugst!$R$4:$W$4,0))))</f>
        <v>623.74563797854273</v>
      </c>
      <c r="W115">
        <f ca="1">IF($C115-W$1&lt;År1,0,V114*(1-VLOOKUP($A115,[1]Hugst!$R$5:$W$9,MATCH(ROUNDUP((W$1)/10,0)*10,[1]Hugst!$R$4:$W$4,0))))</f>
        <v>624.18828551400077</v>
      </c>
      <c r="X115">
        <f ca="1">IF($C115-X$1&lt;År1,0,W114*(1-VLOOKUP($A115,[1]Hugst!$R$5:$W$9,MATCH(ROUNDUP((X$1)/10,0)*10,[1]Hugst!$R$4:$W$4,0))))</f>
        <v>624.63512615601167</v>
      </c>
      <c r="Y115">
        <f ca="1">IF($C115-Y$1&lt;År1,0,X114*(1-VLOOKUP($A115,[1]Hugst!$R$5:$W$9,MATCH(ROUNDUP((Y$1)/10,0)*10,[1]Hugst!$R$4:$W$4,0))))</f>
        <v>625.08617050868042</v>
      </c>
      <c r="Z115">
        <f ca="1">IF($C115-Z$1&lt;År1,0,Y114*(1-VLOOKUP($A115,[1]Hugst!$R$5:$W$9,MATCH(ROUNDUP((Z$1)/10,0)*10,[1]Hugst!$R$4:$W$4,0))))</f>
        <v>625.40869678230638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55000000000000004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11.980068741873765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819.26242897932218</v>
      </c>
      <c r="G116">
        <f ca="1">IF($C116-G$1&lt;År1,0,F115*(1-VLOOKUP($A116,[1]Hugst!$R$5:$W$9,MATCH(ROUNDUP((G$1)/10,0)*10,[1]Hugst!$R$4:$W$4,0))))</f>
        <v>819.1877632590614</v>
      </c>
      <c r="H116">
        <f ca="1">IF($C116-H$1&lt;År1,0,G115*(1-VLOOKUP($A116,[1]Hugst!$R$5:$W$9,MATCH(ROUNDUP((H$1)/10,0)*10,[1]Hugst!$R$4:$W$4,0))))</f>
        <v>819.42158874826066</v>
      </c>
      <c r="I116">
        <f ca="1">IF($C116-I$1&lt;År1,0,H115*(1-VLOOKUP($A116,[1]Hugst!$R$5:$W$9,MATCH(ROUNDUP((I$1)/10,0)*10,[1]Hugst!$R$4:$W$4,0))))</f>
        <v>819.79265230076555</v>
      </c>
      <c r="J116">
        <f ca="1">IF($C116-J$1&lt;År1,0,I115*(1-VLOOKUP($A116,[1]Hugst!$R$5:$W$9,MATCH(ROUNDUP((J$1)/10,0)*10,[1]Hugst!$R$4:$W$4,0))))</f>
        <v>820.16675824651168</v>
      </c>
      <c r="K116">
        <f ca="1">IF($C116-K$1&lt;År1,0,J115*(1-VLOOKUP($A116,[1]Hugst!$R$5:$W$9,MATCH(ROUNDUP((K$1)/10,0)*10,[1]Hugst!$R$4:$W$4,0))))</f>
        <v>820.54392367325011</v>
      </c>
      <c r="L116">
        <f ca="1">IF($C116-L$1&lt;År1,0,K115*(1-VLOOKUP($A116,[1]Hugst!$R$5:$W$9,MATCH(ROUNDUP((L$1)/10,0)*10,[1]Hugst!$R$4:$W$4,0))))</f>
        <v>820.9241657573258</v>
      </c>
      <c r="M116">
        <f ca="1">IF($C116-M$1&lt;År1,0,L115*(1-VLOOKUP($A116,[1]Hugst!$R$5:$W$9,MATCH(ROUNDUP((M$1)/10,0)*10,[1]Hugst!$R$4:$W$4,0))))</f>
        <v>821.30750176412187</v>
      </c>
      <c r="N116">
        <f ca="1">IF($C116-N$1&lt;År1,0,M115*(1-VLOOKUP($A116,[1]Hugst!$R$5:$W$9,MATCH(ROUNDUP((N$1)/10,0)*10,[1]Hugst!$R$4:$W$4,0))))</f>
        <v>821.6939490485853</v>
      </c>
      <c r="O116">
        <f ca="1">IF($C116-O$1&lt;År1,0,N115*(1-VLOOKUP($A116,[1]Hugst!$R$5:$W$9,MATCH(ROUNDUP((O$1)/10,0)*10,[1]Hugst!$R$4:$W$4,0))))</f>
        <v>822.08352505561163</v>
      </c>
      <c r="P116">
        <f ca="1">IF($C116-P$1&lt;År1,0,O115*(1-VLOOKUP($A116,[1]Hugst!$R$5:$W$9,MATCH(ROUNDUP((P$1)/10,0)*10,[1]Hugst!$R$4:$W$4,0))))</f>
        <v>821.22162253645968</v>
      </c>
      <c r="Q116">
        <f ca="1">IF($C116-Q$1&lt;År1,0,P115*(1-VLOOKUP($A116,[1]Hugst!$R$5:$W$9,MATCH(ROUNDUP((Q$1)/10,0)*10,[1]Hugst!$R$4:$W$4,0))))</f>
        <v>621.19707757601157</v>
      </c>
      <c r="R116">
        <f ca="1">IF($C116-R$1&lt;År1,0,Q115*(1-VLOOKUP($A116,[1]Hugst!$R$5:$W$9,MATCH(ROUNDUP((R$1)/10,0)*10,[1]Hugst!$R$4:$W$4,0))))</f>
        <v>620.64673310639762</v>
      </c>
      <c r="S116">
        <f ca="1">IF($C116-S$1&lt;År1,0,R115*(1-VLOOKUP($A116,[1]Hugst!$R$5:$W$9,MATCH(ROUNDUP((S$1)/10,0)*10,[1]Hugst!$R$4:$W$4,0))))</f>
        <v>621.06792918518056</v>
      </c>
      <c r="T116">
        <f ca="1">IF($C116-T$1&lt;År1,0,S115*(1-VLOOKUP($A116,[1]Hugst!$R$5:$W$9,MATCH(ROUNDUP((T$1)/10,0)*10,[1]Hugst!$R$4:$W$4,0))))</f>
        <v>621.49325967643085</v>
      </c>
      <c r="U116">
        <f ca="1">IF($C116-U$1&lt;År1,0,T115*(1-VLOOKUP($A116,[1]Hugst!$R$5:$W$9,MATCH(ROUNDUP((U$1)/10,0)*10,[1]Hugst!$R$4:$W$4,0))))</f>
        <v>621.92273495460586</v>
      </c>
      <c r="V116">
        <f ca="1">IF($C116-V$1&lt;År1,0,U115*(1-VLOOKUP($A116,[1]Hugst!$R$5:$W$9,MATCH(ROUNDUP((V$1)/10,0)*10,[1]Hugst!$R$4:$W$4,0))))</f>
        <v>622.35636543651663</v>
      </c>
      <c r="W116">
        <f ca="1">IF($C116-W$1&lt;År1,0,V115*(1-VLOOKUP($A116,[1]Hugst!$R$5:$W$9,MATCH(ROUNDUP((W$1)/10,0)*10,[1]Hugst!$R$4:$W$4,0))))</f>
        <v>622.79416158162633</v>
      </c>
      <c r="X116">
        <f ca="1">IF($C116-X$1&lt;År1,0,W115*(1-VLOOKUP($A116,[1]Hugst!$R$5:$W$9,MATCH(ROUNDUP((X$1)/10,0)*10,[1]Hugst!$R$4:$W$4,0))))</f>
        <v>623.23613389203024</v>
      </c>
      <c r="Y116">
        <f ca="1">IF($C116-Y$1&lt;År1,0,X115*(1-VLOOKUP($A116,[1]Hugst!$R$5:$W$9,MATCH(ROUNDUP((Y$1)/10,0)*10,[1]Hugst!$R$4:$W$4,0))))</f>
        <v>623.6822929127228</v>
      </c>
      <c r="Z116">
        <f ca="1">IF($C116-Z$1&lt;År1,0,Y115*(1-VLOOKUP($A116,[1]Hugst!$R$5:$W$9,MATCH(ROUNDUP((Z$1)/10,0)*10,[1]Hugst!$R$4:$W$4,0))))</f>
        <v>624.00021572093226</v>
      </c>
      <c r="AA116">
        <f ca="1">IF($C116-AA$1&lt;År1,0,Z115*(1-VLOOKUP($A116,[1]Hugst!$R$5:$W$9,MATCH(ROUNDUP((AA$1)/10,0)*10,[1]Hugst!$R$4:$W$4,0))))</f>
        <v>624.32218167348958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55000000000000004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13.347495586889636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819.34035760339532</v>
      </c>
      <c r="G117">
        <f ca="1">IF($C117-G$1&lt;År1,0,F116*(1-VLOOKUP($A117,[1]Hugst!$R$5:$W$9,MATCH(ROUNDUP((G$1)/10,0)*10,[1]Hugst!$R$4:$W$4,0))))</f>
        <v>819.26242897932218</v>
      </c>
      <c r="H117">
        <f ca="1">IF($C117-H$1&lt;År1,0,G116*(1-VLOOKUP($A117,[1]Hugst!$R$5:$W$9,MATCH(ROUNDUP((H$1)/10,0)*10,[1]Hugst!$R$4:$W$4,0))))</f>
        <v>819.1877632590614</v>
      </c>
      <c r="I117">
        <f ca="1">IF($C117-I$1&lt;År1,0,H116*(1-VLOOKUP($A117,[1]Hugst!$R$5:$W$9,MATCH(ROUNDUP((I$1)/10,0)*10,[1]Hugst!$R$4:$W$4,0))))</f>
        <v>819.42158874826066</v>
      </c>
      <c r="J117">
        <f ca="1">IF($C117-J$1&lt;År1,0,I116*(1-VLOOKUP($A117,[1]Hugst!$R$5:$W$9,MATCH(ROUNDUP((J$1)/10,0)*10,[1]Hugst!$R$4:$W$4,0))))</f>
        <v>819.79265230076555</v>
      </c>
      <c r="K117">
        <f ca="1">IF($C117-K$1&lt;År1,0,J116*(1-VLOOKUP($A117,[1]Hugst!$R$5:$W$9,MATCH(ROUNDUP((K$1)/10,0)*10,[1]Hugst!$R$4:$W$4,0))))</f>
        <v>820.16675824651168</v>
      </c>
      <c r="L117">
        <f ca="1">IF($C117-L$1&lt;År1,0,K116*(1-VLOOKUP($A117,[1]Hugst!$R$5:$W$9,MATCH(ROUNDUP((L$1)/10,0)*10,[1]Hugst!$R$4:$W$4,0))))</f>
        <v>820.54392367325011</v>
      </c>
      <c r="M117">
        <f ca="1">IF($C117-M$1&lt;År1,0,L116*(1-VLOOKUP($A117,[1]Hugst!$R$5:$W$9,MATCH(ROUNDUP((M$1)/10,0)*10,[1]Hugst!$R$4:$W$4,0))))</f>
        <v>820.9241657573258</v>
      </c>
      <c r="N117">
        <f ca="1">IF($C117-N$1&lt;År1,0,M116*(1-VLOOKUP($A117,[1]Hugst!$R$5:$W$9,MATCH(ROUNDUP((N$1)/10,0)*10,[1]Hugst!$R$4:$W$4,0))))</f>
        <v>821.30750176412187</v>
      </c>
      <c r="O117">
        <f ca="1">IF($C117-O$1&lt;År1,0,N116*(1-VLOOKUP($A117,[1]Hugst!$R$5:$W$9,MATCH(ROUNDUP((O$1)/10,0)*10,[1]Hugst!$R$4:$W$4,0))))</f>
        <v>821.6939490485853</v>
      </c>
      <c r="P117">
        <f ca="1">IF($C117-P$1&lt;År1,0,O116*(1-VLOOKUP($A117,[1]Hugst!$R$5:$W$9,MATCH(ROUNDUP((P$1)/10,0)*10,[1]Hugst!$R$4:$W$4,0))))</f>
        <v>820.82949933942507</v>
      </c>
      <c r="Q117">
        <f ca="1">IF($C117-Q$1&lt;År1,0,P116*(1-VLOOKUP($A117,[1]Hugst!$R$5:$W$9,MATCH(ROUNDUP((Q$1)/10,0)*10,[1]Hugst!$R$4:$W$4,0))))</f>
        <v>819.96891158682774</v>
      </c>
      <c r="R117">
        <f ca="1">IF($C117-R$1&lt;År1,0,Q116*(1-VLOOKUP($A117,[1]Hugst!$R$5:$W$9,MATCH(ROUNDUP((R$1)/10,0)*10,[1]Hugst!$R$4:$W$4,0))))</f>
        <v>620.24948881360751</v>
      </c>
      <c r="S117">
        <f ca="1">IF($C117-S$1&lt;År1,0,R116*(1-VLOOKUP($A117,[1]Hugst!$R$5:$W$9,MATCH(ROUNDUP((S$1)/10,0)*10,[1]Hugst!$R$4:$W$4,0))))</f>
        <v>619.69998385250653</v>
      </c>
      <c r="T117">
        <f ca="1">IF($C117-T$1&lt;År1,0,S116*(1-VLOOKUP($A117,[1]Hugst!$R$5:$W$9,MATCH(ROUNDUP((T$1)/10,0)*10,[1]Hugst!$R$4:$W$4,0))))</f>
        <v>620.12053742879641</v>
      </c>
      <c r="U117">
        <f ca="1">IF($C117-U$1&lt;År1,0,T116*(1-VLOOKUP($A117,[1]Hugst!$R$5:$W$9,MATCH(ROUNDUP((U$1)/10,0)*10,[1]Hugst!$R$4:$W$4,0))))</f>
        <v>620.5452191108227</v>
      </c>
      <c r="V117">
        <f ca="1">IF($C117-V$1&lt;År1,0,U116*(1-VLOOKUP($A117,[1]Hugst!$R$5:$W$9,MATCH(ROUNDUP((V$1)/10,0)*10,[1]Hugst!$R$4:$W$4,0))))</f>
        <v>620.97403925721744</v>
      </c>
      <c r="W117">
        <f ca="1">IF($C117-W$1&lt;År1,0,V116*(1-VLOOKUP($A117,[1]Hugst!$R$5:$W$9,MATCH(ROUNDUP((W$1)/10,0)*10,[1]Hugst!$R$4:$W$4,0))))</f>
        <v>621.40700826890156</v>
      </c>
      <c r="X117">
        <f ca="1">IF($C117-X$1&lt;År1,0,W116*(1-VLOOKUP($A117,[1]Hugst!$R$5:$W$9,MATCH(ROUNDUP((X$1)/10,0)*10,[1]Hugst!$R$4:$W$4,0))))</f>
        <v>621.8441365893832</v>
      </c>
      <c r="Y117">
        <f ca="1">IF($C117-Y$1&lt;År1,0,X116*(1-VLOOKUP($A117,[1]Hugst!$R$5:$W$9,MATCH(ROUNDUP((Y$1)/10,0)*10,[1]Hugst!$R$4:$W$4,0))))</f>
        <v>622.28543470473733</v>
      </c>
      <c r="Z117">
        <f ca="1">IF($C117-Z$1&lt;År1,0,Y116*(1-VLOOKUP($A117,[1]Hugst!$R$5:$W$9,MATCH(ROUNDUP((Z$1)/10,0)*10,[1]Hugst!$R$4:$W$4,0))))</f>
        <v>622.59877706486589</v>
      </c>
      <c r="AA117">
        <f ca="1">IF($C117-AA$1&lt;År1,0,Z116*(1-VLOOKUP($A117,[1]Hugst!$R$5:$W$9,MATCH(ROUNDUP((AA$1)/10,0)*10,[1]Hugst!$R$4:$W$4,0))))</f>
        <v>622.91614754955265</v>
      </c>
      <c r="AB117">
        <f ca="1">IF($C117-AB$1&lt;År1,0,AA116*(1-VLOOKUP($A117,[1]Hugst!$R$5:$W$9,MATCH(ROUNDUP((AB$1)/10,0)*10,[1]Hugst!$R$4:$W$4,0))))</f>
        <v>623.23755415448056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55000000000000004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14.711717554702773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819.42152884137533</v>
      </c>
      <c r="G118">
        <f ca="1">IF($C118-G$1&lt;År1,0,F117*(1-VLOOKUP($A118,[1]Hugst!$R$5:$W$9,MATCH(ROUNDUP((G$1)/10,0)*10,[1]Hugst!$R$4:$W$4,0))))</f>
        <v>819.34035760339532</v>
      </c>
      <c r="H118">
        <f ca="1">IF($C118-H$1&lt;År1,0,G117*(1-VLOOKUP($A118,[1]Hugst!$R$5:$W$9,MATCH(ROUNDUP((H$1)/10,0)*10,[1]Hugst!$R$4:$W$4,0))))</f>
        <v>819.26242897932218</v>
      </c>
      <c r="I118">
        <f ca="1">IF($C118-I$1&lt;År1,0,H117*(1-VLOOKUP($A118,[1]Hugst!$R$5:$W$9,MATCH(ROUNDUP((I$1)/10,0)*10,[1]Hugst!$R$4:$W$4,0))))</f>
        <v>819.1877632590614</v>
      </c>
      <c r="J118">
        <f ca="1">IF($C118-J$1&lt;År1,0,I117*(1-VLOOKUP($A118,[1]Hugst!$R$5:$W$9,MATCH(ROUNDUP((J$1)/10,0)*10,[1]Hugst!$R$4:$W$4,0))))</f>
        <v>819.42158874826066</v>
      </c>
      <c r="K118">
        <f ca="1">IF($C118-K$1&lt;År1,0,J117*(1-VLOOKUP($A118,[1]Hugst!$R$5:$W$9,MATCH(ROUNDUP((K$1)/10,0)*10,[1]Hugst!$R$4:$W$4,0))))</f>
        <v>819.79265230076555</v>
      </c>
      <c r="L118">
        <f ca="1">IF($C118-L$1&lt;År1,0,K117*(1-VLOOKUP($A118,[1]Hugst!$R$5:$W$9,MATCH(ROUNDUP((L$1)/10,0)*10,[1]Hugst!$R$4:$W$4,0))))</f>
        <v>820.16675824651168</v>
      </c>
      <c r="M118">
        <f ca="1">IF($C118-M$1&lt;År1,0,L117*(1-VLOOKUP($A118,[1]Hugst!$R$5:$W$9,MATCH(ROUNDUP((M$1)/10,0)*10,[1]Hugst!$R$4:$W$4,0))))</f>
        <v>820.54392367325011</v>
      </c>
      <c r="N118">
        <f ca="1">IF($C118-N$1&lt;År1,0,M117*(1-VLOOKUP($A118,[1]Hugst!$R$5:$W$9,MATCH(ROUNDUP((N$1)/10,0)*10,[1]Hugst!$R$4:$W$4,0))))</f>
        <v>820.9241657573258</v>
      </c>
      <c r="O118">
        <f ca="1">IF($C118-O$1&lt;År1,0,N117*(1-VLOOKUP($A118,[1]Hugst!$R$5:$W$9,MATCH(ROUNDUP((O$1)/10,0)*10,[1]Hugst!$R$4:$W$4,0))))</f>
        <v>821.30750176412187</v>
      </c>
      <c r="P118">
        <f ca="1">IF($C118-P$1&lt;År1,0,O117*(1-VLOOKUP($A118,[1]Hugst!$R$5:$W$9,MATCH(ROUNDUP((P$1)/10,0)*10,[1]Hugst!$R$4:$W$4,0))))</f>
        <v>820.44051760088405</v>
      </c>
      <c r="Q118">
        <f ca="1">IF($C118-Q$1&lt;År1,0,P117*(1-VLOOKUP($A118,[1]Hugst!$R$5:$W$9,MATCH(ROUNDUP((Q$1)/10,0)*10,[1]Hugst!$R$4:$W$4,0))))</f>
        <v>819.57738654382251</v>
      </c>
      <c r="R118">
        <f ca="1">IF($C118-R$1&lt;År1,0,Q117*(1-VLOOKUP($A118,[1]Hugst!$R$5:$W$9,MATCH(ROUNDUP((R$1)/10,0)*10,[1]Hugst!$R$4:$W$4,0))))</f>
        <v>818.71811155220371</v>
      </c>
      <c r="S118">
        <f ca="1">IF($C118-S$1&lt;År1,0,R117*(1-VLOOKUP($A118,[1]Hugst!$R$5:$W$9,MATCH(ROUNDUP((S$1)/10,0)*10,[1]Hugst!$R$4:$W$4,0))))</f>
        <v>619.30334552558679</v>
      </c>
      <c r="T118">
        <f ca="1">IF($C118-T$1&lt;År1,0,S117*(1-VLOOKUP($A118,[1]Hugst!$R$5:$W$9,MATCH(ROUNDUP((T$1)/10,0)*10,[1]Hugst!$R$4:$W$4,0))))</f>
        <v>618.7546787923925</v>
      </c>
      <c r="U118">
        <f ca="1">IF($C118-U$1&lt;År1,0,T117*(1-VLOOKUP($A118,[1]Hugst!$R$5:$W$9,MATCH(ROUNDUP((U$1)/10,0)*10,[1]Hugst!$R$4:$W$4,0))))</f>
        <v>619.17459084627785</v>
      </c>
      <c r="V118">
        <f ca="1">IF($C118-V$1&lt;År1,0,U117*(1-VLOOKUP($A118,[1]Hugst!$R$5:$W$9,MATCH(ROUNDUP((V$1)/10,0)*10,[1]Hugst!$R$4:$W$4,0))))</f>
        <v>619.5986247087892</v>
      </c>
      <c r="W118">
        <f ca="1">IF($C118-W$1&lt;År1,0,V117*(1-VLOOKUP($A118,[1]Hugst!$R$5:$W$9,MATCH(ROUNDUP((W$1)/10,0)*10,[1]Hugst!$R$4:$W$4,0))))</f>
        <v>620.02679072275726</v>
      </c>
      <c r="X118">
        <f ca="1">IF($C118-X$1&lt;År1,0,W117*(1-VLOOKUP($A118,[1]Hugst!$R$5:$W$9,MATCH(ROUNDUP((X$1)/10,0)*10,[1]Hugst!$R$4:$W$4,0))))</f>
        <v>620.45909927323714</v>
      </c>
      <c r="Y118">
        <f ca="1">IF($C118-Y$1&lt;År1,0,X117*(1-VLOOKUP($A118,[1]Hugst!$R$5:$W$9,MATCH(ROUNDUP((Y$1)/10,0)*10,[1]Hugst!$R$4:$W$4,0))))</f>
        <v>620.89556078780618</v>
      </c>
      <c r="Z118">
        <f ca="1">IF($C118-Z$1&lt;År1,0,Y117*(1-VLOOKUP($A118,[1]Hugst!$R$5:$W$9,MATCH(ROUNDUP((Z$1)/10,0)*10,[1]Hugst!$R$4:$W$4,0))))</f>
        <v>621.20434560207229</v>
      </c>
      <c r="AA118">
        <f ca="1">IF($C118-AA$1&lt;År1,0,Z117*(1-VLOOKUP($A118,[1]Hugst!$R$5:$W$9,MATCH(ROUNDUP((AA$1)/10,0)*10,[1]Hugst!$R$4:$W$4,0))))</f>
        <v>621.51714359623622</v>
      </c>
      <c r="AB118">
        <f ca="1">IF($C118-AB$1&lt;År1,0,AA117*(1-VLOOKUP($A118,[1]Hugst!$R$5:$W$9,MATCH(ROUNDUP((AB$1)/10,0)*10,[1]Hugst!$R$4:$W$4,0))))</f>
        <v>621.83396271694539</v>
      </c>
      <c r="AC118">
        <f ca="1">IF($C118-AC$1&lt;År1,0,AB117*(1-VLOOKUP($A118,[1]Hugst!$R$5:$W$9,MATCH(ROUNDUP((AC$1)/10,0)*10,[1]Hugst!$R$4:$W$4,0))))</f>
        <v>622.15481094599181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55000000000000004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16.072746698031551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819.50592250851162</v>
      </c>
      <c r="G119">
        <f ca="1">IF($C119-G$1&lt;År1,0,F118*(1-VLOOKUP($A119,[1]Hugst!$R$5:$W$9,MATCH(ROUNDUP((G$1)/10,0)*10,[1]Hugst!$R$4:$W$4,0))))</f>
        <v>819.42152884137533</v>
      </c>
      <c r="H119">
        <f ca="1">IF($C119-H$1&lt;År1,0,G118*(1-VLOOKUP($A119,[1]Hugst!$R$5:$W$9,MATCH(ROUNDUP((H$1)/10,0)*10,[1]Hugst!$R$4:$W$4,0))))</f>
        <v>819.34035760339532</v>
      </c>
      <c r="I119">
        <f ca="1">IF($C119-I$1&lt;År1,0,H118*(1-VLOOKUP($A119,[1]Hugst!$R$5:$W$9,MATCH(ROUNDUP((I$1)/10,0)*10,[1]Hugst!$R$4:$W$4,0))))</f>
        <v>819.26242897932218</v>
      </c>
      <c r="J119">
        <f ca="1">IF($C119-J$1&lt;År1,0,I118*(1-VLOOKUP($A119,[1]Hugst!$R$5:$W$9,MATCH(ROUNDUP((J$1)/10,0)*10,[1]Hugst!$R$4:$W$4,0))))</f>
        <v>819.1877632590614</v>
      </c>
      <c r="K119">
        <f ca="1">IF($C119-K$1&lt;År1,0,J118*(1-VLOOKUP($A119,[1]Hugst!$R$5:$W$9,MATCH(ROUNDUP((K$1)/10,0)*10,[1]Hugst!$R$4:$W$4,0))))</f>
        <v>819.42158874826066</v>
      </c>
      <c r="L119">
        <f ca="1">IF($C119-L$1&lt;År1,0,K118*(1-VLOOKUP($A119,[1]Hugst!$R$5:$W$9,MATCH(ROUNDUP((L$1)/10,0)*10,[1]Hugst!$R$4:$W$4,0))))</f>
        <v>819.79265230076555</v>
      </c>
      <c r="M119">
        <f ca="1">IF($C119-M$1&lt;År1,0,L118*(1-VLOOKUP($A119,[1]Hugst!$R$5:$W$9,MATCH(ROUNDUP((M$1)/10,0)*10,[1]Hugst!$R$4:$W$4,0))))</f>
        <v>820.16675824651168</v>
      </c>
      <c r="N119">
        <f ca="1">IF($C119-N$1&lt;År1,0,M118*(1-VLOOKUP($A119,[1]Hugst!$R$5:$W$9,MATCH(ROUNDUP((N$1)/10,0)*10,[1]Hugst!$R$4:$W$4,0))))</f>
        <v>820.54392367325011</v>
      </c>
      <c r="O119">
        <f ca="1">IF($C119-O$1&lt;År1,0,N118*(1-VLOOKUP($A119,[1]Hugst!$R$5:$W$9,MATCH(ROUNDUP((O$1)/10,0)*10,[1]Hugst!$R$4:$W$4,0))))</f>
        <v>820.9241657573258</v>
      </c>
      <c r="P119">
        <f ca="1">IF($C119-P$1&lt;År1,0,O118*(1-VLOOKUP($A119,[1]Hugst!$R$5:$W$9,MATCH(ROUNDUP((P$1)/10,0)*10,[1]Hugst!$R$4:$W$4,0))))</f>
        <v>820.05465981227826</v>
      </c>
      <c r="Q119">
        <f ca="1">IF($C119-Q$1&lt;År1,0,P118*(1-VLOOKUP($A119,[1]Hugst!$R$5:$W$9,MATCH(ROUNDUP((Q$1)/10,0)*10,[1]Hugst!$R$4:$W$4,0))))</f>
        <v>819.18899816725559</v>
      </c>
      <c r="R119">
        <f ca="1">IF($C119-R$1&lt;År1,0,Q118*(1-VLOOKUP($A119,[1]Hugst!$R$5:$W$9,MATCH(ROUNDUP((R$1)/10,0)*10,[1]Hugst!$R$4:$W$4,0))))</f>
        <v>818.32718375078957</v>
      </c>
      <c r="S119">
        <f ca="1">IF($C119-S$1&lt;År1,0,R118*(1-VLOOKUP($A119,[1]Hugst!$R$5:$W$9,MATCH(ROUNDUP((S$1)/10,0)*10,[1]Hugst!$R$4:$W$4,0))))</f>
        <v>817.4692195176325</v>
      </c>
      <c r="T119">
        <f ca="1">IF($C119-T$1&lt;År1,0,S118*(1-VLOOKUP($A119,[1]Hugst!$R$5:$W$9,MATCH(ROUNDUP((T$1)/10,0)*10,[1]Hugst!$R$4:$W$4,0))))</f>
        <v>618.35864550698841</v>
      </c>
      <c r="U119">
        <f ca="1">IF($C119-U$1&lt;År1,0,T118*(1-VLOOKUP($A119,[1]Hugst!$R$5:$W$9,MATCH(ROUNDUP((U$1)/10,0)*10,[1]Hugst!$R$4:$W$4,0))))</f>
        <v>617.81081572304811</v>
      </c>
      <c r="V119">
        <f ca="1">IF($C119-V$1&lt;År1,0,U118*(1-VLOOKUP($A119,[1]Hugst!$R$5:$W$9,MATCH(ROUNDUP((V$1)/10,0)*10,[1]Hugst!$R$4:$W$4,0))))</f>
        <v>618.2300872331225</v>
      </c>
      <c r="W119">
        <f ca="1">IF($C119-W$1&lt;År1,0,V118*(1-VLOOKUP($A119,[1]Hugst!$R$5:$W$9,MATCH(ROUNDUP((W$1)/10,0)*10,[1]Hugst!$R$4:$W$4,0))))</f>
        <v>618.65347426431811</v>
      </c>
      <c r="X119">
        <f ca="1">IF($C119-X$1&lt;År1,0,W118*(1-VLOOKUP($A119,[1]Hugst!$R$5:$W$9,MATCH(ROUNDUP((X$1)/10,0)*10,[1]Hugst!$R$4:$W$4,0))))</f>
        <v>619.08098714368862</v>
      </c>
      <c r="Y119">
        <f ca="1">IF($C119-Y$1&lt;År1,0,X118*(1-VLOOKUP($A119,[1]Hugst!$R$5:$W$9,MATCH(ROUNDUP((Y$1)/10,0)*10,[1]Hugst!$R$4:$W$4,0))))</f>
        <v>619.51263624044748</v>
      </c>
      <c r="Z119">
        <f ca="1">IF($C119-Z$1&lt;År1,0,Y118*(1-VLOOKUP($A119,[1]Hugst!$R$5:$W$9,MATCH(ROUNDUP((Z$1)/10,0)*10,[1]Hugst!$R$4:$W$4,0))))</f>
        <v>619.81688629660698</v>
      </c>
      <c r="AA119">
        <f ca="1">IF($C119-AA$1&lt;År1,0,Z118*(1-VLOOKUP($A119,[1]Hugst!$R$5:$W$9,MATCH(ROUNDUP((AA$1)/10,0)*10,[1]Hugst!$R$4:$W$4,0))))</f>
        <v>620.12513466267887</v>
      </c>
      <c r="AB119">
        <f ca="1">IF($C119-AB$1&lt;År1,0,AA118*(1-VLOOKUP($A119,[1]Hugst!$R$5:$W$9,MATCH(ROUNDUP((AB$1)/10,0)*10,[1]Hugst!$R$4:$W$4,0))))</f>
        <v>620.43738923659862</v>
      </c>
      <c r="AC119">
        <f ca="1">IF($C119-AC$1&lt;År1,0,AB118*(1-VLOOKUP($A119,[1]Hugst!$R$5:$W$9,MATCH(ROUNDUP((AC$1)/10,0)*10,[1]Hugst!$R$4:$W$4,0))))</f>
        <v>620.75365795120831</v>
      </c>
      <c r="AD119">
        <f ca="1">IF($C119-AD$1&lt;År1,0,AC118*(1-VLOOKUP($A119,[1]Hugst!$R$5:$W$9,MATCH(ROUNDUP((AD$1)/10,0)*10,[1]Hugst!$R$4:$W$4,0))))</f>
        <v>621.07394877443312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55000000000000004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17.430595013025595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819.59351852470365</v>
      </c>
      <c r="G120">
        <f ca="1">IF($C120-G$1&lt;År1,0,F119*(1-VLOOKUP($A120,[1]Hugst!$R$5:$W$9,MATCH(ROUNDUP((G$1)/10,0)*10,[1]Hugst!$R$4:$W$4,0))))</f>
        <v>819.50592250851162</v>
      </c>
      <c r="H120">
        <f ca="1">IF($C120-H$1&lt;År1,0,G119*(1-VLOOKUP($A120,[1]Hugst!$R$5:$W$9,MATCH(ROUNDUP((H$1)/10,0)*10,[1]Hugst!$R$4:$W$4,0))))</f>
        <v>819.42152884137533</v>
      </c>
      <c r="I120">
        <f ca="1">IF($C120-I$1&lt;År1,0,H119*(1-VLOOKUP($A120,[1]Hugst!$R$5:$W$9,MATCH(ROUNDUP((I$1)/10,0)*10,[1]Hugst!$R$4:$W$4,0))))</f>
        <v>819.34035760339532</v>
      </c>
      <c r="J120">
        <f ca="1">IF($C120-J$1&lt;År1,0,I119*(1-VLOOKUP($A120,[1]Hugst!$R$5:$W$9,MATCH(ROUNDUP((J$1)/10,0)*10,[1]Hugst!$R$4:$W$4,0))))</f>
        <v>819.26242897932218</v>
      </c>
      <c r="K120">
        <f ca="1">IF($C120-K$1&lt;År1,0,J119*(1-VLOOKUP($A120,[1]Hugst!$R$5:$W$9,MATCH(ROUNDUP((K$1)/10,0)*10,[1]Hugst!$R$4:$W$4,0))))</f>
        <v>819.1877632590614</v>
      </c>
      <c r="L120">
        <f ca="1">IF($C120-L$1&lt;År1,0,K119*(1-VLOOKUP($A120,[1]Hugst!$R$5:$W$9,MATCH(ROUNDUP((L$1)/10,0)*10,[1]Hugst!$R$4:$W$4,0))))</f>
        <v>819.42158874826066</v>
      </c>
      <c r="M120">
        <f ca="1">IF($C120-M$1&lt;År1,0,L119*(1-VLOOKUP($A120,[1]Hugst!$R$5:$W$9,MATCH(ROUNDUP((M$1)/10,0)*10,[1]Hugst!$R$4:$W$4,0))))</f>
        <v>819.79265230076555</v>
      </c>
      <c r="N120">
        <f ca="1">IF($C120-N$1&lt;År1,0,M119*(1-VLOOKUP($A120,[1]Hugst!$R$5:$W$9,MATCH(ROUNDUP((N$1)/10,0)*10,[1]Hugst!$R$4:$W$4,0))))</f>
        <v>820.16675824651168</v>
      </c>
      <c r="O120">
        <f ca="1">IF($C120-O$1&lt;År1,0,N119*(1-VLOOKUP($A120,[1]Hugst!$R$5:$W$9,MATCH(ROUNDUP((O$1)/10,0)*10,[1]Hugst!$R$4:$W$4,0))))</f>
        <v>820.54392367325011</v>
      </c>
      <c r="P120">
        <f ca="1">IF($C120-P$1&lt;År1,0,O119*(1-VLOOKUP($A120,[1]Hugst!$R$5:$W$9,MATCH(ROUNDUP((P$1)/10,0)*10,[1]Hugst!$R$4:$W$4,0))))</f>
        <v>819.67190855532306</v>
      </c>
      <c r="Q120">
        <f ca="1">IF($C120-Q$1&lt;År1,0,P119*(1-VLOOKUP($A120,[1]Hugst!$R$5:$W$9,MATCH(ROUNDUP((Q$1)/10,0)*10,[1]Hugst!$R$4:$W$4,0))))</f>
        <v>818.8037289752765</v>
      </c>
      <c r="R120">
        <f ca="1">IF($C120-R$1&lt;År1,0,Q119*(1-VLOOKUP($A120,[1]Hugst!$R$5:$W$9,MATCH(ROUNDUP((R$1)/10,0)*10,[1]Hugst!$R$4:$W$4,0))))</f>
        <v>817.93938783106819</v>
      </c>
      <c r="S120">
        <f ca="1">IF($C120-S$1&lt;År1,0,R119*(1-VLOOKUP($A120,[1]Hugst!$R$5:$W$9,MATCH(ROUNDUP((S$1)/10,0)*10,[1]Hugst!$R$4:$W$4,0))))</f>
        <v>817.07888804676293</v>
      </c>
      <c r="T120">
        <f ca="1">IF($C120-T$1&lt;År1,0,S119*(1-VLOOKUP($A120,[1]Hugst!$R$5:$W$9,MATCH(ROUNDUP((T$1)/10,0)*10,[1]Hugst!$R$4:$W$4,0))))</f>
        <v>816.22223257260555</v>
      </c>
      <c r="U120">
        <f ca="1">IF($C120-U$1&lt;År1,0,T119*(1-VLOOKUP($A120,[1]Hugst!$R$5:$W$9,MATCH(ROUNDUP((U$1)/10,0)*10,[1]Hugst!$R$4:$W$4,0))))</f>
        <v>617.41538655621503</v>
      </c>
      <c r="V120">
        <f ca="1">IF($C120-V$1&lt;År1,0,U119*(1-VLOOKUP($A120,[1]Hugst!$R$5:$W$9,MATCH(ROUNDUP((V$1)/10,0)*10,[1]Hugst!$R$4:$W$4,0))))</f>
        <v>616.86839244482644</v>
      </c>
      <c r="W120">
        <f ca="1">IF($C120-W$1&lt;År1,0,V119*(1-VLOOKUP($A120,[1]Hugst!$R$5:$W$9,MATCH(ROUNDUP((W$1)/10,0)*10,[1]Hugst!$R$4:$W$4,0))))</f>
        <v>617.28702438819062</v>
      </c>
      <c r="X120">
        <f ca="1">IF($C120-X$1&lt;År1,0,W119*(1-VLOOKUP($A120,[1]Hugst!$R$5:$W$9,MATCH(ROUNDUP((X$1)/10,0)*10,[1]Hugst!$R$4:$W$4,0))))</f>
        <v>617.7097655747624</v>
      </c>
      <c r="Y120">
        <f ca="1">IF($C120-Y$1&lt;År1,0,X119*(1-VLOOKUP($A120,[1]Hugst!$R$5:$W$9,MATCH(ROUNDUP((Y$1)/10,0)*10,[1]Hugst!$R$4:$W$4,0))))</f>
        <v>618.13662631584225</v>
      </c>
      <c r="Z120">
        <f ca="1">IF($C120-Z$1&lt;År1,0,Y119*(1-VLOOKUP($A120,[1]Hugst!$R$5:$W$9,MATCH(ROUNDUP((Z$1)/10,0)*10,[1]Hugst!$R$4:$W$4,0))))</f>
        <v>618.43636428765683</v>
      </c>
      <c r="AA120">
        <f ca="1">IF($C120-AA$1&lt;År1,0,Z119*(1-VLOOKUP($A120,[1]Hugst!$R$5:$W$9,MATCH(ROUNDUP((AA$1)/10,0)*10,[1]Hugst!$R$4:$W$4,0))))</f>
        <v>618.74008577380357</v>
      </c>
      <c r="AB120">
        <f ca="1">IF($C120-AB$1&lt;År1,0,AA119*(1-VLOOKUP($A120,[1]Hugst!$R$5:$W$9,MATCH(ROUNDUP((AB$1)/10,0)*10,[1]Hugst!$R$4:$W$4,0))))</f>
        <v>619.04779862364626</v>
      </c>
      <c r="AC120">
        <f ca="1">IF($C120-AC$1&lt;År1,0,AB119*(1-VLOOKUP($A120,[1]Hugst!$R$5:$W$9,MATCH(ROUNDUP((AC$1)/10,0)*10,[1]Hugst!$R$4:$W$4,0))))</f>
        <v>619.35951072139937</v>
      </c>
      <c r="AD120">
        <f ca="1">IF($C120-AD$1&lt;År1,0,AC119*(1-VLOOKUP($A120,[1]Hugst!$R$5:$W$9,MATCH(ROUNDUP((AD$1)/10,0)*10,[1]Hugst!$R$4:$W$4,0))))</f>
        <v>619.67522998612355</v>
      </c>
      <c r="AE120">
        <f ca="1">IF($C120-AE$1&lt;År1,0,AD119*(1-VLOOKUP($A120,[1]Hugst!$R$5:$W$9,MATCH(ROUNDUP((AE$1)/10,0)*10,[1]Hugst!$R$4:$W$4,0))))</f>
        <v>619.99496437190123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55000000000000004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18.785274439553177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819.68429691392532</v>
      </c>
      <c r="G121">
        <f ca="1">IF($C121-G$1&lt;År1,0,F120*(1-VLOOKUP($A121,[1]Hugst!$R$5:$W$9,MATCH(ROUNDUP((G$1)/10,0)*10,[1]Hugst!$R$4:$W$4,0))))</f>
        <v>819.59351852470365</v>
      </c>
      <c r="H121">
        <f ca="1">IF($C121-H$1&lt;År1,0,G120*(1-VLOOKUP($A121,[1]Hugst!$R$5:$W$9,MATCH(ROUNDUP((H$1)/10,0)*10,[1]Hugst!$R$4:$W$4,0))))</f>
        <v>819.50592250851162</v>
      </c>
      <c r="I121">
        <f ca="1">IF($C121-I$1&lt;År1,0,H120*(1-VLOOKUP($A121,[1]Hugst!$R$5:$W$9,MATCH(ROUNDUP((I$1)/10,0)*10,[1]Hugst!$R$4:$W$4,0))))</f>
        <v>819.42152884137533</v>
      </c>
      <c r="J121">
        <f ca="1">IF($C121-J$1&lt;År1,0,I120*(1-VLOOKUP($A121,[1]Hugst!$R$5:$W$9,MATCH(ROUNDUP((J$1)/10,0)*10,[1]Hugst!$R$4:$W$4,0))))</f>
        <v>819.34035760339532</v>
      </c>
      <c r="K121">
        <f ca="1">IF($C121-K$1&lt;År1,0,J120*(1-VLOOKUP($A121,[1]Hugst!$R$5:$W$9,MATCH(ROUNDUP((K$1)/10,0)*10,[1]Hugst!$R$4:$W$4,0))))</f>
        <v>819.26242897932218</v>
      </c>
      <c r="L121">
        <f ca="1">IF($C121-L$1&lt;År1,0,K120*(1-VLOOKUP($A121,[1]Hugst!$R$5:$W$9,MATCH(ROUNDUP((L$1)/10,0)*10,[1]Hugst!$R$4:$W$4,0))))</f>
        <v>819.1877632590614</v>
      </c>
      <c r="M121">
        <f ca="1">IF($C121-M$1&lt;År1,0,L120*(1-VLOOKUP($A121,[1]Hugst!$R$5:$W$9,MATCH(ROUNDUP((M$1)/10,0)*10,[1]Hugst!$R$4:$W$4,0))))</f>
        <v>819.42158874826066</v>
      </c>
      <c r="N121">
        <f ca="1">IF($C121-N$1&lt;År1,0,M120*(1-VLOOKUP($A121,[1]Hugst!$R$5:$W$9,MATCH(ROUNDUP((N$1)/10,0)*10,[1]Hugst!$R$4:$W$4,0))))</f>
        <v>819.79265230076555</v>
      </c>
      <c r="O121">
        <f ca="1">IF($C121-O$1&lt;År1,0,N120*(1-VLOOKUP($A121,[1]Hugst!$R$5:$W$9,MATCH(ROUNDUP((O$1)/10,0)*10,[1]Hugst!$R$4:$W$4,0))))</f>
        <v>820.16675824651168</v>
      </c>
      <c r="P121">
        <f ca="1">IF($C121-P$1&lt;År1,0,O120*(1-VLOOKUP($A121,[1]Hugst!$R$5:$W$9,MATCH(ROUNDUP((P$1)/10,0)*10,[1]Hugst!$R$4:$W$4,0))))</f>
        <v>819.29224650154515</v>
      </c>
      <c r="Q121">
        <f ca="1">IF($C121-Q$1&lt;År1,0,P120*(1-VLOOKUP($A121,[1]Hugst!$R$5:$W$9,MATCH(ROUNDUP((Q$1)/10,0)*10,[1]Hugst!$R$4:$W$4,0))))</f>
        <v>818.4215615761708</v>
      </c>
      <c r="R121">
        <f ca="1">IF($C121-R$1&lt;År1,0,Q120*(1-VLOOKUP($A121,[1]Hugst!$R$5:$W$9,MATCH(ROUNDUP((R$1)/10,0)*10,[1]Hugst!$R$4:$W$4,0))))</f>
        <v>817.5547063378566</v>
      </c>
      <c r="S121">
        <f ca="1">IF($C121-S$1&lt;År1,0,R120*(1-VLOOKUP($A121,[1]Hugst!$R$5:$W$9,MATCH(ROUNDUP((S$1)/10,0)*10,[1]Hugst!$R$4:$W$4,0))))</f>
        <v>816.69168368013936</v>
      </c>
      <c r="T121">
        <f ca="1">IF($C121-T$1&lt;År1,0,S120*(1-VLOOKUP($A121,[1]Hugst!$R$5:$W$9,MATCH(ROUNDUP((T$1)/10,0)*10,[1]Hugst!$R$4:$W$4,0))))</f>
        <v>815.83249652262373</v>
      </c>
      <c r="U121">
        <f ca="1">IF($C121-U$1&lt;År1,0,T120*(1-VLOOKUP($A121,[1]Hugst!$R$5:$W$9,MATCH(ROUNDUP((U$1)/10,0)*10,[1]Hugst!$R$4:$W$4,0))))</f>
        <v>814.97714781105412</v>
      </c>
      <c r="V121">
        <f ca="1">IF($C121-V$1&lt;År1,0,U120*(1-VLOOKUP($A121,[1]Hugst!$R$5:$W$9,MATCH(ROUNDUP((V$1)/10,0)*10,[1]Hugst!$R$4:$W$4,0))))</f>
        <v>616.47356647502761</v>
      </c>
      <c r="W121">
        <f ca="1">IF($C121-W$1&lt;År1,0,V120*(1-VLOOKUP($A121,[1]Hugst!$R$5:$W$9,MATCH(ROUNDUP((W$1)/10,0)*10,[1]Hugst!$R$4:$W$4,0))))</f>
        <v>615.92740676143603</v>
      </c>
      <c r="X121">
        <f ca="1">IF($C121-X$1&lt;År1,0,W120*(1-VLOOKUP($A121,[1]Hugst!$R$5:$W$9,MATCH(ROUNDUP((X$1)/10,0)*10,[1]Hugst!$R$4:$W$4,0))))</f>
        <v>616.34540011370018</v>
      </c>
      <c r="Y121">
        <f ca="1">IF($C121-Y$1&lt;År1,0,X120*(1-VLOOKUP($A121,[1]Hugst!$R$5:$W$9,MATCH(ROUNDUP((Y$1)/10,0)*10,[1]Hugst!$R$4:$W$4,0))))</f>
        <v>616.76749644083475</v>
      </c>
      <c r="Z121">
        <f ca="1">IF($C121-Z$1&lt;År1,0,Y120*(1-VLOOKUP($A121,[1]Hugst!$R$5:$W$9,MATCH(ROUNDUP((Z$1)/10,0)*10,[1]Hugst!$R$4:$W$4,0))))</f>
        <v>617.06274488876807</v>
      </c>
      <c r="AA121">
        <f ca="1">IF($C121-AA$1&lt;År1,0,Z120*(1-VLOOKUP($A121,[1]Hugst!$R$5:$W$9,MATCH(ROUNDUP((AA$1)/10,0)*10,[1]Hugst!$R$4:$W$4,0))))</f>
        <v>617.36196212936045</v>
      </c>
      <c r="AB121">
        <f ca="1">IF($C121-AB$1&lt;År1,0,AA120*(1-VLOOKUP($A121,[1]Hugst!$R$5:$W$9,MATCH(ROUNDUP((AB$1)/10,0)*10,[1]Hugst!$R$4:$W$4,0))))</f>
        <v>617.6651559637728</v>
      </c>
      <c r="AC121">
        <f ca="1">IF($C121-AC$1&lt;År1,0,AB120*(1-VLOOKUP($A121,[1]Hugst!$R$5:$W$9,MATCH(ROUNDUP((AC$1)/10,0)*10,[1]Hugst!$R$4:$W$4,0))))</f>
        <v>617.97233422773229</v>
      </c>
      <c r="AD121">
        <f ca="1">IF($C121-AD$1&lt;År1,0,AC120*(1-VLOOKUP($A121,[1]Hugst!$R$5:$W$9,MATCH(ROUNDUP((AD$1)/10,0)*10,[1]Hugst!$R$4:$W$4,0))))</f>
        <v>618.28350479175629</v>
      </c>
      <c r="AE121">
        <f ca="1">IF($C121-AE$1&lt;År1,0,AD120*(1-VLOOKUP($A121,[1]Hugst!$R$5:$W$9,MATCH(ROUNDUP((AE$1)/10,0)*10,[1]Hugst!$R$4:$W$4,0))))</f>
        <v>618.59867556114762</v>
      </c>
      <c r="AF121">
        <f ca="1">IF($C121-AF$1&lt;År1,0,AE120*(1-VLOOKUP($A121,[1]Hugst!$R$5:$W$9,MATCH(ROUNDUP((AF$1)/10,0)*10,[1]Hugst!$R$4:$W$4,0))))</f>
        <v>618.91785447617031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55000000000000004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20.136796861555922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819.77823780378742</v>
      </c>
      <c r="G122">
        <f ca="1">IF($C122-G$1&lt;År1,0,F121*(1-VLOOKUP($A122,[1]Hugst!$R$5:$W$9,MATCH(ROUNDUP((G$1)/10,0)*10,[1]Hugst!$R$4:$W$4,0))))</f>
        <v>819.68429691392532</v>
      </c>
      <c r="H122">
        <f ca="1">IF($C122-H$1&lt;År1,0,G121*(1-VLOOKUP($A122,[1]Hugst!$R$5:$W$9,MATCH(ROUNDUP((H$1)/10,0)*10,[1]Hugst!$R$4:$W$4,0))))</f>
        <v>819.59351852470365</v>
      </c>
      <c r="I122">
        <f ca="1">IF($C122-I$1&lt;År1,0,H121*(1-VLOOKUP($A122,[1]Hugst!$R$5:$W$9,MATCH(ROUNDUP((I$1)/10,0)*10,[1]Hugst!$R$4:$W$4,0))))</f>
        <v>819.50592250851162</v>
      </c>
      <c r="J122">
        <f ca="1">IF($C122-J$1&lt;År1,0,I121*(1-VLOOKUP($A122,[1]Hugst!$R$5:$W$9,MATCH(ROUNDUP((J$1)/10,0)*10,[1]Hugst!$R$4:$W$4,0))))</f>
        <v>819.42152884137533</v>
      </c>
      <c r="K122">
        <f ca="1">IF($C122-K$1&lt;År1,0,J121*(1-VLOOKUP($A122,[1]Hugst!$R$5:$W$9,MATCH(ROUNDUP((K$1)/10,0)*10,[1]Hugst!$R$4:$W$4,0))))</f>
        <v>819.34035760339532</v>
      </c>
      <c r="L122">
        <f ca="1">IF($C122-L$1&lt;År1,0,K121*(1-VLOOKUP($A122,[1]Hugst!$R$5:$W$9,MATCH(ROUNDUP((L$1)/10,0)*10,[1]Hugst!$R$4:$W$4,0))))</f>
        <v>819.26242897932218</v>
      </c>
      <c r="M122">
        <f ca="1">IF($C122-M$1&lt;År1,0,L121*(1-VLOOKUP($A122,[1]Hugst!$R$5:$W$9,MATCH(ROUNDUP((M$1)/10,0)*10,[1]Hugst!$R$4:$W$4,0))))</f>
        <v>819.1877632590614</v>
      </c>
      <c r="N122">
        <f ca="1">IF($C122-N$1&lt;År1,0,M121*(1-VLOOKUP($A122,[1]Hugst!$R$5:$W$9,MATCH(ROUNDUP((N$1)/10,0)*10,[1]Hugst!$R$4:$W$4,0))))</f>
        <v>819.42158874826066</v>
      </c>
      <c r="O122">
        <f ca="1">IF($C122-O$1&lt;År1,0,N121*(1-VLOOKUP($A122,[1]Hugst!$R$5:$W$9,MATCH(ROUNDUP((O$1)/10,0)*10,[1]Hugst!$R$4:$W$4,0))))</f>
        <v>819.79265230076555</v>
      </c>
      <c r="P122">
        <f ca="1">IF($C122-P$1&lt;År1,0,O121*(1-VLOOKUP($A122,[1]Hugst!$R$5:$W$9,MATCH(ROUNDUP((P$1)/10,0)*10,[1]Hugst!$R$4:$W$4,0))))</f>
        <v>818.91565641189834</v>
      </c>
      <c r="Q122">
        <f ca="1">IF($C122-Q$1&lt;År1,0,P121*(1-VLOOKUP($A122,[1]Hugst!$R$5:$W$9,MATCH(ROUNDUP((Q$1)/10,0)*10,[1]Hugst!$R$4:$W$4,0))))</f>
        <v>818.04247866789865</v>
      </c>
      <c r="R122">
        <f ca="1">IF($C122-R$1&lt;År1,0,Q121*(1-VLOOKUP($A122,[1]Hugst!$R$5:$W$9,MATCH(ROUNDUP((R$1)/10,0)*10,[1]Hugst!$R$4:$W$4,0))))</f>
        <v>817.17312190596988</v>
      </c>
      <c r="S122">
        <f ca="1">IF($C122-S$1&lt;År1,0,R121*(1-VLOOKUP($A122,[1]Hugst!$R$5:$W$9,MATCH(ROUNDUP((S$1)/10,0)*10,[1]Hugst!$R$4:$W$4,0))))</f>
        <v>816.30758898920556</v>
      </c>
      <c r="T122">
        <f ca="1">IF($C122-T$1&lt;År1,0,S121*(1-VLOOKUP($A122,[1]Hugst!$R$5:$W$9,MATCH(ROUNDUP((T$1)/10,0)*10,[1]Hugst!$R$4:$W$4,0))))</f>
        <v>815.44588280672895</v>
      </c>
      <c r="U122">
        <f ca="1">IF($C122-U$1&lt;År1,0,T121*(1-VLOOKUP($A122,[1]Hugst!$R$5:$W$9,MATCH(ROUNDUP((U$1)/10,0)*10,[1]Hugst!$R$4:$W$4,0))))</f>
        <v>814.58800627369089</v>
      </c>
      <c r="V122">
        <f ca="1">IF($C122-V$1&lt;År1,0,U121*(1-VLOOKUP($A122,[1]Hugst!$R$5:$W$9,MATCH(ROUNDUP((V$1)/10,0)*10,[1]Hugst!$R$4:$W$4,0))))</f>
        <v>813.73396233134235</v>
      </c>
      <c r="W122">
        <f ca="1">IF($C122-W$1&lt;År1,0,V121*(1-VLOOKUP($A122,[1]Hugst!$R$5:$W$9,MATCH(ROUNDUP((W$1)/10,0)*10,[1]Hugst!$R$4:$W$4,0))))</f>
        <v>615.53318306854021</v>
      </c>
      <c r="X122">
        <f ca="1">IF($C122-X$1&lt;År1,0,W121*(1-VLOOKUP($A122,[1]Hugst!$R$5:$W$9,MATCH(ROUNDUP((X$1)/10,0)*10,[1]Hugst!$R$4:$W$4,0))))</f>
        <v>614.98785647993554</v>
      </c>
      <c r="Y122">
        <f ca="1">IF($C122-Y$1&lt;År1,0,X121*(1-VLOOKUP($A122,[1]Hugst!$R$5:$W$9,MATCH(ROUNDUP((Y$1)/10,0)*10,[1]Hugst!$R$4:$W$4,0))))</f>
        <v>615.40521221522158</v>
      </c>
      <c r="Z122">
        <f ca="1">IF($C122-Z$1&lt;År1,0,Y121*(1-VLOOKUP($A122,[1]Hugst!$R$5:$W$9,MATCH(ROUNDUP((Z$1)/10,0)*10,[1]Hugst!$R$4:$W$4,0))))</f>
        <v>615.69599358684854</v>
      </c>
      <c r="AA122">
        <f ca="1">IF($C122-AA$1&lt;År1,0,Z121*(1-VLOOKUP($A122,[1]Hugst!$R$5:$W$9,MATCH(ROUNDUP((AA$1)/10,0)*10,[1]Hugst!$R$4:$W$4,0))))</f>
        <v>615.99072910315624</v>
      </c>
      <c r="AB122">
        <f ca="1">IF($C122-AB$1&lt;År1,0,AA121*(1-VLOOKUP($A122,[1]Hugst!$R$5:$W$9,MATCH(ROUNDUP((AB$1)/10,0)*10,[1]Hugst!$R$4:$W$4,0))))</f>
        <v>616.28942651718648</v>
      </c>
      <c r="AC122">
        <f ca="1">IF($C122-AC$1&lt;År1,0,AB121*(1-VLOOKUP($A122,[1]Hugst!$R$5:$W$9,MATCH(ROUNDUP((AC$1)/10,0)*10,[1]Hugst!$R$4:$W$4,0))))</f>
        <v>616.59209361654757</v>
      </c>
      <c r="AD122">
        <f ca="1">IF($C122-AD$1&lt;År1,0,AC121*(1-VLOOKUP($A122,[1]Hugst!$R$5:$W$9,MATCH(ROUNDUP((AD$1)/10,0)*10,[1]Hugst!$R$4:$W$4,0))))</f>
        <v>616.89873822335358</v>
      </c>
      <c r="AE122">
        <f ca="1">IF($C122-AE$1&lt;År1,0,AD121*(1-VLOOKUP($A122,[1]Hugst!$R$5:$W$9,MATCH(ROUNDUP((AE$1)/10,0)*10,[1]Hugst!$R$4:$W$4,0))))</f>
        <v>617.20936819444853</v>
      </c>
      <c r="AF122">
        <f ca="1">IF($C122-AF$1&lt;År1,0,AE121*(1-VLOOKUP($A122,[1]Hugst!$R$5:$W$9,MATCH(ROUNDUP((AF$1)/10,0)*10,[1]Hugst!$R$4:$W$4,0))))</f>
        <v>617.52399142140155</v>
      </c>
      <c r="AG122">
        <f ca="1">IF($C122-AG$1&lt;År1,0,AF121*(1-VLOOKUP($A122,[1]Hugst!$R$5:$W$9,MATCH(ROUNDUP((AG$1)/10,0)*10,[1]Hugst!$R$4:$W$4,0))))</f>
        <v>617.84261583068201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55000000000000004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21.485174107179773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819.87532142495286</v>
      </c>
      <c r="G123">
        <f ca="1">IF($C123-G$1&lt;År1,0,F122*(1-VLOOKUP($A123,[1]Hugst!$R$5:$W$9,MATCH(ROUNDUP((G$1)/10,0)*10,[1]Hugst!$R$4:$W$4,0))))</f>
        <v>819.77823780378742</v>
      </c>
      <c r="H123">
        <f ca="1">IF($C123-H$1&lt;År1,0,G122*(1-VLOOKUP($A123,[1]Hugst!$R$5:$W$9,MATCH(ROUNDUP((H$1)/10,0)*10,[1]Hugst!$R$4:$W$4,0))))</f>
        <v>819.68429691392532</v>
      </c>
      <c r="I123">
        <f ca="1">IF($C123-I$1&lt;År1,0,H122*(1-VLOOKUP($A123,[1]Hugst!$R$5:$W$9,MATCH(ROUNDUP((I$1)/10,0)*10,[1]Hugst!$R$4:$W$4,0))))</f>
        <v>819.59351852470365</v>
      </c>
      <c r="J123">
        <f ca="1">IF($C123-J$1&lt;År1,0,I122*(1-VLOOKUP($A123,[1]Hugst!$R$5:$W$9,MATCH(ROUNDUP((J$1)/10,0)*10,[1]Hugst!$R$4:$W$4,0))))</f>
        <v>819.50592250851162</v>
      </c>
      <c r="K123">
        <f ca="1">IF($C123-K$1&lt;År1,0,J122*(1-VLOOKUP($A123,[1]Hugst!$R$5:$W$9,MATCH(ROUNDUP((K$1)/10,0)*10,[1]Hugst!$R$4:$W$4,0))))</f>
        <v>819.42152884137533</v>
      </c>
      <c r="L123">
        <f ca="1">IF($C123-L$1&lt;År1,0,K122*(1-VLOOKUP($A123,[1]Hugst!$R$5:$W$9,MATCH(ROUNDUP((L$1)/10,0)*10,[1]Hugst!$R$4:$W$4,0))))</f>
        <v>819.34035760339532</v>
      </c>
      <c r="M123">
        <f ca="1">IF($C123-M$1&lt;År1,0,L122*(1-VLOOKUP($A123,[1]Hugst!$R$5:$W$9,MATCH(ROUNDUP((M$1)/10,0)*10,[1]Hugst!$R$4:$W$4,0))))</f>
        <v>819.26242897932218</v>
      </c>
      <c r="N123">
        <f ca="1">IF($C123-N$1&lt;År1,0,M122*(1-VLOOKUP($A123,[1]Hugst!$R$5:$W$9,MATCH(ROUNDUP((N$1)/10,0)*10,[1]Hugst!$R$4:$W$4,0))))</f>
        <v>819.1877632590614</v>
      </c>
      <c r="O123">
        <f ca="1">IF($C123-O$1&lt;År1,0,N122*(1-VLOOKUP($A123,[1]Hugst!$R$5:$W$9,MATCH(ROUNDUP((O$1)/10,0)*10,[1]Hugst!$R$4:$W$4,0))))</f>
        <v>819.42158874826066</v>
      </c>
      <c r="P123">
        <f ca="1">IF($C123-P$1&lt;År1,0,O122*(1-VLOOKUP($A123,[1]Hugst!$R$5:$W$9,MATCH(ROUNDUP((P$1)/10,0)*10,[1]Hugst!$R$4:$W$4,0))))</f>
        <v>818.54212113623896</v>
      </c>
      <c r="Q123">
        <f ca="1">IF($C123-Q$1&lt;År1,0,P122*(1-VLOOKUP($A123,[1]Hugst!$R$5:$W$9,MATCH(ROUNDUP((Q$1)/10,0)*10,[1]Hugst!$R$4:$W$4,0))))</f>
        <v>817.66646303771063</v>
      </c>
      <c r="R123">
        <f ca="1">IF($C123-R$1&lt;År1,0,Q122*(1-VLOOKUP($A123,[1]Hugst!$R$5:$W$9,MATCH(ROUNDUP((R$1)/10,0)*10,[1]Hugst!$R$4:$W$4,0))))</f>
        <v>816.79461725976114</v>
      </c>
      <c r="S123">
        <f ca="1">IF($C123-S$1&lt;År1,0,R122*(1-VLOOKUP($A123,[1]Hugst!$R$5:$W$9,MATCH(ROUNDUP((S$1)/10,0)*10,[1]Hugst!$R$4:$W$4,0))))</f>
        <v>815.92658663526583</v>
      </c>
      <c r="T123">
        <f ca="1">IF($C123-T$1&lt;År1,0,S122*(1-VLOOKUP($A123,[1]Hugst!$R$5:$W$9,MATCH(ROUNDUP((T$1)/10,0)*10,[1]Hugst!$R$4:$W$4,0))))</f>
        <v>815.06237402295085</v>
      </c>
      <c r="U123">
        <f ca="1">IF($C123-U$1&lt;År1,0,T122*(1-VLOOKUP($A123,[1]Hugst!$R$5:$W$9,MATCH(ROUNDUP((U$1)/10,0)*10,[1]Hugst!$R$4:$W$4,0))))</f>
        <v>814.20198230753226</v>
      </c>
      <c r="V123">
        <f ca="1">IF($C123-V$1&lt;År1,0,U122*(1-VLOOKUP($A123,[1]Hugst!$R$5:$W$9,MATCH(ROUNDUP((V$1)/10,0)*10,[1]Hugst!$R$4:$W$4,0))))</f>
        <v>813.34541439971406</v>
      </c>
      <c r="W123">
        <f ca="1">IF($C123-W$1&lt;År1,0,V122*(1-VLOOKUP($A123,[1]Hugst!$R$5:$W$9,MATCH(ROUNDUP((W$1)/10,0)*10,[1]Hugst!$R$4:$W$4,0))))</f>
        <v>812.49267323626066</v>
      </c>
      <c r="X123">
        <f ca="1">IF($C123-X$1&lt;År1,0,W122*(1-VLOOKUP($A123,[1]Hugst!$R$5:$W$9,MATCH(ROUNDUP((X$1)/10,0)*10,[1]Hugst!$R$4:$W$4,0))))</f>
        <v>614.5942341452153</v>
      </c>
      <c r="Y123">
        <f ca="1">IF($C123-Y$1&lt;År1,0,X122*(1-VLOOKUP($A123,[1]Hugst!$R$5:$W$9,MATCH(ROUNDUP((Y$1)/10,0)*10,[1]Hugst!$R$4:$W$4,0))))</f>
        <v>614.04973941072888</v>
      </c>
      <c r="Z123">
        <f ca="1">IF($C123-Z$1&lt;År1,0,Y122*(1-VLOOKUP($A123,[1]Hugst!$R$5:$W$9,MATCH(ROUNDUP((Z$1)/10,0)*10,[1]Hugst!$R$4:$W$4,0))))</f>
        <v>614.33607604145777</v>
      </c>
      <c r="AA123">
        <f ca="1">IF($C123-AA$1&lt;År1,0,Z122*(1-VLOOKUP($A123,[1]Hugst!$R$5:$W$9,MATCH(ROUNDUP((AA$1)/10,0)*10,[1]Hugst!$R$4:$W$4,0))))</f>
        <v>614.62635224205781</v>
      </c>
      <c r="AB123">
        <f ca="1">IF($C123-AB$1&lt;År1,0,AA122*(1-VLOOKUP($A123,[1]Hugst!$R$5:$W$9,MATCH(ROUNDUP((AB$1)/10,0)*10,[1]Hugst!$R$4:$W$4,0))))</f>
        <v>614.92057571784983</v>
      </c>
      <c r="AC123">
        <f ca="1">IF($C123-AC$1&lt;År1,0,AB122*(1-VLOOKUP($A123,[1]Hugst!$R$5:$W$9,MATCH(ROUNDUP((AC$1)/10,0)*10,[1]Hugst!$R$4:$W$4,0))))</f>
        <v>615.21875420840661</v>
      </c>
      <c r="AD123">
        <f ca="1">IF($C123-AD$1&lt;År1,0,AC122*(1-VLOOKUP($A123,[1]Hugst!$R$5:$W$9,MATCH(ROUNDUP((AD$1)/10,0)*10,[1]Hugst!$R$4:$W$4,0))))</f>
        <v>615.52089548780691</v>
      </c>
      <c r="AE123">
        <f ca="1">IF($C123-AE$1&lt;År1,0,AD122*(1-VLOOKUP($A123,[1]Hugst!$R$5:$W$9,MATCH(ROUNDUP((AE$1)/10,0)*10,[1]Hugst!$R$4:$W$4,0))))</f>
        <v>615.82700736457571</v>
      </c>
      <c r="AF123">
        <f ca="1">IF($C123-AF$1&lt;År1,0,AE122*(1-VLOOKUP($A123,[1]Hugst!$R$5:$W$9,MATCH(ROUNDUP((AF$1)/10,0)*10,[1]Hugst!$R$4:$W$4,0))))</f>
        <v>616.13709768190733</v>
      </c>
      <c r="AG123">
        <f ca="1">IF($C123-AG$1&lt;År1,0,AF122*(1-VLOOKUP($A123,[1]Hugst!$R$5:$W$9,MATCH(ROUNDUP((AG$1)/10,0)*10,[1]Hugst!$R$4:$W$4,0))))</f>
        <v>616.45117431766096</v>
      </c>
      <c r="AH123">
        <f ca="1">IF($C123-AH$1&lt;År1,0,AG122*(1-VLOOKUP($A123,[1]Hugst!$R$5:$W$9,MATCH(ROUNDUP((AH$1)/10,0)*10,[1]Hugst!$R$4:$W$4,0))))</f>
        <v>616.76924518453541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55000000000000004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22.830417949215189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819.97552811065555</v>
      </c>
      <c r="G124">
        <f ca="1">IF($C124-G$1&lt;År1,0,F123*(1-VLOOKUP($A124,[1]Hugst!$R$5:$W$9,MATCH(ROUNDUP((G$1)/10,0)*10,[1]Hugst!$R$4:$W$4,0))))</f>
        <v>819.87532142495286</v>
      </c>
      <c r="H124">
        <f ca="1">IF($C124-H$1&lt;År1,0,G123*(1-VLOOKUP($A124,[1]Hugst!$R$5:$W$9,MATCH(ROUNDUP((H$1)/10,0)*10,[1]Hugst!$R$4:$W$4,0))))</f>
        <v>819.77823780378742</v>
      </c>
      <c r="I124">
        <f ca="1">IF($C124-I$1&lt;År1,0,H123*(1-VLOOKUP($A124,[1]Hugst!$R$5:$W$9,MATCH(ROUNDUP((I$1)/10,0)*10,[1]Hugst!$R$4:$W$4,0))))</f>
        <v>819.68429691392532</v>
      </c>
      <c r="J124">
        <f ca="1">IF($C124-J$1&lt;År1,0,I123*(1-VLOOKUP($A124,[1]Hugst!$R$5:$W$9,MATCH(ROUNDUP((J$1)/10,0)*10,[1]Hugst!$R$4:$W$4,0))))</f>
        <v>819.59351852470365</v>
      </c>
      <c r="K124">
        <f ca="1">IF($C124-K$1&lt;År1,0,J123*(1-VLOOKUP($A124,[1]Hugst!$R$5:$W$9,MATCH(ROUNDUP((K$1)/10,0)*10,[1]Hugst!$R$4:$W$4,0))))</f>
        <v>819.50592250851162</v>
      </c>
      <c r="L124">
        <f ca="1">IF($C124-L$1&lt;År1,0,K123*(1-VLOOKUP($A124,[1]Hugst!$R$5:$W$9,MATCH(ROUNDUP((L$1)/10,0)*10,[1]Hugst!$R$4:$W$4,0))))</f>
        <v>819.42152884137533</v>
      </c>
      <c r="M124">
        <f ca="1">IF($C124-M$1&lt;År1,0,L123*(1-VLOOKUP($A124,[1]Hugst!$R$5:$W$9,MATCH(ROUNDUP((M$1)/10,0)*10,[1]Hugst!$R$4:$W$4,0))))</f>
        <v>819.34035760339532</v>
      </c>
      <c r="N124">
        <f ca="1">IF($C124-N$1&lt;År1,0,M123*(1-VLOOKUP($A124,[1]Hugst!$R$5:$W$9,MATCH(ROUNDUP((N$1)/10,0)*10,[1]Hugst!$R$4:$W$4,0))))</f>
        <v>819.26242897932218</v>
      </c>
      <c r="O124">
        <f ca="1">IF($C124-O$1&lt;År1,0,N123*(1-VLOOKUP($A124,[1]Hugst!$R$5:$W$9,MATCH(ROUNDUP((O$1)/10,0)*10,[1]Hugst!$R$4:$W$4,0))))</f>
        <v>819.1877632590614</v>
      </c>
      <c r="P124">
        <f ca="1">IF($C124-P$1&lt;År1,0,O123*(1-VLOOKUP($A124,[1]Hugst!$R$5:$W$9,MATCH(ROUNDUP((P$1)/10,0)*10,[1]Hugst!$R$4:$W$4,0))))</f>
        <v>818.17162361288194</v>
      </c>
      <c r="Q124">
        <f ca="1">IF($C124-Q$1&lt;År1,0,P123*(1-VLOOKUP($A124,[1]Hugst!$R$5:$W$9,MATCH(ROUNDUP((Q$1)/10,0)*10,[1]Hugst!$R$4:$W$4,0))))</f>
        <v>817.29349756162435</v>
      </c>
      <c r="R124">
        <f ca="1">IF($C124-R$1&lt;År1,0,Q123*(1-VLOOKUP($A124,[1]Hugst!$R$5:$W$9,MATCH(ROUNDUP((R$1)/10,0)*10,[1]Hugst!$R$4:$W$4,0))))</f>
        <v>816.41917521273785</v>
      </c>
      <c r="S124">
        <f ca="1">IF($C124-S$1&lt;År1,0,R123*(1-VLOOKUP($A124,[1]Hugst!$R$5:$W$9,MATCH(ROUNDUP((S$1)/10,0)*10,[1]Hugst!$R$4:$W$4,0))))</f>
        <v>815.54865936902593</v>
      </c>
      <c r="T124">
        <f ca="1">IF($C124-T$1&lt;År1,0,S123*(1-VLOOKUP($A124,[1]Hugst!$R$5:$W$9,MATCH(ROUNDUP((T$1)/10,0)*10,[1]Hugst!$R$4:$W$4,0))))</f>
        <v>814.68195285904255</v>
      </c>
      <c r="U124">
        <f ca="1">IF($C124-U$1&lt;År1,0,T123*(1-VLOOKUP($A124,[1]Hugst!$R$5:$W$9,MATCH(ROUNDUP((U$1)/10,0)*10,[1]Hugst!$R$4:$W$4,0))))</f>
        <v>813.81905853715307</v>
      </c>
      <c r="V124">
        <f ca="1">IF($C124-V$1&lt;År1,0,U123*(1-VLOOKUP($A124,[1]Hugst!$R$5:$W$9,MATCH(ROUNDUP((V$1)/10,0)*10,[1]Hugst!$R$4:$W$4,0))))</f>
        <v>812.95997928367331</v>
      </c>
      <c r="W124">
        <f ca="1">IF($C124-W$1&lt;År1,0,V123*(1-VLOOKUP($A124,[1]Hugst!$R$5:$W$9,MATCH(ROUNDUP((W$1)/10,0)*10,[1]Hugst!$R$4:$W$4,0))))</f>
        <v>812.10471800486698</v>
      </c>
      <c r="X124">
        <f ca="1">IF($C124-X$1&lt;År1,0,W123*(1-VLOOKUP($A124,[1]Hugst!$R$5:$W$9,MATCH(ROUNDUP((X$1)/10,0)*10,[1]Hugst!$R$4:$W$4,0))))</f>
        <v>811.25327763301891</v>
      </c>
      <c r="Y124">
        <f ca="1">IF($C124-Y$1&lt;År1,0,X123*(1-VLOOKUP($A124,[1]Hugst!$R$5:$W$9,MATCH(ROUNDUP((Y$1)/10,0)*10,[1]Hugst!$R$4:$W$4,0))))</f>
        <v>613.65671751685818</v>
      </c>
      <c r="Z124">
        <f ca="1">IF($C124-Z$1&lt;År1,0,Y123*(1-VLOOKUP($A124,[1]Hugst!$R$5:$W$9,MATCH(ROUNDUP((Z$1)/10,0)*10,[1]Hugst!$R$4:$W$4,0))))</f>
        <v>612.98295808378646</v>
      </c>
      <c r="AA124">
        <f ca="1">IF($C124-AA$1&lt;År1,0,Z123*(1-VLOOKUP($A124,[1]Hugst!$R$5:$W$9,MATCH(ROUNDUP((AA$1)/10,0)*10,[1]Hugst!$R$4:$W$4,0))))</f>
        <v>613.26879726528398</v>
      </c>
      <c r="AB124">
        <f ca="1">IF($C124-AB$1&lt;År1,0,AA123*(1-VLOOKUP($A124,[1]Hugst!$R$5:$W$9,MATCH(ROUNDUP((AB$1)/10,0)*10,[1]Hugst!$R$4:$W$4,0))))</f>
        <v>613.55856917248468</v>
      </c>
      <c r="AC124">
        <f ca="1">IF($C124-AC$1&lt;År1,0,AB123*(1-VLOOKUP($A124,[1]Hugst!$R$5:$W$9,MATCH(ROUNDUP((AC$1)/10,0)*10,[1]Hugst!$R$4:$W$4,0))))</f>
        <v>613.85228149732302</v>
      </c>
      <c r="AD124">
        <f ca="1">IF($C124-AD$1&lt;År1,0,AC123*(1-VLOOKUP($A124,[1]Hugst!$R$5:$W$9,MATCH(ROUNDUP((AD$1)/10,0)*10,[1]Hugst!$R$4:$W$4,0))))</f>
        <v>614.1499419659259</v>
      </c>
      <c r="AE124">
        <f ca="1">IF($C124-AE$1&lt;År1,0,AD123*(1-VLOOKUP($A124,[1]Hugst!$R$5:$W$9,MATCH(ROUNDUP((AE$1)/10,0)*10,[1]Hugst!$R$4:$W$4,0))))</f>
        <v>614.45155833886622</v>
      </c>
      <c r="AF124">
        <f ca="1">IF($C124-AF$1&lt;År1,0,AE123*(1-VLOOKUP($A124,[1]Hugst!$R$5:$W$9,MATCH(ROUNDUP((AF$1)/10,0)*10,[1]Hugst!$R$4:$W$4,0))))</f>
        <v>614.75713841110337</v>
      </c>
      <c r="AG124">
        <f ca="1">IF($C124-AG$1&lt;År1,0,AF123*(1-VLOOKUP($A124,[1]Hugst!$R$5:$W$9,MATCH(ROUNDUP((AG$1)/10,0)*10,[1]Hugst!$R$4:$W$4,0))))</f>
        <v>615.06669001220564</v>
      </c>
      <c r="AH124">
        <f ca="1">IF($C124-AH$1&lt;År1,0,AG123*(1-VLOOKUP($A124,[1]Hugst!$R$5:$W$9,MATCH(ROUNDUP((AH$1)/10,0)*10,[1]Hugst!$R$4:$W$4,0))))</f>
        <v>615.38022100634635</v>
      </c>
      <c r="AI124">
        <f ca="1">IF($C124-AI$1&lt;År1,0,AH123*(1-VLOOKUP($A124,[1]Hugst!$R$5:$W$9,MATCH(ROUNDUP((AI$1)/10,0)*10,[1]Hugst!$R$4:$W$4,0))))</f>
        <v>615.69773929247754</v>
      </c>
      <c r="AJ124">
        <f>IF($C124-AJ$1&lt;År1,0,AI123*(1-VLOOKUP($A124,[1]Hugst!$R$5:$W$9,MATCH(ROUNDUP((AJ$1)/10,0)*10,[1]Hugst!$R$4:$W$4,0))))</f>
        <v>0</v>
      </c>
    </row>
    <row r="125" spans="1:38" x14ac:dyDescent="0.55000000000000004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23.651169564465818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819.55746775534146</v>
      </c>
      <c r="G125">
        <f ca="1">IF($C125-G$1&lt;År1,0,F124*(1-VLOOKUP($A125,[1]Hugst!$R$5:$W$9,MATCH(ROUNDUP((G$1)/10,0)*10,[1]Hugst!$R$4:$W$4,0))))</f>
        <v>819.97552811065555</v>
      </c>
      <c r="H125">
        <f ca="1">IF($C125-H$1&lt;År1,0,G124*(1-VLOOKUP($A125,[1]Hugst!$R$5:$W$9,MATCH(ROUNDUP((H$1)/10,0)*10,[1]Hugst!$R$4:$W$4,0))))</f>
        <v>819.87532142495286</v>
      </c>
      <c r="I125">
        <f ca="1">IF($C125-I$1&lt;År1,0,H124*(1-VLOOKUP($A125,[1]Hugst!$R$5:$W$9,MATCH(ROUNDUP((I$1)/10,0)*10,[1]Hugst!$R$4:$W$4,0))))</f>
        <v>819.77823780378742</v>
      </c>
      <c r="J125">
        <f ca="1">IF($C125-J$1&lt;År1,0,I124*(1-VLOOKUP($A125,[1]Hugst!$R$5:$W$9,MATCH(ROUNDUP((J$1)/10,0)*10,[1]Hugst!$R$4:$W$4,0))))</f>
        <v>819.68429691392532</v>
      </c>
      <c r="K125">
        <f ca="1">IF($C125-K$1&lt;År1,0,J124*(1-VLOOKUP($A125,[1]Hugst!$R$5:$W$9,MATCH(ROUNDUP((K$1)/10,0)*10,[1]Hugst!$R$4:$W$4,0))))</f>
        <v>819.59351852470365</v>
      </c>
      <c r="L125">
        <f ca="1">IF($C125-L$1&lt;År1,0,K124*(1-VLOOKUP($A125,[1]Hugst!$R$5:$W$9,MATCH(ROUNDUP((L$1)/10,0)*10,[1]Hugst!$R$4:$W$4,0))))</f>
        <v>819.50592250851162</v>
      </c>
      <c r="M125">
        <f ca="1">IF($C125-M$1&lt;År1,0,L124*(1-VLOOKUP($A125,[1]Hugst!$R$5:$W$9,MATCH(ROUNDUP((M$1)/10,0)*10,[1]Hugst!$R$4:$W$4,0))))</f>
        <v>819.42152884137533</v>
      </c>
      <c r="N125">
        <f ca="1">IF($C125-N$1&lt;År1,0,M124*(1-VLOOKUP($A125,[1]Hugst!$R$5:$W$9,MATCH(ROUNDUP((N$1)/10,0)*10,[1]Hugst!$R$4:$W$4,0))))</f>
        <v>819.34035760339532</v>
      </c>
      <c r="O125">
        <f ca="1">IF($C125-O$1&lt;År1,0,N124*(1-VLOOKUP($A125,[1]Hugst!$R$5:$W$9,MATCH(ROUNDUP((O$1)/10,0)*10,[1]Hugst!$R$4:$W$4,0))))</f>
        <v>819.26242897932218</v>
      </c>
      <c r="P125">
        <f ca="1">IF($C125-P$1&lt;År1,0,O124*(1-VLOOKUP($A125,[1]Hugst!$R$5:$W$9,MATCH(ROUNDUP((P$1)/10,0)*10,[1]Hugst!$R$4:$W$4,0))))</f>
        <v>817.93815480663227</v>
      </c>
      <c r="Q125">
        <f ca="1">IF($C125-Q$1&lt;År1,0,P124*(1-VLOOKUP($A125,[1]Hugst!$R$5:$W$9,MATCH(ROUNDUP((Q$1)/10,0)*10,[1]Hugst!$R$4:$W$4,0))))</f>
        <v>816.92356520398096</v>
      </c>
      <c r="R125">
        <f ca="1">IF($C125-R$1&lt;År1,0,Q124*(1-VLOOKUP($A125,[1]Hugst!$R$5:$W$9,MATCH(ROUNDUP((R$1)/10,0)*10,[1]Hugst!$R$4:$W$4,0))))</f>
        <v>816.04677866703878</v>
      </c>
      <c r="S125">
        <f ca="1">IF($C125-S$1&lt;År1,0,R124*(1-VLOOKUP($A125,[1]Hugst!$R$5:$W$9,MATCH(ROUNDUP((S$1)/10,0)*10,[1]Hugst!$R$4:$W$4,0))))</f>
        <v>815.17379003020994</v>
      </c>
      <c r="T125">
        <f ca="1">IF($C125-T$1&lt;År1,0,S124*(1-VLOOKUP($A125,[1]Hugst!$R$5:$W$9,MATCH(ROUNDUP((T$1)/10,0)*10,[1]Hugst!$R$4:$W$4,0))))</f>
        <v>814.30460209202226</v>
      </c>
      <c r="U125">
        <f ca="1">IF($C125-U$1&lt;År1,0,T124*(1-VLOOKUP($A125,[1]Hugst!$R$5:$W$9,MATCH(ROUNDUP((U$1)/10,0)*10,[1]Hugst!$R$4:$W$4,0))))</f>
        <v>813.4392176767152</v>
      </c>
      <c r="V125">
        <f ca="1">IF($C125-V$1&lt;År1,0,U124*(1-VLOOKUP($A125,[1]Hugst!$R$5:$W$9,MATCH(ROUNDUP((V$1)/10,0)*10,[1]Hugst!$R$4:$W$4,0))))</f>
        <v>812.57763963429977</v>
      </c>
      <c r="W125">
        <f ca="1">IF($C125-W$1&lt;År1,0,V124*(1-VLOOKUP($A125,[1]Hugst!$R$5:$W$9,MATCH(ROUNDUP((W$1)/10,0)*10,[1]Hugst!$R$4:$W$4,0))))</f>
        <v>811.71987084069815</v>
      </c>
      <c r="X125">
        <f ca="1">IF($C125-X$1&lt;År1,0,W124*(1-VLOOKUP($A125,[1]Hugst!$R$5:$W$9,MATCH(ROUNDUP((X$1)/10,0)*10,[1]Hugst!$R$4:$W$4,0))))</f>
        <v>810.86591419774084</v>
      </c>
      <c r="Y125">
        <f ca="1">IF($C125-Y$1&lt;År1,0,X124*(1-VLOOKUP($A125,[1]Hugst!$R$5:$W$9,MATCH(ROUNDUP((Y$1)/10,0)*10,[1]Hugst!$R$4:$W$4,0))))</f>
        <v>810.01577263323975</v>
      </c>
      <c r="Z125">
        <f ca="1">IF($C125-Z$1&lt;År1,0,Y124*(1-VLOOKUP($A125,[1]Hugst!$R$5:$W$9,MATCH(ROUNDUP((Z$1)/10,0)*10,[1]Hugst!$R$4:$W$4,0))))</f>
        <v>612.59061898218908</v>
      </c>
      <c r="AA125">
        <f ca="1">IF($C125-AA$1&lt;År1,0,Z124*(1-VLOOKUP($A125,[1]Hugst!$R$5:$W$9,MATCH(ROUNDUP((AA$1)/10,0)*10,[1]Hugst!$R$4:$W$4,0))))</f>
        <v>611.9180300633866</v>
      </c>
      <c r="AB125">
        <f ca="1">IF($C125-AB$1&lt;År1,0,AA124*(1-VLOOKUP($A125,[1]Hugst!$R$5:$W$9,MATCH(ROUNDUP((AB$1)/10,0)*10,[1]Hugst!$R$4:$W$4,0))))</f>
        <v>612.20337265986541</v>
      </c>
      <c r="AC125">
        <f ca="1">IF($C125-AC$1&lt;År1,0,AB124*(1-VLOOKUP($A125,[1]Hugst!$R$5:$W$9,MATCH(ROUNDUP((AC$1)/10,0)*10,[1]Hugst!$R$4:$W$4,0))))</f>
        <v>612.49264114976972</v>
      </c>
      <c r="AD125">
        <f ca="1">IF($C125-AD$1&lt;År1,0,AC124*(1-VLOOKUP($A125,[1]Hugst!$R$5:$W$9,MATCH(ROUNDUP((AD$1)/10,0)*10,[1]Hugst!$R$4:$W$4,0))))</f>
        <v>612.78584321167091</v>
      </c>
      <c r="AE125">
        <f ca="1">IF($C125-AE$1&lt;År1,0,AD124*(1-VLOOKUP($A125,[1]Hugst!$R$5:$W$9,MATCH(ROUNDUP((AE$1)/10,0)*10,[1]Hugst!$R$4:$W$4,0))))</f>
        <v>613.08298655827321</v>
      </c>
      <c r="AF125">
        <f ca="1">IF($C125-AF$1&lt;År1,0,AE124*(1-VLOOKUP($A125,[1]Hugst!$R$5:$W$9,MATCH(ROUNDUP((AF$1)/10,0)*10,[1]Hugst!$R$4:$W$4,0))))</f>
        <v>613.38407893666727</v>
      </c>
      <c r="AG125">
        <f ca="1">IF($C125-AG$1&lt;År1,0,AF124*(1-VLOOKUP($A125,[1]Hugst!$R$5:$W$9,MATCH(ROUNDUP((AG$1)/10,0)*10,[1]Hugst!$R$4:$W$4,0))))</f>
        <v>613.68912812827045</v>
      </c>
      <c r="AH125">
        <f ca="1">IF($C125-AH$1&lt;År1,0,AG124*(1-VLOOKUP($A125,[1]Hugst!$R$5:$W$9,MATCH(ROUNDUP((AH$1)/10,0)*10,[1]Hugst!$R$4:$W$4,0))))</f>
        <v>613.99814194904877</v>
      </c>
      <c r="AI125">
        <f ca="1">IF($C125-AI$1&lt;År1,0,AH124*(1-VLOOKUP($A125,[1]Hugst!$R$5:$W$9,MATCH(ROUNDUP((AI$1)/10,0)*10,[1]Hugst!$R$4:$W$4,0))))</f>
        <v>614.31112824951322</v>
      </c>
      <c r="AJ125">
        <f ca="1">IF($C125-AJ$1&lt;År1,0,AI124*(1-VLOOKUP($A125,[1]Hugst!$R$5:$W$9,MATCH(ROUNDUP((AJ$1)/10,0)*10,[1]Hugst!$R$4:$W$4,0))))</f>
        <v>615.1498726600563</v>
      </c>
      <c r="AL125">
        <f ca="1">SUM(F125:AJ125)</f>
        <v>23080.605756797253</v>
      </c>
    </row>
    <row r="126" spans="1:38" x14ac:dyDescent="0.55000000000000004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364.53368246961463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363.98985181758314</v>
      </c>
      <c r="G127">
        <f ca="1">IF($C127-G$1&lt;År1,0,F126*(1-VLOOKUP($A127,[1]Hugst!$R$5:$W$9,MATCH(ROUNDUP((G$1)/10,0)*10,[1]Hugst!$R$4:$W$4,0))))</f>
        <v>364.53368246961463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630392.57650432887</v>
      </c>
    </row>
    <row r="128" spans="1:38" x14ac:dyDescent="0.55000000000000004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363.44874031881761</v>
      </c>
      <c r="G128">
        <f ca="1">IF($C128-G$1&lt;År1,0,F127*(1-VLOOKUP($A128,[1]Hugst!$R$5:$W$9,MATCH(ROUNDUP((G$1)/10,0)*10,[1]Hugst!$R$4:$W$4,0))))</f>
        <v>363.98985181758314</v>
      </c>
      <c r="H128">
        <f ca="1">IF($C128-H$1&lt;År1,0,G127*(1-VLOOKUP($A128,[1]Hugst!$R$5:$W$9,MATCH(ROUNDUP((H$1)/10,0)*10,[1]Hugst!$R$4:$W$4,0))))</f>
        <v>364.53368246961463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55000000000000004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362.9103343775422</v>
      </c>
      <c r="G129">
        <f ca="1">IF($C129-G$1&lt;År1,0,F128*(1-VLOOKUP($A129,[1]Hugst!$R$5:$W$9,MATCH(ROUNDUP((G$1)/10,0)*10,[1]Hugst!$R$4:$W$4,0))))</f>
        <v>363.44874031881761</v>
      </c>
      <c r="H129">
        <f ca="1">IF($C129-H$1&lt;År1,0,G128*(1-VLOOKUP($A129,[1]Hugst!$R$5:$W$9,MATCH(ROUNDUP((H$1)/10,0)*10,[1]Hugst!$R$4:$W$4,0))))</f>
        <v>363.98985181758314</v>
      </c>
      <c r="I129">
        <f ca="1">IF($C129-I$1&lt;År1,0,H128*(1-VLOOKUP($A129,[1]Hugst!$R$5:$W$9,MATCH(ROUNDUP((I$1)/10,0)*10,[1]Hugst!$R$4:$W$4,0))))</f>
        <v>364.53368246961463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55000000000000004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362.37462046597341</v>
      </c>
      <c r="G130">
        <f ca="1">IF($C130-G$1&lt;År1,0,F129*(1-VLOOKUP($A130,[1]Hugst!$R$5:$W$9,MATCH(ROUNDUP((G$1)/10,0)*10,[1]Hugst!$R$4:$W$4,0))))</f>
        <v>362.9103343775422</v>
      </c>
      <c r="H130">
        <f ca="1">IF($C130-H$1&lt;År1,0,G129*(1-VLOOKUP($A130,[1]Hugst!$R$5:$W$9,MATCH(ROUNDUP((H$1)/10,0)*10,[1]Hugst!$R$4:$W$4,0))))</f>
        <v>363.44874031881761</v>
      </c>
      <c r="I130">
        <f ca="1">IF($C130-I$1&lt;År1,0,H129*(1-VLOOKUP($A130,[1]Hugst!$R$5:$W$9,MATCH(ROUNDUP((I$1)/10,0)*10,[1]Hugst!$R$4:$W$4,0))))</f>
        <v>363.98985181758314</v>
      </c>
      <c r="J130">
        <f ca="1">IF($C130-J$1&lt;År1,0,I129*(1-VLOOKUP($A130,[1]Hugst!$R$5:$W$9,MATCH(ROUNDUP((J$1)/10,0)*10,[1]Hugst!$R$4:$W$4,0))))</f>
        <v>364.53368246961463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55000000000000004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361.84158512396232</v>
      </c>
      <c r="G131">
        <f ca="1">IF($C131-G$1&lt;År1,0,F130*(1-VLOOKUP($A131,[1]Hugst!$R$5:$W$9,MATCH(ROUNDUP((G$1)/10,0)*10,[1]Hugst!$R$4:$W$4,0))))</f>
        <v>362.37462046597341</v>
      </c>
      <c r="H131">
        <f ca="1">IF($C131-H$1&lt;År1,0,G130*(1-VLOOKUP($A131,[1]Hugst!$R$5:$W$9,MATCH(ROUNDUP((H$1)/10,0)*10,[1]Hugst!$R$4:$W$4,0))))</f>
        <v>362.9103343775422</v>
      </c>
      <c r="I131">
        <f ca="1">IF($C131-I$1&lt;År1,0,H130*(1-VLOOKUP($A131,[1]Hugst!$R$5:$W$9,MATCH(ROUNDUP((I$1)/10,0)*10,[1]Hugst!$R$4:$W$4,0))))</f>
        <v>363.44874031881761</v>
      </c>
      <c r="J131">
        <f ca="1">IF($C131-J$1&lt;År1,0,I130*(1-VLOOKUP($A131,[1]Hugst!$R$5:$W$9,MATCH(ROUNDUP((J$1)/10,0)*10,[1]Hugst!$R$4:$W$4,0))))</f>
        <v>363.98985181758314</v>
      </c>
      <c r="K131">
        <f ca="1">IF($C131-K$1&lt;År1,0,J130*(1-VLOOKUP($A131,[1]Hugst!$R$5:$W$9,MATCH(ROUNDUP((K$1)/10,0)*10,[1]Hugst!$R$4:$W$4,0))))</f>
        <v>364.53368246961463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55000000000000004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361.31121495866228</v>
      </c>
      <c r="G132">
        <f ca="1">IF($C132-G$1&lt;År1,0,F131*(1-VLOOKUP($A132,[1]Hugst!$R$5:$W$9,MATCH(ROUNDUP((G$1)/10,0)*10,[1]Hugst!$R$4:$W$4,0))))</f>
        <v>361.84158512396232</v>
      </c>
      <c r="H132">
        <f ca="1">IF($C132-H$1&lt;År1,0,G131*(1-VLOOKUP($A132,[1]Hugst!$R$5:$W$9,MATCH(ROUNDUP((H$1)/10,0)*10,[1]Hugst!$R$4:$W$4,0))))</f>
        <v>362.37462046597341</v>
      </c>
      <c r="I132">
        <f ca="1">IF($C132-I$1&lt;År1,0,H131*(1-VLOOKUP($A132,[1]Hugst!$R$5:$W$9,MATCH(ROUNDUP((I$1)/10,0)*10,[1]Hugst!$R$4:$W$4,0))))</f>
        <v>362.9103343775422</v>
      </c>
      <c r="J132">
        <f ca="1">IF($C132-J$1&lt;År1,0,I131*(1-VLOOKUP($A132,[1]Hugst!$R$5:$W$9,MATCH(ROUNDUP((J$1)/10,0)*10,[1]Hugst!$R$4:$W$4,0))))</f>
        <v>363.44874031881761</v>
      </c>
      <c r="K132">
        <f ca="1">IF($C132-K$1&lt;År1,0,J131*(1-VLOOKUP($A132,[1]Hugst!$R$5:$W$9,MATCH(ROUNDUP((K$1)/10,0)*10,[1]Hugst!$R$4:$W$4,0))))</f>
        <v>363.98985181758314</v>
      </c>
      <c r="L132">
        <f ca="1">IF($C132-L$1&lt;År1,0,K131*(1-VLOOKUP($A132,[1]Hugst!$R$5:$W$9,MATCH(ROUNDUP((L$1)/10,0)*10,[1]Hugst!$R$4:$W$4,0))))</f>
        <v>364.53368246961463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55000000000000004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360.7834966441892</v>
      </c>
      <c r="G133">
        <f ca="1">IF($C133-G$1&lt;År1,0,F132*(1-VLOOKUP($A133,[1]Hugst!$R$5:$W$9,MATCH(ROUNDUP((G$1)/10,0)*10,[1]Hugst!$R$4:$W$4,0))))</f>
        <v>361.31121495866228</v>
      </c>
      <c r="H133">
        <f ca="1">IF($C133-H$1&lt;År1,0,G132*(1-VLOOKUP($A133,[1]Hugst!$R$5:$W$9,MATCH(ROUNDUP((H$1)/10,0)*10,[1]Hugst!$R$4:$W$4,0))))</f>
        <v>361.84158512396232</v>
      </c>
      <c r="I133">
        <f ca="1">IF($C133-I$1&lt;År1,0,H132*(1-VLOOKUP($A133,[1]Hugst!$R$5:$W$9,MATCH(ROUNDUP((I$1)/10,0)*10,[1]Hugst!$R$4:$W$4,0))))</f>
        <v>362.37462046597341</v>
      </c>
      <c r="J133">
        <f ca="1">IF($C133-J$1&lt;År1,0,I132*(1-VLOOKUP($A133,[1]Hugst!$R$5:$W$9,MATCH(ROUNDUP((J$1)/10,0)*10,[1]Hugst!$R$4:$W$4,0))))</f>
        <v>362.9103343775422</v>
      </c>
      <c r="K133">
        <f ca="1">IF($C133-K$1&lt;År1,0,J132*(1-VLOOKUP($A133,[1]Hugst!$R$5:$W$9,MATCH(ROUNDUP((K$1)/10,0)*10,[1]Hugst!$R$4:$W$4,0))))</f>
        <v>363.44874031881761</v>
      </c>
      <c r="L133">
        <f ca="1">IF($C133-L$1&lt;År1,0,K132*(1-VLOOKUP($A133,[1]Hugst!$R$5:$W$9,MATCH(ROUNDUP((L$1)/10,0)*10,[1]Hugst!$R$4:$W$4,0))))</f>
        <v>363.98985181758314</v>
      </c>
      <c r="M133">
        <f ca="1">IF($C133-M$1&lt;År1,0,L132*(1-VLOOKUP($A133,[1]Hugst!$R$5:$W$9,MATCH(ROUNDUP((M$1)/10,0)*10,[1]Hugst!$R$4:$W$4,0))))</f>
        <v>364.53368246961463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55000000000000004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360.2584169212887</v>
      </c>
      <c r="G134">
        <f ca="1">IF($C134-G$1&lt;År1,0,F133*(1-VLOOKUP($A134,[1]Hugst!$R$5:$W$9,MATCH(ROUNDUP((G$1)/10,0)*10,[1]Hugst!$R$4:$W$4,0))))</f>
        <v>360.7834966441892</v>
      </c>
      <c r="H134">
        <f ca="1">IF($C134-H$1&lt;År1,0,G133*(1-VLOOKUP($A134,[1]Hugst!$R$5:$W$9,MATCH(ROUNDUP((H$1)/10,0)*10,[1]Hugst!$R$4:$W$4,0))))</f>
        <v>361.31121495866228</v>
      </c>
      <c r="I134">
        <f ca="1">IF($C134-I$1&lt;År1,0,H133*(1-VLOOKUP($A134,[1]Hugst!$R$5:$W$9,MATCH(ROUNDUP((I$1)/10,0)*10,[1]Hugst!$R$4:$W$4,0))))</f>
        <v>361.84158512396232</v>
      </c>
      <c r="J134">
        <f ca="1">IF($C134-J$1&lt;År1,0,I133*(1-VLOOKUP($A134,[1]Hugst!$R$5:$W$9,MATCH(ROUNDUP((J$1)/10,0)*10,[1]Hugst!$R$4:$W$4,0))))</f>
        <v>362.37462046597341</v>
      </c>
      <c r="K134">
        <f ca="1">IF($C134-K$1&lt;År1,0,J133*(1-VLOOKUP($A134,[1]Hugst!$R$5:$W$9,MATCH(ROUNDUP((K$1)/10,0)*10,[1]Hugst!$R$4:$W$4,0))))</f>
        <v>362.9103343775422</v>
      </c>
      <c r="L134">
        <f ca="1">IF($C134-L$1&lt;År1,0,K133*(1-VLOOKUP($A134,[1]Hugst!$R$5:$W$9,MATCH(ROUNDUP((L$1)/10,0)*10,[1]Hugst!$R$4:$W$4,0))))</f>
        <v>363.44874031881761</v>
      </c>
      <c r="M134">
        <f ca="1">IF($C134-M$1&lt;År1,0,L133*(1-VLOOKUP($A134,[1]Hugst!$R$5:$W$9,MATCH(ROUNDUP((M$1)/10,0)*10,[1]Hugst!$R$4:$W$4,0))))</f>
        <v>363.98985181758314</v>
      </c>
      <c r="N134">
        <f ca="1">IF($C134-N$1&lt;År1,0,M133*(1-VLOOKUP($A134,[1]Hugst!$R$5:$W$9,MATCH(ROUNDUP((N$1)/10,0)*10,[1]Hugst!$R$4:$W$4,0))))</f>
        <v>364.53368246961463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55000000000000004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359.73596259699673</v>
      </c>
      <c r="G135">
        <f ca="1">IF($C135-G$1&lt;År1,0,F134*(1-VLOOKUP($A135,[1]Hugst!$R$5:$W$9,MATCH(ROUNDUP((G$1)/10,0)*10,[1]Hugst!$R$4:$W$4,0))))</f>
        <v>360.2584169212887</v>
      </c>
      <c r="H135">
        <f ca="1">IF($C135-H$1&lt;År1,0,G134*(1-VLOOKUP($A135,[1]Hugst!$R$5:$W$9,MATCH(ROUNDUP((H$1)/10,0)*10,[1]Hugst!$R$4:$W$4,0))))</f>
        <v>360.7834966441892</v>
      </c>
      <c r="I135">
        <f ca="1">IF($C135-I$1&lt;År1,0,H134*(1-VLOOKUP($A135,[1]Hugst!$R$5:$W$9,MATCH(ROUNDUP((I$1)/10,0)*10,[1]Hugst!$R$4:$W$4,0))))</f>
        <v>361.31121495866228</v>
      </c>
      <c r="J135">
        <f ca="1">IF($C135-J$1&lt;År1,0,I134*(1-VLOOKUP($A135,[1]Hugst!$R$5:$W$9,MATCH(ROUNDUP((J$1)/10,0)*10,[1]Hugst!$R$4:$W$4,0))))</f>
        <v>361.84158512396232</v>
      </c>
      <c r="K135">
        <f ca="1">IF($C135-K$1&lt;År1,0,J134*(1-VLOOKUP($A135,[1]Hugst!$R$5:$W$9,MATCH(ROUNDUP((K$1)/10,0)*10,[1]Hugst!$R$4:$W$4,0))))</f>
        <v>362.37462046597341</v>
      </c>
      <c r="L135">
        <f ca="1">IF($C135-L$1&lt;År1,0,K134*(1-VLOOKUP($A135,[1]Hugst!$R$5:$W$9,MATCH(ROUNDUP((L$1)/10,0)*10,[1]Hugst!$R$4:$W$4,0))))</f>
        <v>362.9103343775422</v>
      </c>
      <c r="M135">
        <f ca="1">IF($C135-M$1&lt;År1,0,L134*(1-VLOOKUP($A135,[1]Hugst!$R$5:$W$9,MATCH(ROUNDUP((M$1)/10,0)*10,[1]Hugst!$R$4:$W$4,0))))</f>
        <v>363.44874031881761</v>
      </c>
      <c r="N135">
        <f ca="1">IF($C135-N$1&lt;År1,0,M134*(1-VLOOKUP($A135,[1]Hugst!$R$5:$W$9,MATCH(ROUNDUP((N$1)/10,0)*10,[1]Hugst!$R$4:$W$4,0))))</f>
        <v>363.98985181758314</v>
      </c>
      <c r="O135">
        <f ca="1">IF($C135-O$1&lt;År1,0,N134*(1-VLOOKUP($A135,[1]Hugst!$R$5:$W$9,MATCH(ROUNDUP((O$1)/10,0)*10,[1]Hugst!$R$4:$W$4,0))))</f>
        <v>364.53368246961463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55000000000000004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359.21612054433638</v>
      </c>
      <c r="G136">
        <f ca="1">IF($C136-G$1&lt;År1,0,F135*(1-VLOOKUP($A136,[1]Hugst!$R$5:$W$9,MATCH(ROUNDUP((G$1)/10,0)*10,[1]Hugst!$R$4:$W$4,0))))</f>
        <v>359.73596259699673</v>
      </c>
      <c r="H136">
        <f ca="1">IF($C136-H$1&lt;År1,0,G135*(1-VLOOKUP($A136,[1]Hugst!$R$5:$W$9,MATCH(ROUNDUP((H$1)/10,0)*10,[1]Hugst!$R$4:$W$4,0))))</f>
        <v>360.2584169212887</v>
      </c>
      <c r="I136">
        <f ca="1">IF($C136-I$1&lt;År1,0,H135*(1-VLOOKUP($A136,[1]Hugst!$R$5:$W$9,MATCH(ROUNDUP((I$1)/10,0)*10,[1]Hugst!$R$4:$W$4,0))))</f>
        <v>360.7834966441892</v>
      </c>
      <c r="J136">
        <f ca="1">IF($C136-J$1&lt;År1,0,I135*(1-VLOOKUP($A136,[1]Hugst!$R$5:$W$9,MATCH(ROUNDUP((J$1)/10,0)*10,[1]Hugst!$R$4:$W$4,0))))</f>
        <v>361.31121495866228</v>
      </c>
      <c r="K136">
        <f ca="1">IF($C136-K$1&lt;År1,0,J135*(1-VLOOKUP($A136,[1]Hugst!$R$5:$W$9,MATCH(ROUNDUP((K$1)/10,0)*10,[1]Hugst!$R$4:$W$4,0))))</f>
        <v>361.84158512396232</v>
      </c>
      <c r="L136">
        <f ca="1">IF($C136-L$1&lt;År1,0,K135*(1-VLOOKUP($A136,[1]Hugst!$R$5:$W$9,MATCH(ROUNDUP((L$1)/10,0)*10,[1]Hugst!$R$4:$W$4,0))))</f>
        <v>362.37462046597341</v>
      </c>
      <c r="M136">
        <f ca="1">IF($C136-M$1&lt;År1,0,L135*(1-VLOOKUP($A136,[1]Hugst!$R$5:$W$9,MATCH(ROUNDUP((M$1)/10,0)*10,[1]Hugst!$R$4:$W$4,0))))</f>
        <v>362.9103343775422</v>
      </c>
      <c r="N136">
        <f ca="1">IF($C136-N$1&lt;År1,0,M135*(1-VLOOKUP($A136,[1]Hugst!$R$5:$W$9,MATCH(ROUNDUP((N$1)/10,0)*10,[1]Hugst!$R$4:$W$4,0))))</f>
        <v>363.44874031881761</v>
      </c>
      <c r="O136">
        <f ca="1">IF($C136-O$1&lt;År1,0,N135*(1-VLOOKUP($A136,[1]Hugst!$R$5:$W$9,MATCH(ROUNDUP((O$1)/10,0)*10,[1]Hugst!$R$4:$W$4,0))))</f>
        <v>363.98985181758314</v>
      </c>
      <c r="P136">
        <f ca="1">IF($C136-P$1&lt;År1,0,O135*(1-VLOOKUP($A136,[1]Hugst!$R$5:$W$9,MATCH(ROUNDUP((P$1)/10,0)*10,[1]Hugst!$R$4:$W$4,0))))</f>
        <v>364.53368246961463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55000000000000004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504.85176459555504</v>
      </c>
      <c r="G137">
        <f ca="1">IF($C137-G$1&lt;År1,0,F136*(1-VLOOKUP($A137,[1]Hugst!$R$5:$W$9,MATCH(ROUNDUP((G$1)/10,0)*10,[1]Hugst!$R$4:$W$4,0))))</f>
        <v>359.21612054433638</v>
      </c>
      <c r="H137">
        <f ca="1">IF($C137-H$1&lt;År1,0,G136*(1-VLOOKUP($A137,[1]Hugst!$R$5:$W$9,MATCH(ROUNDUP((H$1)/10,0)*10,[1]Hugst!$R$4:$W$4,0))))</f>
        <v>359.73596259699673</v>
      </c>
      <c r="I137">
        <f ca="1">IF($C137-I$1&lt;År1,0,H136*(1-VLOOKUP($A137,[1]Hugst!$R$5:$W$9,MATCH(ROUNDUP((I$1)/10,0)*10,[1]Hugst!$R$4:$W$4,0))))</f>
        <v>360.2584169212887</v>
      </c>
      <c r="J137">
        <f ca="1">IF($C137-J$1&lt;År1,0,I136*(1-VLOOKUP($A137,[1]Hugst!$R$5:$W$9,MATCH(ROUNDUP((J$1)/10,0)*10,[1]Hugst!$R$4:$W$4,0))))</f>
        <v>360.7834966441892</v>
      </c>
      <c r="K137">
        <f ca="1">IF($C137-K$1&lt;År1,0,J136*(1-VLOOKUP($A137,[1]Hugst!$R$5:$W$9,MATCH(ROUNDUP((K$1)/10,0)*10,[1]Hugst!$R$4:$W$4,0))))</f>
        <v>361.31121495866228</v>
      </c>
      <c r="L137">
        <f ca="1">IF($C137-L$1&lt;År1,0,K136*(1-VLOOKUP($A137,[1]Hugst!$R$5:$W$9,MATCH(ROUNDUP((L$1)/10,0)*10,[1]Hugst!$R$4:$W$4,0))))</f>
        <v>361.84158512396232</v>
      </c>
      <c r="M137">
        <f ca="1">IF($C137-M$1&lt;År1,0,L136*(1-VLOOKUP($A137,[1]Hugst!$R$5:$W$9,MATCH(ROUNDUP((M$1)/10,0)*10,[1]Hugst!$R$4:$W$4,0))))</f>
        <v>362.37462046597341</v>
      </c>
      <c r="N137">
        <f ca="1">IF($C137-N$1&lt;År1,0,M136*(1-VLOOKUP($A137,[1]Hugst!$R$5:$W$9,MATCH(ROUNDUP((N$1)/10,0)*10,[1]Hugst!$R$4:$W$4,0))))</f>
        <v>362.9103343775422</v>
      </c>
      <c r="O137">
        <f ca="1">IF($C137-O$1&lt;År1,0,N136*(1-VLOOKUP($A137,[1]Hugst!$R$5:$W$9,MATCH(ROUNDUP((O$1)/10,0)*10,[1]Hugst!$R$4:$W$4,0))))</f>
        <v>363.44874031881761</v>
      </c>
      <c r="P137">
        <f ca="1">IF($C137-P$1&lt;År1,0,O136*(1-VLOOKUP($A137,[1]Hugst!$R$5:$W$9,MATCH(ROUNDUP((P$1)/10,0)*10,[1]Hugst!$R$4:$W$4,0))))</f>
        <v>363.98985181758314</v>
      </c>
      <c r="Q137">
        <f ca="1">IF($C137-Q$1&lt;År1,0,P136*(1-VLOOKUP($A137,[1]Hugst!$R$5:$W$9,MATCH(ROUNDUP((Q$1)/10,0)*10,[1]Hugst!$R$4:$W$4,0))))</f>
        <v>364.53368246961463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55000000000000004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504.33710796736972</v>
      </c>
      <c r="G138">
        <f ca="1">IF($C138-G$1&lt;År1,0,F137*(1-VLOOKUP($A138,[1]Hugst!$R$5:$W$9,MATCH(ROUNDUP((G$1)/10,0)*10,[1]Hugst!$R$4:$W$4,0))))</f>
        <v>504.85176459555504</v>
      </c>
      <c r="H138">
        <f ca="1">IF($C138-H$1&lt;År1,0,G137*(1-VLOOKUP($A138,[1]Hugst!$R$5:$W$9,MATCH(ROUNDUP((H$1)/10,0)*10,[1]Hugst!$R$4:$W$4,0))))</f>
        <v>359.21612054433638</v>
      </c>
      <c r="I138">
        <f ca="1">IF($C138-I$1&lt;År1,0,H137*(1-VLOOKUP($A138,[1]Hugst!$R$5:$W$9,MATCH(ROUNDUP((I$1)/10,0)*10,[1]Hugst!$R$4:$W$4,0))))</f>
        <v>359.73596259699673</v>
      </c>
      <c r="J138">
        <f ca="1">IF($C138-J$1&lt;År1,0,I137*(1-VLOOKUP($A138,[1]Hugst!$R$5:$W$9,MATCH(ROUNDUP((J$1)/10,0)*10,[1]Hugst!$R$4:$W$4,0))))</f>
        <v>360.2584169212887</v>
      </c>
      <c r="K138">
        <f ca="1">IF($C138-K$1&lt;År1,0,J137*(1-VLOOKUP($A138,[1]Hugst!$R$5:$W$9,MATCH(ROUNDUP((K$1)/10,0)*10,[1]Hugst!$R$4:$W$4,0))))</f>
        <v>360.7834966441892</v>
      </c>
      <c r="L138">
        <f ca="1">IF($C138-L$1&lt;År1,0,K137*(1-VLOOKUP($A138,[1]Hugst!$R$5:$W$9,MATCH(ROUNDUP((L$1)/10,0)*10,[1]Hugst!$R$4:$W$4,0))))</f>
        <v>361.31121495866228</v>
      </c>
      <c r="M138">
        <f ca="1">IF($C138-M$1&lt;År1,0,L137*(1-VLOOKUP($A138,[1]Hugst!$R$5:$W$9,MATCH(ROUNDUP((M$1)/10,0)*10,[1]Hugst!$R$4:$W$4,0))))</f>
        <v>361.84158512396232</v>
      </c>
      <c r="N138">
        <f ca="1">IF($C138-N$1&lt;År1,0,M137*(1-VLOOKUP($A138,[1]Hugst!$R$5:$W$9,MATCH(ROUNDUP((N$1)/10,0)*10,[1]Hugst!$R$4:$W$4,0))))</f>
        <v>362.37462046597341</v>
      </c>
      <c r="O138">
        <f ca="1">IF($C138-O$1&lt;År1,0,N137*(1-VLOOKUP($A138,[1]Hugst!$R$5:$W$9,MATCH(ROUNDUP((O$1)/10,0)*10,[1]Hugst!$R$4:$W$4,0))))</f>
        <v>362.9103343775422</v>
      </c>
      <c r="P138">
        <f ca="1">IF($C138-P$1&lt;År1,0,O137*(1-VLOOKUP($A138,[1]Hugst!$R$5:$W$9,MATCH(ROUNDUP((P$1)/10,0)*10,[1]Hugst!$R$4:$W$4,0))))</f>
        <v>363.44874031881761</v>
      </c>
      <c r="Q138">
        <f ca="1">IF($C138-Q$1&lt;År1,0,P137*(1-VLOOKUP($A138,[1]Hugst!$R$5:$W$9,MATCH(ROUNDUP((Q$1)/10,0)*10,[1]Hugst!$R$4:$W$4,0))))</f>
        <v>363.98985181758314</v>
      </c>
      <c r="R138">
        <f ca="1">IF($C138-R$1&lt;År1,0,Q137*(1-VLOOKUP($A138,[1]Hugst!$R$5:$W$9,MATCH(ROUNDUP((R$1)/10,0)*10,[1]Hugst!$R$4:$W$4,0))))</f>
        <v>364.53368246961463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55000000000000004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503.82502462231758</v>
      </c>
      <c r="G139">
        <f ca="1">IF($C139-G$1&lt;År1,0,F138*(1-VLOOKUP($A139,[1]Hugst!$R$5:$W$9,MATCH(ROUNDUP((G$1)/10,0)*10,[1]Hugst!$R$4:$W$4,0))))</f>
        <v>504.33710796736972</v>
      </c>
      <c r="H139">
        <f ca="1">IF($C139-H$1&lt;År1,0,G138*(1-VLOOKUP($A139,[1]Hugst!$R$5:$W$9,MATCH(ROUNDUP((H$1)/10,0)*10,[1]Hugst!$R$4:$W$4,0))))</f>
        <v>504.85176459555504</v>
      </c>
      <c r="I139">
        <f ca="1">IF($C139-I$1&lt;År1,0,H138*(1-VLOOKUP($A139,[1]Hugst!$R$5:$W$9,MATCH(ROUNDUP((I$1)/10,0)*10,[1]Hugst!$R$4:$W$4,0))))</f>
        <v>359.21612054433638</v>
      </c>
      <c r="J139">
        <f ca="1">IF($C139-J$1&lt;År1,0,I138*(1-VLOOKUP($A139,[1]Hugst!$R$5:$W$9,MATCH(ROUNDUP((J$1)/10,0)*10,[1]Hugst!$R$4:$W$4,0))))</f>
        <v>359.73596259699673</v>
      </c>
      <c r="K139">
        <f ca="1">IF($C139-K$1&lt;År1,0,J138*(1-VLOOKUP($A139,[1]Hugst!$R$5:$W$9,MATCH(ROUNDUP((K$1)/10,0)*10,[1]Hugst!$R$4:$W$4,0))))</f>
        <v>360.2584169212887</v>
      </c>
      <c r="L139">
        <f ca="1">IF($C139-L$1&lt;År1,0,K138*(1-VLOOKUP($A139,[1]Hugst!$R$5:$W$9,MATCH(ROUNDUP((L$1)/10,0)*10,[1]Hugst!$R$4:$W$4,0))))</f>
        <v>360.7834966441892</v>
      </c>
      <c r="M139">
        <f ca="1">IF($C139-M$1&lt;År1,0,L138*(1-VLOOKUP($A139,[1]Hugst!$R$5:$W$9,MATCH(ROUNDUP((M$1)/10,0)*10,[1]Hugst!$R$4:$W$4,0))))</f>
        <v>361.31121495866228</v>
      </c>
      <c r="N139">
        <f ca="1">IF($C139-N$1&lt;År1,0,M138*(1-VLOOKUP($A139,[1]Hugst!$R$5:$W$9,MATCH(ROUNDUP((N$1)/10,0)*10,[1]Hugst!$R$4:$W$4,0))))</f>
        <v>361.84158512396232</v>
      </c>
      <c r="O139">
        <f ca="1">IF($C139-O$1&lt;År1,0,N138*(1-VLOOKUP($A139,[1]Hugst!$R$5:$W$9,MATCH(ROUNDUP((O$1)/10,0)*10,[1]Hugst!$R$4:$W$4,0))))</f>
        <v>362.37462046597341</v>
      </c>
      <c r="P139">
        <f ca="1">IF($C139-P$1&lt;År1,0,O138*(1-VLOOKUP($A139,[1]Hugst!$R$5:$W$9,MATCH(ROUNDUP((P$1)/10,0)*10,[1]Hugst!$R$4:$W$4,0))))</f>
        <v>362.9103343775422</v>
      </c>
      <c r="Q139">
        <f ca="1">IF($C139-Q$1&lt;År1,0,P138*(1-VLOOKUP($A139,[1]Hugst!$R$5:$W$9,MATCH(ROUNDUP((Q$1)/10,0)*10,[1]Hugst!$R$4:$W$4,0))))</f>
        <v>363.44874031881761</v>
      </c>
      <c r="R139">
        <f ca="1">IF($C139-R$1&lt;År1,0,Q138*(1-VLOOKUP($A139,[1]Hugst!$R$5:$W$9,MATCH(ROUNDUP((R$1)/10,0)*10,[1]Hugst!$R$4:$W$4,0))))</f>
        <v>363.98985181758314</v>
      </c>
      <c r="S139">
        <f ca="1">IF($C139-S$1&lt;År1,0,R138*(1-VLOOKUP($A139,[1]Hugst!$R$5:$W$9,MATCH(ROUNDUP((S$1)/10,0)*10,[1]Hugst!$R$4:$W$4,0))))</f>
        <v>364.53368246961463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55000000000000004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503.31550169399378</v>
      </c>
      <c r="G140">
        <f ca="1">IF($C140-G$1&lt;År1,0,F139*(1-VLOOKUP($A140,[1]Hugst!$R$5:$W$9,MATCH(ROUNDUP((G$1)/10,0)*10,[1]Hugst!$R$4:$W$4,0))))</f>
        <v>503.82502462231758</v>
      </c>
      <c r="H140">
        <f ca="1">IF($C140-H$1&lt;År1,0,G139*(1-VLOOKUP($A140,[1]Hugst!$R$5:$W$9,MATCH(ROUNDUP((H$1)/10,0)*10,[1]Hugst!$R$4:$W$4,0))))</f>
        <v>504.33710796736972</v>
      </c>
      <c r="I140">
        <f ca="1">IF($C140-I$1&lt;År1,0,H139*(1-VLOOKUP($A140,[1]Hugst!$R$5:$W$9,MATCH(ROUNDUP((I$1)/10,0)*10,[1]Hugst!$R$4:$W$4,0))))</f>
        <v>504.85176459555504</v>
      </c>
      <c r="J140">
        <f ca="1">IF($C140-J$1&lt;År1,0,I139*(1-VLOOKUP($A140,[1]Hugst!$R$5:$W$9,MATCH(ROUNDUP((J$1)/10,0)*10,[1]Hugst!$R$4:$W$4,0))))</f>
        <v>359.21612054433638</v>
      </c>
      <c r="K140">
        <f ca="1">IF($C140-K$1&lt;År1,0,J139*(1-VLOOKUP($A140,[1]Hugst!$R$5:$W$9,MATCH(ROUNDUP((K$1)/10,0)*10,[1]Hugst!$R$4:$W$4,0))))</f>
        <v>359.73596259699673</v>
      </c>
      <c r="L140">
        <f ca="1">IF($C140-L$1&lt;År1,0,K139*(1-VLOOKUP($A140,[1]Hugst!$R$5:$W$9,MATCH(ROUNDUP((L$1)/10,0)*10,[1]Hugst!$R$4:$W$4,0))))</f>
        <v>360.2584169212887</v>
      </c>
      <c r="M140">
        <f ca="1">IF($C140-M$1&lt;År1,0,L139*(1-VLOOKUP($A140,[1]Hugst!$R$5:$W$9,MATCH(ROUNDUP((M$1)/10,0)*10,[1]Hugst!$R$4:$W$4,0))))</f>
        <v>360.7834966441892</v>
      </c>
      <c r="N140">
        <f ca="1">IF($C140-N$1&lt;År1,0,M139*(1-VLOOKUP($A140,[1]Hugst!$R$5:$W$9,MATCH(ROUNDUP((N$1)/10,0)*10,[1]Hugst!$R$4:$W$4,0))))</f>
        <v>361.31121495866228</v>
      </c>
      <c r="O140">
        <f ca="1">IF($C140-O$1&lt;År1,0,N139*(1-VLOOKUP($A140,[1]Hugst!$R$5:$W$9,MATCH(ROUNDUP((O$1)/10,0)*10,[1]Hugst!$R$4:$W$4,0))))</f>
        <v>361.84158512396232</v>
      </c>
      <c r="P140">
        <f ca="1">IF($C140-P$1&lt;År1,0,O139*(1-VLOOKUP($A140,[1]Hugst!$R$5:$W$9,MATCH(ROUNDUP((P$1)/10,0)*10,[1]Hugst!$R$4:$W$4,0))))</f>
        <v>362.37462046597341</v>
      </c>
      <c r="Q140">
        <f ca="1">IF($C140-Q$1&lt;År1,0,P139*(1-VLOOKUP($A140,[1]Hugst!$R$5:$W$9,MATCH(ROUNDUP((Q$1)/10,0)*10,[1]Hugst!$R$4:$W$4,0))))</f>
        <v>362.9103343775422</v>
      </c>
      <c r="R140">
        <f ca="1">IF($C140-R$1&lt;År1,0,Q139*(1-VLOOKUP($A140,[1]Hugst!$R$5:$W$9,MATCH(ROUNDUP((R$1)/10,0)*10,[1]Hugst!$R$4:$W$4,0))))</f>
        <v>363.44874031881761</v>
      </c>
      <c r="S140">
        <f ca="1">IF($C140-S$1&lt;År1,0,R139*(1-VLOOKUP($A140,[1]Hugst!$R$5:$W$9,MATCH(ROUNDUP((S$1)/10,0)*10,[1]Hugst!$R$4:$W$4,0))))</f>
        <v>363.98985181758314</v>
      </c>
      <c r="T140">
        <f ca="1">IF($C140-T$1&lt;År1,0,S139*(1-VLOOKUP($A140,[1]Hugst!$R$5:$W$9,MATCH(ROUNDUP((T$1)/10,0)*10,[1]Hugst!$R$4:$W$4,0))))</f>
        <v>364.53368246961463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55000000000000004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502.80852638031337</v>
      </c>
      <c r="G141">
        <f ca="1">IF($C141-G$1&lt;År1,0,F140*(1-VLOOKUP($A141,[1]Hugst!$R$5:$W$9,MATCH(ROUNDUP((G$1)/10,0)*10,[1]Hugst!$R$4:$W$4,0))))</f>
        <v>503.31550169399378</v>
      </c>
      <c r="H141">
        <f ca="1">IF($C141-H$1&lt;År1,0,G140*(1-VLOOKUP($A141,[1]Hugst!$R$5:$W$9,MATCH(ROUNDUP((H$1)/10,0)*10,[1]Hugst!$R$4:$W$4,0))))</f>
        <v>503.82502462231758</v>
      </c>
      <c r="I141">
        <f ca="1">IF($C141-I$1&lt;År1,0,H140*(1-VLOOKUP($A141,[1]Hugst!$R$5:$W$9,MATCH(ROUNDUP((I$1)/10,0)*10,[1]Hugst!$R$4:$W$4,0))))</f>
        <v>504.33710796736972</v>
      </c>
      <c r="J141">
        <f ca="1">IF($C141-J$1&lt;År1,0,I140*(1-VLOOKUP($A141,[1]Hugst!$R$5:$W$9,MATCH(ROUNDUP((J$1)/10,0)*10,[1]Hugst!$R$4:$W$4,0))))</f>
        <v>504.85176459555504</v>
      </c>
      <c r="K141">
        <f ca="1">IF($C141-K$1&lt;År1,0,J140*(1-VLOOKUP($A141,[1]Hugst!$R$5:$W$9,MATCH(ROUNDUP((K$1)/10,0)*10,[1]Hugst!$R$4:$W$4,0))))</f>
        <v>359.21612054433638</v>
      </c>
      <c r="L141">
        <f ca="1">IF($C141-L$1&lt;År1,0,K140*(1-VLOOKUP($A141,[1]Hugst!$R$5:$W$9,MATCH(ROUNDUP((L$1)/10,0)*10,[1]Hugst!$R$4:$W$4,0))))</f>
        <v>359.73596259699673</v>
      </c>
      <c r="M141">
        <f ca="1">IF($C141-M$1&lt;År1,0,L140*(1-VLOOKUP($A141,[1]Hugst!$R$5:$W$9,MATCH(ROUNDUP((M$1)/10,0)*10,[1]Hugst!$R$4:$W$4,0))))</f>
        <v>360.2584169212887</v>
      </c>
      <c r="N141">
        <f ca="1">IF($C141-N$1&lt;År1,0,M140*(1-VLOOKUP($A141,[1]Hugst!$R$5:$W$9,MATCH(ROUNDUP((N$1)/10,0)*10,[1]Hugst!$R$4:$W$4,0))))</f>
        <v>360.7834966441892</v>
      </c>
      <c r="O141">
        <f ca="1">IF($C141-O$1&lt;År1,0,N140*(1-VLOOKUP($A141,[1]Hugst!$R$5:$W$9,MATCH(ROUNDUP((O$1)/10,0)*10,[1]Hugst!$R$4:$W$4,0))))</f>
        <v>361.31121495866228</v>
      </c>
      <c r="P141">
        <f ca="1">IF($C141-P$1&lt;År1,0,O140*(1-VLOOKUP($A141,[1]Hugst!$R$5:$W$9,MATCH(ROUNDUP((P$1)/10,0)*10,[1]Hugst!$R$4:$W$4,0))))</f>
        <v>361.84158512396232</v>
      </c>
      <c r="Q141">
        <f ca="1">IF($C141-Q$1&lt;År1,0,P140*(1-VLOOKUP($A141,[1]Hugst!$R$5:$W$9,MATCH(ROUNDUP((Q$1)/10,0)*10,[1]Hugst!$R$4:$W$4,0))))</f>
        <v>362.37462046597341</v>
      </c>
      <c r="R141">
        <f ca="1">IF($C141-R$1&lt;År1,0,Q140*(1-VLOOKUP($A141,[1]Hugst!$R$5:$W$9,MATCH(ROUNDUP((R$1)/10,0)*10,[1]Hugst!$R$4:$W$4,0))))</f>
        <v>362.9103343775422</v>
      </c>
      <c r="S141">
        <f ca="1">IF($C141-S$1&lt;År1,0,R140*(1-VLOOKUP($A141,[1]Hugst!$R$5:$W$9,MATCH(ROUNDUP((S$1)/10,0)*10,[1]Hugst!$R$4:$W$4,0))))</f>
        <v>363.44874031881761</v>
      </c>
      <c r="T141">
        <f ca="1">IF($C141-T$1&lt;År1,0,S140*(1-VLOOKUP($A141,[1]Hugst!$R$5:$W$9,MATCH(ROUNDUP((T$1)/10,0)*10,[1]Hugst!$R$4:$W$4,0))))</f>
        <v>363.98985181758314</v>
      </c>
      <c r="U141">
        <f ca="1">IF($C141-U$1&lt;År1,0,T140*(1-VLOOKUP($A141,[1]Hugst!$R$5:$W$9,MATCH(ROUNDUP((U$1)/10,0)*10,[1]Hugst!$R$4:$W$4,0))))</f>
        <v>364.53368246961463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55000000000000004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502.30408594319869</v>
      </c>
      <c r="G142">
        <f ca="1">IF($C142-G$1&lt;År1,0,F141*(1-VLOOKUP($A142,[1]Hugst!$R$5:$W$9,MATCH(ROUNDUP((G$1)/10,0)*10,[1]Hugst!$R$4:$W$4,0))))</f>
        <v>502.80852638031337</v>
      </c>
      <c r="H142">
        <f ca="1">IF($C142-H$1&lt;År1,0,G141*(1-VLOOKUP($A142,[1]Hugst!$R$5:$W$9,MATCH(ROUNDUP((H$1)/10,0)*10,[1]Hugst!$R$4:$W$4,0))))</f>
        <v>503.31550169399378</v>
      </c>
      <c r="I142">
        <f ca="1">IF($C142-I$1&lt;År1,0,H141*(1-VLOOKUP($A142,[1]Hugst!$R$5:$W$9,MATCH(ROUNDUP((I$1)/10,0)*10,[1]Hugst!$R$4:$W$4,0))))</f>
        <v>503.82502462231758</v>
      </c>
      <c r="J142">
        <f ca="1">IF($C142-J$1&lt;År1,0,I141*(1-VLOOKUP($A142,[1]Hugst!$R$5:$W$9,MATCH(ROUNDUP((J$1)/10,0)*10,[1]Hugst!$R$4:$W$4,0))))</f>
        <v>504.33710796736972</v>
      </c>
      <c r="K142">
        <f ca="1">IF($C142-K$1&lt;År1,0,J141*(1-VLOOKUP($A142,[1]Hugst!$R$5:$W$9,MATCH(ROUNDUP((K$1)/10,0)*10,[1]Hugst!$R$4:$W$4,0))))</f>
        <v>504.85176459555504</v>
      </c>
      <c r="L142">
        <f ca="1">IF($C142-L$1&lt;År1,0,K141*(1-VLOOKUP($A142,[1]Hugst!$R$5:$W$9,MATCH(ROUNDUP((L$1)/10,0)*10,[1]Hugst!$R$4:$W$4,0))))</f>
        <v>359.21612054433638</v>
      </c>
      <c r="M142">
        <f ca="1">IF($C142-M$1&lt;År1,0,L141*(1-VLOOKUP($A142,[1]Hugst!$R$5:$W$9,MATCH(ROUNDUP((M$1)/10,0)*10,[1]Hugst!$R$4:$W$4,0))))</f>
        <v>359.73596259699673</v>
      </c>
      <c r="N142">
        <f ca="1">IF($C142-N$1&lt;År1,0,M141*(1-VLOOKUP($A142,[1]Hugst!$R$5:$W$9,MATCH(ROUNDUP((N$1)/10,0)*10,[1]Hugst!$R$4:$W$4,0))))</f>
        <v>360.2584169212887</v>
      </c>
      <c r="O142">
        <f ca="1">IF($C142-O$1&lt;År1,0,N141*(1-VLOOKUP($A142,[1]Hugst!$R$5:$W$9,MATCH(ROUNDUP((O$1)/10,0)*10,[1]Hugst!$R$4:$W$4,0))))</f>
        <v>360.7834966441892</v>
      </c>
      <c r="P142">
        <f ca="1">IF($C142-P$1&lt;År1,0,O141*(1-VLOOKUP($A142,[1]Hugst!$R$5:$W$9,MATCH(ROUNDUP((P$1)/10,0)*10,[1]Hugst!$R$4:$W$4,0))))</f>
        <v>361.31121495866228</v>
      </c>
      <c r="Q142">
        <f ca="1">IF($C142-Q$1&lt;År1,0,P141*(1-VLOOKUP($A142,[1]Hugst!$R$5:$W$9,MATCH(ROUNDUP((Q$1)/10,0)*10,[1]Hugst!$R$4:$W$4,0))))</f>
        <v>361.84158512396232</v>
      </c>
      <c r="R142">
        <f ca="1">IF($C142-R$1&lt;År1,0,Q141*(1-VLOOKUP($A142,[1]Hugst!$R$5:$W$9,MATCH(ROUNDUP((R$1)/10,0)*10,[1]Hugst!$R$4:$W$4,0))))</f>
        <v>362.37462046597341</v>
      </c>
      <c r="S142">
        <f ca="1">IF($C142-S$1&lt;År1,0,R141*(1-VLOOKUP($A142,[1]Hugst!$R$5:$W$9,MATCH(ROUNDUP((S$1)/10,0)*10,[1]Hugst!$R$4:$W$4,0))))</f>
        <v>362.9103343775422</v>
      </c>
      <c r="T142">
        <f ca="1">IF($C142-T$1&lt;År1,0,S141*(1-VLOOKUP($A142,[1]Hugst!$R$5:$W$9,MATCH(ROUNDUP((T$1)/10,0)*10,[1]Hugst!$R$4:$W$4,0))))</f>
        <v>363.44874031881761</v>
      </c>
      <c r="U142">
        <f ca="1">IF($C142-U$1&lt;År1,0,T141*(1-VLOOKUP($A142,[1]Hugst!$R$5:$W$9,MATCH(ROUNDUP((U$1)/10,0)*10,[1]Hugst!$R$4:$W$4,0))))</f>
        <v>363.98985181758314</v>
      </c>
      <c r="V142">
        <f ca="1">IF($C142-V$1&lt;År1,0,U141*(1-VLOOKUP($A142,[1]Hugst!$R$5:$W$9,MATCH(ROUNDUP((V$1)/10,0)*10,[1]Hugst!$R$4:$W$4,0))))</f>
        <v>364.53368246961463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55000000000000004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501.80216770826922</v>
      </c>
      <c r="G143">
        <f ca="1">IF($C143-G$1&lt;År1,0,F142*(1-VLOOKUP($A143,[1]Hugst!$R$5:$W$9,MATCH(ROUNDUP((G$1)/10,0)*10,[1]Hugst!$R$4:$W$4,0))))</f>
        <v>502.30408594319869</v>
      </c>
      <c r="H143">
        <f ca="1">IF($C143-H$1&lt;År1,0,G142*(1-VLOOKUP($A143,[1]Hugst!$R$5:$W$9,MATCH(ROUNDUP((H$1)/10,0)*10,[1]Hugst!$R$4:$W$4,0))))</f>
        <v>502.80852638031337</v>
      </c>
      <c r="I143">
        <f ca="1">IF($C143-I$1&lt;År1,0,H142*(1-VLOOKUP($A143,[1]Hugst!$R$5:$W$9,MATCH(ROUNDUP((I$1)/10,0)*10,[1]Hugst!$R$4:$W$4,0))))</f>
        <v>503.31550169399378</v>
      </c>
      <c r="J143">
        <f ca="1">IF($C143-J$1&lt;År1,0,I142*(1-VLOOKUP($A143,[1]Hugst!$R$5:$W$9,MATCH(ROUNDUP((J$1)/10,0)*10,[1]Hugst!$R$4:$W$4,0))))</f>
        <v>503.82502462231758</v>
      </c>
      <c r="K143">
        <f ca="1">IF($C143-K$1&lt;År1,0,J142*(1-VLOOKUP($A143,[1]Hugst!$R$5:$W$9,MATCH(ROUNDUP((K$1)/10,0)*10,[1]Hugst!$R$4:$W$4,0))))</f>
        <v>504.33710796736972</v>
      </c>
      <c r="L143">
        <f ca="1">IF($C143-L$1&lt;År1,0,K142*(1-VLOOKUP($A143,[1]Hugst!$R$5:$W$9,MATCH(ROUNDUP((L$1)/10,0)*10,[1]Hugst!$R$4:$W$4,0))))</f>
        <v>504.85176459555504</v>
      </c>
      <c r="M143">
        <f ca="1">IF($C143-M$1&lt;År1,0,L142*(1-VLOOKUP($A143,[1]Hugst!$R$5:$W$9,MATCH(ROUNDUP((M$1)/10,0)*10,[1]Hugst!$R$4:$W$4,0))))</f>
        <v>359.21612054433638</v>
      </c>
      <c r="N143">
        <f ca="1">IF($C143-N$1&lt;År1,0,M142*(1-VLOOKUP($A143,[1]Hugst!$R$5:$W$9,MATCH(ROUNDUP((N$1)/10,0)*10,[1]Hugst!$R$4:$W$4,0))))</f>
        <v>359.73596259699673</v>
      </c>
      <c r="O143">
        <f ca="1">IF($C143-O$1&lt;År1,0,N142*(1-VLOOKUP($A143,[1]Hugst!$R$5:$W$9,MATCH(ROUNDUP((O$1)/10,0)*10,[1]Hugst!$R$4:$W$4,0))))</f>
        <v>360.2584169212887</v>
      </c>
      <c r="P143">
        <f ca="1">IF($C143-P$1&lt;År1,0,O142*(1-VLOOKUP($A143,[1]Hugst!$R$5:$W$9,MATCH(ROUNDUP((P$1)/10,0)*10,[1]Hugst!$R$4:$W$4,0))))</f>
        <v>360.7834966441892</v>
      </c>
      <c r="Q143">
        <f ca="1">IF($C143-Q$1&lt;År1,0,P142*(1-VLOOKUP($A143,[1]Hugst!$R$5:$W$9,MATCH(ROUNDUP((Q$1)/10,0)*10,[1]Hugst!$R$4:$W$4,0))))</f>
        <v>361.31121495866228</v>
      </c>
      <c r="R143">
        <f ca="1">IF($C143-R$1&lt;År1,0,Q142*(1-VLOOKUP($A143,[1]Hugst!$R$5:$W$9,MATCH(ROUNDUP((R$1)/10,0)*10,[1]Hugst!$R$4:$W$4,0))))</f>
        <v>361.84158512396232</v>
      </c>
      <c r="S143">
        <f ca="1">IF($C143-S$1&lt;År1,0,R142*(1-VLOOKUP($A143,[1]Hugst!$R$5:$W$9,MATCH(ROUNDUP((S$1)/10,0)*10,[1]Hugst!$R$4:$W$4,0))))</f>
        <v>362.37462046597341</v>
      </c>
      <c r="T143">
        <f ca="1">IF($C143-T$1&lt;År1,0,S142*(1-VLOOKUP($A143,[1]Hugst!$R$5:$W$9,MATCH(ROUNDUP((T$1)/10,0)*10,[1]Hugst!$R$4:$W$4,0))))</f>
        <v>362.9103343775422</v>
      </c>
      <c r="U143">
        <f ca="1">IF($C143-U$1&lt;År1,0,T142*(1-VLOOKUP($A143,[1]Hugst!$R$5:$W$9,MATCH(ROUNDUP((U$1)/10,0)*10,[1]Hugst!$R$4:$W$4,0))))</f>
        <v>363.44874031881761</v>
      </c>
      <c r="V143">
        <f ca="1">IF($C143-V$1&lt;År1,0,U142*(1-VLOOKUP($A143,[1]Hugst!$R$5:$W$9,MATCH(ROUNDUP((V$1)/10,0)*10,[1]Hugst!$R$4:$W$4,0))))</f>
        <v>363.98985181758314</v>
      </c>
      <c r="W143">
        <f ca="1">IF($C143-W$1&lt;År1,0,V142*(1-VLOOKUP($A143,[1]Hugst!$R$5:$W$9,MATCH(ROUNDUP((W$1)/10,0)*10,[1]Hugst!$R$4:$W$4,0))))</f>
        <v>364.53368246961463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55000000000000004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501.30275906451851</v>
      </c>
      <c r="G144">
        <f ca="1">IF($C144-G$1&lt;År1,0,F143*(1-VLOOKUP($A144,[1]Hugst!$R$5:$W$9,MATCH(ROUNDUP((G$1)/10,0)*10,[1]Hugst!$R$4:$W$4,0))))</f>
        <v>501.80216770826922</v>
      </c>
      <c r="H144">
        <f ca="1">IF($C144-H$1&lt;År1,0,G143*(1-VLOOKUP($A144,[1]Hugst!$R$5:$W$9,MATCH(ROUNDUP((H$1)/10,0)*10,[1]Hugst!$R$4:$W$4,0))))</f>
        <v>502.30408594319869</v>
      </c>
      <c r="I144">
        <f ca="1">IF($C144-I$1&lt;År1,0,H143*(1-VLOOKUP($A144,[1]Hugst!$R$5:$W$9,MATCH(ROUNDUP((I$1)/10,0)*10,[1]Hugst!$R$4:$W$4,0))))</f>
        <v>502.80852638031337</v>
      </c>
      <c r="J144">
        <f ca="1">IF($C144-J$1&lt;År1,0,I143*(1-VLOOKUP($A144,[1]Hugst!$R$5:$W$9,MATCH(ROUNDUP((J$1)/10,0)*10,[1]Hugst!$R$4:$W$4,0))))</f>
        <v>503.31550169399378</v>
      </c>
      <c r="K144">
        <f ca="1">IF($C144-K$1&lt;År1,0,J143*(1-VLOOKUP($A144,[1]Hugst!$R$5:$W$9,MATCH(ROUNDUP((K$1)/10,0)*10,[1]Hugst!$R$4:$W$4,0))))</f>
        <v>503.82502462231758</v>
      </c>
      <c r="L144">
        <f ca="1">IF($C144-L$1&lt;År1,0,K143*(1-VLOOKUP($A144,[1]Hugst!$R$5:$W$9,MATCH(ROUNDUP((L$1)/10,0)*10,[1]Hugst!$R$4:$W$4,0))))</f>
        <v>504.33710796736972</v>
      </c>
      <c r="M144">
        <f ca="1">IF($C144-M$1&lt;År1,0,L143*(1-VLOOKUP($A144,[1]Hugst!$R$5:$W$9,MATCH(ROUNDUP((M$1)/10,0)*10,[1]Hugst!$R$4:$W$4,0))))</f>
        <v>504.85176459555504</v>
      </c>
      <c r="N144">
        <f ca="1">IF($C144-N$1&lt;År1,0,M143*(1-VLOOKUP($A144,[1]Hugst!$R$5:$W$9,MATCH(ROUNDUP((N$1)/10,0)*10,[1]Hugst!$R$4:$W$4,0))))</f>
        <v>359.21612054433638</v>
      </c>
      <c r="O144">
        <f ca="1">IF($C144-O$1&lt;År1,0,N143*(1-VLOOKUP($A144,[1]Hugst!$R$5:$W$9,MATCH(ROUNDUP((O$1)/10,0)*10,[1]Hugst!$R$4:$W$4,0))))</f>
        <v>359.73596259699673</v>
      </c>
      <c r="P144">
        <f ca="1">IF($C144-P$1&lt;År1,0,O143*(1-VLOOKUP($A144,[1]Hugst!$R$5:$W$9,MATCH(ROUNDUP((P$1)/10,0)*10,[1]Hugst!$R$4:$W$4,0))))</f>
        <v>360.2584169212887</v>
      </c>
      <c r="Q144">
        <f ca="1">IF($C144-Q$1&lt;År1,0,P143*(1-VLOOKUP($A144,[1]Hugst!$R$5:$W$9,MATCH(ROUNDUP((Q$1)/10,0)*10,[1]Hugst!$R$4:$W$4,0))))</f>
        <v>360.7834966441892</v>
      </c>
      <c r="R144">
        <f ca="1">IF($C144-R$1&lt;År1,0,Q143*(1-VLOOKUP($A144,[1]Hugst!$R$5:$W$9,MATCH(ROUNDUP((R$1)/10,0)*10,[1]Hugst!$R$4:$W$4,0))))</f>
        <v>361.31121495866228</v>
      </c>
      <c r="S144">
        <f ca="1">IF($C144-S$1&lt;År1,0,R143*(1-VLOOKUP($A144,[1]Hugst!$R$5:$W$9,MATCH(ROUNDUP((S$1)/10,0)*10,[1]Hugst!$R$4:$W$4,0))))</f>
        <v>361.84158512396232</v>
      </c>
      <c r="T144">
        <f ca="1">IF($C144-T$1&lt;År1,0,S143*(1-VLOOKUP($A144,[1]Hugst!$R$5:$W$9,MATCH(ROUNDUP((T$1)/10,0)*10,[1]Hugst!$R$4:$W$4,0))))</f>
        <v>362.37462046597341</v>
      </c>
      <c r="U144">
        <f ca="1">IF($C144-U$1&lt;År1,0,T143*(1-VLOOKUP($A144,[1]Hugst!$R$5:$W$9,MATCH(ROUNDUP((U$1)/10,0)*10,[1]Hugst!$R$4:$W$4,0))))</f>
        <v>362.9103343775422</v>
      </c>
      <c r="V144">
        <f ca="1">IF($C144-V$1&lt;År1,0,U143*(1-VLOOKUP($A144,[1]Hugst!$R$5:$W$9,MATCH(ROUNDUP((V$1)/10,0)*10,[1]Hugst!$R$4:$W$4,0))))</f>
        <v>363.44874031881761</v>
      </c>
      <c r="W144">
        <f ca="1">IF($C144-W$1&lt;År1,0,V143*(1-VLOOKUP($A144,[1]Hugst!$R$5:$W$9,MATCH(ROUNDUP((W$1)/10,0)*10,[1]Hugst!$R$4:$W$4,0))))</f>
        <v>363.98985181758314</v>
      </c>
      <c r="X144">
        <f ca="1">IF($C144-X$1&lt;År1,0,W143*(1-VLOOKUP($A144,[1]Hugst!$R$5:$W$9,MATCH(ROUNDUP((X$1)/10,0)*10,[1]Hugst!$R$4:$W$4,0))))</f>
        <v>364.53368246961463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55000000000000004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500.80584746397761</v>
      </c>
      <c r="G145">
        <f ca="1">IF($C145-G$1&lt;År1,0,F144*(1-VLOOKUP($A145,[1]Hugst!$R$5:$W$9,MATCH(ROUNDUP((G$1)/10,0)*10,[1]Hugst!$R$4:$W$4,0))))</f>
        <v>501.30275906451851</v>
      </c>
      <c r="H145">
        <f ca="1">IF($C145-H$1&lt;År1,0,G144*(1-VLOOKUP($A145,[1]Hugst!$R$5:$W$9,MATCH(ROUNDUP((H$1)/10,0)*10,[1]Hugst!$R$4:$W$4,0))))</f>
        <v>501.80216770826922</v>
      </c>
      <c r="I145">
        <f ca="1">IF($C145-I$1&lt;År1,0,H144*(1-VLOOKUP($A145,[1]Hugst!$R$5:$W$9,MATCH(ROUNDUP((I$1)/10,0)*10,[1]Hugst!$R$4:$W$4,0))))</f>
        <v>502.30408594319869</v>
      </c>
      <c r="J145">
        <f ca="1">IF($C145-J$1&lt;År1,0,I144*(1-VLOOKUP($A145,[1]Hugst!$R$5:$W$9,MATCH(ROUNDUP((J$1)/10,0)*10,[1]Hugst!$R$4:$W$4,0))))</f>
        <v>502.80852638031337</v>
      </c>
      <c r="K145">
        <f ca="1">IF($C145-K$1&lt;År1,0,J144*(1-VLOOKUP($A145,[1]Hugst!$R$5:$W$9,MATCH(ROUNDUP((K$1)/10,0)*10,[1]Hugst!$R$4:$W$4,0))))</f>
        <v>503.31550169399378</v>
      </c>
      <c r="L145">
        <f ca="1">IF($C145-L$1&lt;År1,0,K144*(1-VLOOKUP($A145,[1]Hugst!$R$5:$W$9,MATCH(ROUNDUP((L$1)/10,0)*10,[1]Hugst!$R$4:$W$4,0))))</f>
        <v>503.82502462231758</v>
      </c>
      <c r="M145">
        <f ca="1">IF($C145-M$1&lt;År1,0,L144*(1-VLOOKUP($A145,[1]Hugst!$R$5:$W$9,MATCH(ROUNDUP((M$1)/10,0)*10,[1]Hugst!$R$4:$W$4,0))))</f>
        <v>504.33710796736972</v>
      </c>
      <c r="N145">
        <f ca="1">IF($C145-N$1&lt;År1,0,M144*(1-VLOOKUP($A145,[1]Hugst!$R$5:$W$9,MATCH(ROUNDUP((N$1)/10,0)*10,[1]Hugst!$R$4:$W$4,0))))</f>
        <v>504.85176459555504</v>
      </c>
      <c r="O145">
        <f ca="1">IF($C145-O$1&lt;År1,0,N144*(1-VLOOKUP($A145,[1]Hugst!$R$5:$W$9,MATCH(ROUNDUP((O$1)/10,0)*10,[1]Hugst!$R$4:$W$4,0))))</f>
        <v>359.21612054433638</v>
      </c>
      <c r="P145">
        <f ca="1">IF($C145-P$1&lt;År1,0,O144*(1-VLOOKUP($A145,[1]Hugst!$R$5:$W$9,MATCH(ROUNDUP((P$1)/10,0)*10,[1]Hugst!$R$4:$W$4,0))))</f>
        <v>359.73596259699673</v>
      </c>
      <c r="Q145">
        <f ca="1">IF($C145-Q$1&lt;År1,0,P144*(1-VLOOKUP($A145,[1]Hugst!$R$5:$W$9,MATCH(ROUNDUP((Q$1)/10,0)*10,[1]Hugst!$R$4:$W$4,0))))</f>
        <v>360.2584169212887</v>
      </c>
      <c r="R145">
        <f ca="1">IF($C145-R$1&lt;År1,0,Q144*(1-VLOOKUP($A145,[1]Hugst!$R$5:$W$9,MATCH(ROUNDUP((R$1)/10,0)*10,[1]Hugst!$R$4:$W$4,0))))</f>
        <v>360.7834966441892</v>
      </c>
      <c r="S145">
        <f ca="1">IF($C145-S$1&lt;År1,0,R144*(1-VLOOKUP($A145,[1]Hugst!$R$5:$W$9,MATCH(ROUNDUP((S$1)/10,0)*10,[1]Hugst!$R$4:$W$4,0))))</f>
        <v>361.31121495866228</v>
      </c>
      <c r="T145">
        <f ca="1">IF($C145-T$1&lt;År1,0,S144*(1-VLOOKUP($A145,[1]Hugst!$R$5:$W$9,MATCH(ROUNDUP((T$1)/10,0)*10,[1]Hugst!$R$4:$W$4,0))))</f>
        <v>361.84158512396232</v>
      </c>
      <c r="U145">
        <f ca="1">IF($C145-U$1&lt;År1,0,T144*(1-VLOOKUP($A145,[1]Hugst!$R$5:$W$9,MATCH(ROUNDUP((U$1)/10,0)*10,[1]Hugst!$R$4:$W$4,0))))</f>
        <v>362.37462046597341</v>
      </c>
      <c r="V145">
        <f ca="1">IF($C145-V$1&lt;År1,0,U144*(1-VLOOKUP($A145,[1]Hugst!$R$5:$W$9,MATCH(ROUNDUP((V$1)/10,0)*10,[1]Hugst!$R$4:$W$4,0))))</f>
        <v>362.9103343775422</v>
      </c>
      <c r="W145">
        <f ca="1">IF($C145-W$1&lt;År1,0,V144*(1-VLOOKUP($A145,[1]Hugst!$R$5:$W$9,MATCH(ROUNDUP((W$1)/10,0)*10,[1]Hugst!$R$4:$W$4,0))))</f>
        <v>363.44874031881761</v>
      </c>
      <c r="X145">
        <f ca="1">IF($C145-X$1&lt;År1,0,W144*(1-VLOOKUP($A145,[1]Hugst!$R$5:$W$9,MATCH(ROUNDUP((X$1)/10,0)*10,[1]Hugst!$R$4:$W$4,0))))</f>
        <v>363.98985181758314</v>
      </c>
      <c r="Y145">
        <f ca="1">IF($C145-Y$1&lt;År1,0,X144*(1-VLOOKUP($A145,[1]Hugst!$R$5:$W$9,MATCH(ROUNDUP((Y$1)/10,0)*10,[1]Hugst!$R$4:$W$4,0))))</f>
        <v>364.53368246961463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55000000000000004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500.31142042144751</v>
      </c>
      <c r="G146">
        <f ca="1">IF($C146-G$1&lt;År1,0,F145*(1-VLOOKUP($A146,[1]Hugst!$R$5:$W$9,MATCH(ROUNDUP((G$1)/10,0)*10,[1]Hugst!$R$4:$W$4,0))))</f>
        <v>500.80584746397761</v>
      </c>
      <c r="H146">
        <f ca="1">IF($C146-H$1&lt;År1,0,G145*(1-VLOOKUP($A146,[1]Hugst!$R$5:$W$9,MATCH(ROUNDUP((H$1)/10,0)*10,[1]Hugst!$R$4:$W$4,0))))</f>
        <v>501.30275906451851</v>
      </c>
      <c r="I146">
        <f ca="1">IF($C146-I$1&lt;År1,0,H145*(1-VLOOKUP($A146,[1]Hugst!$R$5:$W$9,MATCH(ROUNDUP((I$1)/10,0)*10,[1]Hugst!$R$4:$W$4,0))))</f>
        <v>501.80216770826922</v>
      </c>
      <c r="J146">
        <f ca="1">IF($C146-J$1&lt;År1,0,I145*(1-VLOOKUP($A146,[1]Hugst!$R$5:$W$9,MATCH(ROUNDUP((J$1)/10,0)*10,[1]Hugst!$R$4:$W$4,0))))</f>
        <v>502.30408594319869</v>
      </c>
      <c r="K146">
        <f ca="1">IF($C146-K$1&lt;År1,0,J145*(1-VLOOKUP($A146,[1]Hugst!$R$5:$W$9,MATCH(ROUNDUP((K$1)/10,0)*10,[1]Hugst!$R$4:$W$4,0))))</f>
        <v>502.80852638031337</v>
      </c>
      <c r="L146">
        <f ca="1">IF($C146-L$1&lt;År1,0,K145*(1-VLOOKUP($A146,[1]Hugst!$R$5:$W$9,MATCH(ROUNDUP((L$1)/10,0)*10,[1]Hugst!$R$4:$W$4,0))))</f>
        <v>503.31550169399378</v>
      </c>
      <c r="M146">
        <f ca="1">IF($C146-M$1&lt;År1,0,L145*(1-VLOOKUP($A146,[1]Hugst!$R$5:$W$9,MATCH(ROUNDUP((M$1)/10,0)*10,[1]Hugst!$R$4:$W$4,0))))</f>
        <v>503.82502462231758</v>
      </c>
      <c r="N146">
        <f ca="1">IF($C146-N$1&lt;År1,0,M145*(1-VLOOKUP($A146,[1]Hugst!$R$5:$W$9,MATCH(ROUNDUP((N$1)/10,0)*10,[1]Hugst!$R$4:$W$4,0))))</f>
        <v>504.33710796736972</v>
      </c>
      <c r="O146">
        <f ca="1">IF($C146-O$1&lt;År1,0,N145*(1-VLOOKUP($A146,[1]Hugst!$R$5:$W$9,MATCH(ROUNDUP((O$1)/10,0)*10,[1]Hugst!$R$4:$W$4,0))))</f>
        <v>504.85176459555504</v>
      </c>
      <c r="P146">
        <f ca="1">IF($C146-P$1&lt;År1,0,O145*(1-VLOOKUP($A146,[1]Hugst!$R$5:$W$9,MATCH(ROUNDUP((P$1)/10,0)*10,[1]Hugst!$R$4:$W$4,0))))</f>
        <v>359.21612054433638</v>
      </c>
      <c r="Q146">
        <f ca="1">IF($C146-Q$1&lt;År1,0,P145*(1-VLOOKUP($A146,[1]Hugst!$R$5:$W$9,MATCH(ROUNDUP((Q$1)/10,0)*10,[1]Hugst!$R$4:$W$4,0))))</f>
        <v>359.73596259699673</v>
      </c>
      <c r="R146">
        <f ca="1">IF($C146-R$1&lt;År1,0,Q145*(1-VLOOKUP($A146,[1]Hugst!$R$5:$W$9,MATCH(ROUNDUP((R$1)/10,0)*10,[1]Hugst!$R$4:$W$4,0))))</f>
        <v>360.2584169212887</v>
      </c>
      <c r="S146">
        <f ca="1">IF($C146-S$1&lt;År1,0,R145*(1-VLOOKUP($A146,[1]Hugst!$R$5:$W$9,MATCH(ROUNDUP((S$1)/10,0)*10,[1]Hugst!$R$4:$W$4,0))))</f>
        <v>360.7834966441892</v>
      </c>
      <c r="T146">
        <f ca="1">IF($C146-T$1&lt;År1,0,S145*(1-VLOOKUP($A146,[1]Hugst!$R$5:$W$9,MATCH(ROUNDUP((T$1)/10,0)*10,[1]Hugst!$R$4:$W$4,0))))</f>
        <v>361.31121495866228</v>
      </c>
      <c r="U146">
        <f ca="1">IF($C146-U$1&lt;År1,0,T145*(1-VLOOKUP($A146,[1]Hugst!$R$5:$W$9,MATCH(ROUNDUP((U$1)/10,0)*10,[1]Hugst!$R$4:$W$4,0))))</f>
        <v>361.84158512396232</v>
      </c>
      <c r="V146">
        <f ca="1">IF($C146-V$1&lt;År1,0,U145*(1-VLOOKUP($A146,[1]Hugst!$R$5:$W$9,MATCH(ROUNDUP((V$1)/10,0)*10,[1]Hugst!$R$4:$W$4,0))))</f>
        <v>362.37462046597341</v>
      </c>
      <c r="W146">
        <f ca="1">IF($C146-W$1&lt;År1,0,V145*(1-VLOOKUP($A146,[1]Hugst!$R$5:$W$9,MATCH(ROUNDUP((W$1)/10,0)*10,[1]Hugst!$R$4:$W$4,0))))</f>
        <v>362.9103343775422</v>
      </c>
      <c r="X146">
        <f ca="1">IF($C146-X$1&lt;År1,0,W145*(1-VLOOKUP($A146,[1]Hugst!$R$5:$W$9,MATCH(ROUNDUP((X$1)/10,0)*10,[1]Hugst!$R$4:$W$4,0))))</f>
        <v>363.44874031881761</v>
      </c>
      <c r="Y146">
        <f ca="1">IF($C146-Y$1&lt;År1,0,X145*(1-VLOOKUP($A146,[1]Hugst!$R$5:$W$9,MATCH(ROUNDUP((Y$1)/10,0)*10,[1]Hugst!$R$4:$W$4,0))))</f>
        <v>363.98985181758314</v>
      </c>
      <c r="Z146">
        <f ca="1">IF($C146-Z$1&lt;År1,0,Y145*(1-VLOOKUP($A146,[1]Hugst!$R$5:$W$9,MATCH(ROUNDUP((Z$1)/10,0)*10,[1]Hugst!$R$4:$W$4,0))))</f>
        <v>364.53368246961463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55000000000000004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499.8194655141296</v>
      </c>
      <c r="G147">
        <f ca="1">IF($C147-G$1&lt;År1,0,F146*(1-VLOOKUP($A147,[1]Hugst!$R$5:$W$9,MATCH(ROUNDUP((G$1)/10,0)*10,[1]Hugst!$R$4:$W$4,0))))</f>
        <v>500.31142042144751</v>
      </c>
      <c r="H147">
        <f ca="1">IF($C147-H$1&lt;År1,0,G146*(1-VLOOKUP($A147,[1]Hugst!$R$5:$W$9,MATCH(ROUNDUP((H$1)/10,0)*10,[1]Hugst!$R$4:$W$4,0))))</f>
        <v>500.80584746397761</v>
      </c>
      <c r="I147">
        <f ca="1">IF($C147-I$1&lt;År1,0,H146*(1-VLOOKUP($A147,[1]Hugst!$R$5:$W$9,MATCH(ROUNDUP((I$1)/10,0)*10,[1]Hugst!$R$4:$W$4,0))))</f>
        <v>501.30275906451851</v>
      </c>
      <c r="J147">
        <f ca="1">IF($C147-J$1&lt;År1,0,I146*(1-VLOOKUP($A147,[1]Hugst!$R$5:$W$9,MATCH(ROUNDUP((J$1)/10,0)*10,[1]Hugst!$R$4:$W$4,0))))</f>
        <v>501.80216770826922</v>
      </c>
      <c r="K147">
        <f ca="1">IF($C147-K$1&lt;År1,0,J146*(1-VLOOKUP($A147,[1]Hugst!$R$5:$W$9,MATCH(ROUNDUP((K$1)/10,0)*10,[1]Hugst!$R$4:$W$4,0))))</f>
        <v>502.30408594319869</v>
      </c>
      <c r="L147">
        <f ca="1">IF($C147-L$1&lt;År1,0,K146*(1-VLOOKUP($A147,[1]Hugst!$R$5:$W$9,MATCH(ROUNDUP((L$1)/10,0)*10,[1]Hugst!$R$4:$W$4,0))))</f>
        <v>502.80852638031337</v>
      </c>
      <c r="M147">
        <f ca="1">IF($C147-M$1&lt;År1,0,L146*(1-VLOOKUP($A147,[1]Hugst!$R$5:$W$9,MATCH(ROUNDUP((M$1)/10,0)*10,[1]Hugst!$R$4:$W$4,0))))</f>
        <v>503.31550169399378</v>
      </c>
      <c r="N147">
        <f ca="1">IF($C147-N$1&lt;År1,0,M146*(1-VLOOKUP($A147,[1]Hugst!$R$5:$W$9,MATCH(ROUNDUP((N$1)/10,0)*10,[1]Hugst!$R$4:$W$4,0))))</f>
        <v>503.82502462231758</v>
      </c>
      <c r="O147">
        <f ca="1">IF($C147-O$1&lt;År1,0,N146*(1-VLOOKUP($A147,[1]Hugst!$R$5:$W$9,MATCH(ROUNDUP((O$1)/10,0)*10,[1]Hugst!$R$4:$W$4,0))))</f>
        <v>504.33710796736972</v>
      </c>
      <c r="P147">
        <f ca="1">IF($C147-P$1&lt;År1,0,O146*(1-VLOOKUP($A147,[1]Hugst!$R$5:$W$9,MATCH(ROUNDUP((P$1)/10,0)*10,[1]Hugst!$R$4:$W$4,0))))</f>
        <v>504.85176459555504</v>
      </c>
      <c r="Q147">
        <f ca="1">IF($C147-Q$1&lt;År1,0,P146*(1-VLOOKUP($A147,[1]Hugst!$R$5:$W$9,MATCH(ROUNDUP((Q$1)/10,0)*10,[1]Hugst!$R$4:$W$4,0))))</f>
        <v>359.21612054433638</v>
      </c>
      <c r="R147">
        <f ca="1">IF($C147-R$1&lt;År1,0,Q146*(1-VLOOKUP($A147,[1]Hugst!$R$5:$W$9,MATCH(ROUNDUP((R$1)/10,0)*10,[1]Hugst!$R$4:$W$4,0))))</f>
        <v>359.73596259699673</v>
      </c>
      <c r="S147">
        <f ca="1">IF($C147-S$1&lt;År1,0,R146*(1-VLOOKUP($A147,[1]Hugst!$R$5:$W$9,MATCH(ROUNDUP((S$1)/10,0)*10,[1]Hugst!$R$4:$W$4,0))))</f>
        <v>360.2584169212887</v>
      </c>
      <c r="T147">
        <f ca="1">IF($C147-T$1&lt;År1,0,S146*(1-VLOOKUP($A147,[1]Hugst!$R$5:$W$9,MATCH(ROUNDUP((T$1)/10,0)*10,[1]Hugst!$R$4:$W$4,0))))</f>
        <v>360.7834966441892</v>
      </c>
      <c r="U147">
        <f ca="1">IF($C147-U$1&lt;År1,0,T146*(1-VLOOKUP($A147,[1]Hugst!$R$5:$W$9,MATCH(ROUNDUP((U$1)/10,0)*10,[1]Hugst!$R$4:$W$4,0))))</f>
        <v>361.31121495866228</v>
      </c>
      <c r="V147">
        <f ca="1">IF($C147-V$1&lt;År1,0,U146*(1-VLOOKUP($A147,[1]Hugst!$R$5:$W$9,MATCH(ROUNDUP((V$1)/10,0)*10,[1]Hugst!$R$4:$W$4,0))))</f>
        <v>361.84158512396232</v>
      </c>
      <c r="W147">
        <f ca="1">IF($C147-W$1&lt;År1,0,V146*(1-VLOOKUP($A147,[1]Hugst!$R$5:$W$9,MATCH(ROUNDUP((W$1)/10,0)*10,[1]Hugst!$R$4:$W$4,0))))</f>
        <v>362.37462046597341</v>
      </c>
      <c r="X147">
        <f ca="1">IF($C147-X$1&lt;År1,0,W146*(1-VLOOKUP($A147,[1]Hugst!$R$5:$W$9,MATCH(ROUNDUP((X$1)/10,0)*10,[1]Hugst!$R$4:$W$4,0))))</f>
        <v>362.9103343775422</v>
      </c>
      <c r="Y147">
        <f ca="1">IF($C147-Y$1&lt;År1,0,X146*(1-VLOOKUP($A147,[1]Hugst!$R$5:$W$9,MATCH(ROUNDUP((Y$1)/10,0)*10,[1]Hugst!$R$4:$W$4,0))))</f>
        <v>363.44874031881761</v>
      </c>
      <c r="Z147">
        <f ca="1">IF($C147-Z$1&lt;År1,0,Y146*(1-VLOOKUP($A147,[1]Hugst!$R$5:$W$9,MATCH(ROUNDUP((Z$1)/10,0)*10,[1]Hugst!$R$4:$W$4,0))))</f>
        <v>363.98985181758314</v>
      </c>
      <c r="AA147">
        <f ca="1">IF($C147-AA$1&lt;År1,0,Z146*(1-VLOOKUP($A147,[1]Hugst!$R$5:$W$9,MATCH(ROUNDUP((AA$1)/10,0)*10,[1]Hugst!$R$4:$W$4,0))))</f>
        <v>364.53368246961463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55000000000000004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499.32997038134494</v>
      </c>
      <c r="G148">
        <f ca="1">IF($C148-G$1&lt;År1,0,F147*(1-VLOOKUP($A148,[1]Hugst!$R$5:$W$9,MATCH(ROUNDUP((G$1)/10,0)*10,[1]Hugst!$R$4:$W$4,0))))</f>
        <v>499.8194655141296</v>
      </c>
      <c r="H148">
        <f ca="1">IF($C148-H$1&lt;År1,0,G147*(1-VLOOKUP($A148,[1]Hugst!$R$5:$W$9,MATCH(ROUNDUP((H$1)/10,0)*10,[1]Hugst!$R$4:$W$4,0))))</f>
        <v>500.31142042144751</v>
      </c>
      <c r="I148">
        <f ca="1">IF($C148-I$1&lt;År1,0,H147*(1-VLOOKUP($A148,[1]Hugst!$R$5:$W$9,MATCH(ROUNDUP((I$1)/10,0)*10,[1]Hugst!$R$4:$W$4,0))))</f>
        <v>500.80584746397761</v>
      </c>
      <c r="J148">
        <f ca="1">IF($C148-J$1&lt;År1,0,I147*(1-VLOOKUP($A148,[1]Hugst!$R$5:$W$9,MATCH(ROUNDUP((J$1)/10,0)*10,[1]Hugst!$R$4:$W$4,0))))</f>
        <v>501.30275906451851</v>
      </c>
      <c r="K148">
        <f ca="1">IF($C148-K$1&lt;År1,0,J147*(1-VLOOKUP($A148,[1]Hugst!$R$5:$W$9,MATCH(ROUNDUP((K$1)/10,0)*10,[1]Hugst!$R$4:$W$4,0))))</f>
        <v>501.80216770826922</v>
      </c>
      <c r="L148">
        <f ca="1">IF($C148-L$1&lt;År1,0,K147*(1-VLOOKUP($A148,[1]Hugst!$R$5:$W$9,MATCH(ROUNDUP((L$1)/10,0)*10,[1]Hugst!$R$4:$W$4,0))))</f>
        <v>502.30408594319869</v>
      </c>
      <c r="M148">
        <f ca="1">IF($C148-M$1&lt;År1,0,L147*(1-VLOOKUP($A148,[1]Hugst!$R$5:$W$9,MATCH(ROUNDUP((M$1)/10,0)*10,[1]Hugst!$R$4:$W$4,0))))</f>
        <v>502.80852638031337</v>
      </c>
      <c r="N148">
        <f ca="1">IF($C148-N$1&lt;År1,0,M147*(1-VLOOKUP($A148,[1]Hugst!$R$5:$W$9,MATCH(ROUNDUP((N$1)/10,0)*10,[1]Hugst!$R$4:$W$4,0))))</f>
        <v>503.31550169399378</v>
      </c>
      <c r="O148">
        <f ca="1">IF($C148-O$1&lt;År1,0,N147*(1-VLOOKUP($A148,[1]Hugst!$R$5:$W$9,MATCH(ROUNDUP((O$1)/10,0)*10,[1]Hugst!$R$4:$W$4,0))))</f>
        <v>503.82502462231758</v>
      </c>
      <c r="P148">
        <f ca="1">IF($C148-P$1&lt;År1,0,O147*(1-VLOOKUP($A148,[1]Hugst!$R$5:$W$9,MATCH(ROUNDUP((P$1)/10,0)*10,[1]Hugst!$R$4:$W$4,0))))</f>
        <v>504.33710796736972</v>
      </c>
      <c r="Q148">
        <f ca="1">IF($C148-Q$1&lt;År1,0,P147*(1-VLOOKUP($A148,[1]Hugst!$R$5:$W$9,MATCH(ROUNDUP((Q$1)/10,0)*10,[1]Hugst!$R$4:$W$4,0))))</f>
        <v>504.85176459555504</v>
      </c>
      <c r="R148">
        <f ca="1">IF($C148-R$1&lt;År1,0,Q147*(1-VLOOKUP($A148,[1]Hugst!$R$5:$W$9,MATCH(ROUNDUP((R$1)/10,0)*10,[1]Hugst!$R$4:$W$4,0))))</f>
        <v>359.21612054433638</v>
      </c>
      <c r="S148">
        <f ca="1">IF($C148-S$1&lt;År1,0,R147*(1-VLOOKUP($A148,[1]Hugst!$R$5:$W$9,MATCH(ROUNDUP((S$1)/10,0)*10,[1]Hugst!$R$4:$W$4,0))))</f>
        <v>359.73596259699673</v>
      </c>
      <c r="T148">
        <f ca="1">IF($C148-T$1&lt;År1,0,S147*(1-VLOOKUP($A148,[1]Hugst!$R$5:$W$9,MATCH(ROUNDUP((T$1)/10,0)*10,[1]Hugst!$R$4:$W$4,0))))</f>
        <v>360.2584169212887</v>
      </c>
      <c r="U148">
        <f ca="1">IF($C148-U$1&lt;År1,0,T147*(1-VLOOKUP($A148,[1]Hugst!$R$5:$W$9,MATCH(ROUNDUP((U$1)/10,0)*10,[1]Hugst!$R$4:$W$4,0))))</f>
        <v>360.7834966441892</v>
      </c>
      <c r="V148">
        <f ca="1">IF($C148-V$1&lt;År1,0,U147*(1-VLOOKUP($A148,[1]Hugst!$R$5:$W$9,MATCH(ROUNDUP((V$1)/10,0)*10,[1]Hugst!$R$4:$W$4,0))))</f>
        <v>361.31121495866228</v>
      </c>
      <c r="W148">
        <f ca="1">IF($C148-W$1&lt;År1,0,V147*(1-VLOOKUP($A148,[1]Hugst!$R$5:$W$9,MATCH(ROUNDUP((W$1)/10,0)*10,[1]Hugst!$R$4:$W$4,0))))</f>
        <v>361.84158512396232</v>
      </c>
      <c r="X148">
        <f ca="1">IF($C148-X$1&lt;År1,0,W147*(1-VLOOKUP($A148,[1]Hugst!$R$5:$W$9,MATCH(ROUNDUP((X$1)/10,0)*10,[1]Hugst!$R$4:$W$4,0))))</f>
        <v>362.37462046597341</v>
      </c>
      <c r="Y148">
        <f ca="1">IF($C148-Y$1&lt;År1,0,X147*(1-VLOOKUP($A148,[1]Hugst!$R$5:$W$9,MATCH(ROUNDUP((Y$1)/10,0)*10,[1]Hugst!$R$4:$W$4,0))))</f>
        <v>362.9103343775422</v>
      </c>
      <c r="Z148">
        <f ca="1">IF($C148-Z$1&lt;År1,0,Y147*(1-VLOOKUP($A148,[1]Hugst!$R$5:$W$9,MATCH(ROUNDUP((Z$1)/10,0)*10,[1]Hugst!$R$4:$W$4,0))))</f>
        <v>363.44874031881761</v>
      </c>
      <c r="AA148">
        <f ca="1">IF($C148-AA$1&lt;År1,0,Z147*(1-VLOOKUP($A148,[1]Hugst!$R$5:$W$9,MATCH(ROUNDUP((AA$1)/10,0)*10,[1]Hugst!$R$4:$W$4,0))))</f>
        <v>363.98985181758314</v>
      </c>
      <c r="AB148">
        <f ca="1">IF($C148-AB$1&lt;År1,0,AA147*(1-VLOOKUP($A148,[1]Hugst!$R$5:$W$9,MATCH(ROUNDUP((AB$1)/10,0)*10,[1]Hugst!$R$4:$W$4,0))))</f>
        <v>364.53368246961463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55000000000000004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498.84292272422448</v>
      </c>
      <c r="G149">
        <f ca="1">IF($C149-G$1&lt;År1,0,F148*(1-VLOOKUP($A149,[1]Hugst!$R$5:$W$9,MATCH(ROUNDUP((G$1)/10,0)*10,[1]Hugst!$R$4:$W$4,0))))</f>
        <v>499.32997038134494</v>
      </c>
      <c r="H149">
        <f ca="1">IF($C149-H$1&lt;År1,0,G148*(1-VLOOKUP($A149,[1]Hugst!$R$5:$W$9,MATCH(ROUNDUP((H$1)/10,0)*10,[1]Hugst!$R$4:$W$4,0))))</f>
        <v>499.8194655141296</v>
      </c>
      <c r="I149">
        <f ca="1">IF($C149-I$1&lt;År1,0,H148*(1-VLOOKUP($A149,[1]Hugst!$R$5:$W$9,MATCH(ROUNDUP((I$1)/10,0)*10,[1]Hugst!$R$4:$W$4,0))))</f>
        <v>500.31142042144751</v>
      </c>
      <c r="J149">
        <f ca="1">IF($C149-J$1&lt;År1,0,I148*(1-VLOOKUP($A149,[1]Hugst!$R$5:$W$9,MATCH(ROUNDUP((J$1)/10,0)*10,[1]Hugst!$R$4:$W$4,0))))</f>
        <v>500.80584746397761</v>
      </c>
      <c r="K149">
        <f ca="1">IF($C149-K$1&lt;År1,0,J148*(1-VLOOKUP($A149,[1]Hugst!$R$5:$W$9,MATCH(ROUNDUP((K$1)/10,0)*10,[1]Hugst!$R$4:$W$4,0))))</f>
        <v>501.30275906451851</v>
      </c>
      <c r="L149">
        <f ca="1">IF($C149-L$1&lt;År1,0,K148*(1-VLOOKUP($A149,[1]Hugst!$R$5:$W$9,MATCH(ROUNDUP((L$1)/10,0)*10,[1]Hugst!$R$4:$W$4,0))))</f>
        <v>501.80216770826922</v>
      </c>
      <c r="M149">
        <f ca="1">IF($C149-M$1&lt;År1,0,L148*(1-VLOOKUP($A149,[1]Hugst!$R$5:$W$9,MATCH(ROUNDUP((M$1)/10,0)*10,[1]Hugst!$R$4:$W$4,0))))</f>
        <v>502.30408594319869</v>
      </c>
      <c r="N149">
        <f ca="1">IF($C149-N$1&lt;År1,0,M148*(1-VLOOKUP($A149,[1]Hugst!$R$5:$W$9,MATCH(ROUNDUP((N$1)/10,0)*10,[1]Hugst!$R$4:$W$4,0))))</f>
        <v>502.80852638031337</v>
      </c>
      <c r="O149">
        <f ca="1">IF($C149-O$1&lt;År1,0,N148*(1-VLOOKUP($A149,[1]Hugst!$R$5:$W$9,MATCH(ROUNDUP((O$1)/10,0)*10,[1]Hugst!$R$4:$W$4,0))))</f>
        <v>503.31550169399378</v>
      </c>
      <c r="P149">
        <f ca="1">IF($C149-P$1&lt;År1,0,O148*(1-VLOOKUP($A149,[1]Hugst!$R$5:$W$9,MATCH(ROUNDUP((P$1)/10,0)*10,[1]Hugst!$R$4:$W$4,0))))</f>
        <v>503.82502462231758</v>
      </c>
      <c r="Q149">
        <f ca="1">IF($C149-Q$1&lt;År1,0,P148*(1-VLOOKUP($A149,[1]Hugst!$R$5:$W$9,MATCH(ROUNDUP((Q$1)/10,0)*10,[1]Hugst!$R$4:$W$4,0))))</f>
        <v>504.33710796736972</v>
      </c>
      <c r="R149">
        <f ca="1">IF($C149-R$1&lt;År1,0,Q148*(1-VLOOKUP($A149,[1]Hugst!$R$5:$W$9,MATCH(ROUNDUP((R$1)/10,0)*10,[1]Hugst!$R$4:$W$4,0))))</f>
        <v>504.85176459555504</v>
      </c>
      <c r="S149">
        <f ca="1">IF($C149-S$1&lt;År1,0,R148*(1-VLOOKUP($A149,[1]Hugst!$R$5:$W$9,MATCH(ROUNDUP((S$1)/10,0)*10,[1]Hugst!$R$4:$W$4,0))))</f>
        <v>359.21612054433638</v>
      </c>
      <c r="T149">
        <f ca="1">IF($C149-T$1&lt;År1,0,S148*(1-VLOOKUP($A149,[1]Hugst!$R$5:$W$9,MATCH(ROUNDUP((T$1)/10,0)*10,[1]Hugst!$R$4:$W$4,0))))</f>
        <v>359.73596259699673</v>
      </c>
      <c r="U149">
        <f ca="1">IF($C149-U$1&lt;År1,0,T148*(1-VLOOKUP($A149,[1]Hugst!$R$5:$W$9,MATCH(ROUNDUP((U$1)/10,0)*10,[1]Hugst!$R$4:$W$4,0))))</f>
        <v>360.2584169212887</v>
      </c>
      <c r="V149">
        <f ca="1">IF($C149-V$1&lt;År1,0,U148*(1-VLOOKUP($A149,[1]Hugst!$R$5:$W$9,MATCH(ROUNDUP((V$1)/10,0)*10,[1]Hugst!$R$4:$W$4,0))))</f>
        <v>360.7834966441892</v>
      </c>
      <c r="W149">
        <f ca="1">IF($C149-W$1&lt;År1,0,V148*(1-VLOOKUP($A149,[1]Hugst!$R$5:$W$9,MATCH(ROUNDUP((W$1)/10,0)*10,[1]Hugst!$R$4:$W$4,0))))</f>
        <v>361.31121495866228</v>
      </c>
      <c r="X149">
        <f ca="1">IF($C149-X$1&lt;År1,0,W148*(1-VLOOKUP($A149,[1]Hugst!$R$5:$W$9,MATCH(ROUNDUP((X$1)/10,0)*10,[1]Hugst!$R$4:$W$4,0))))</f>
        <v>361.84158512396232</v>
      </c>
      <c r="Y149">
        <f ca="1">IF($C149-Y$1&lt;År1,0,X148*(1-VLOOKUP($A149,[1]Hugst!$R$5:$W$9,MATCH(ROUNDUP((Y$1)/10,0)*10,[1]Hugst!$R$4:$W$4,0))))</f>
        <v>362.37462046597341</v>
      </c>
      <c r="Z149">
        <f ca="1">IF($C149-Z$1&lt;År1,0,Y148*(1-VLOOKUP($A149,[1]Hugst!$R$5:$W$9,MATCH(ROUNDUP((Z$1)/10,0)*10,[1]Hugst!$R$4:$W$4,0))))</f>
        <v>362.9103343775422</v>
      </c>
      <c r="AA149">
        <f ca="1">IF($C149-AA$1&lt;År1,0,Z148*(1-VLOOKUP($A149,[1]Hugst!$R$5:$W$9,MATCH(ROUNDUP((AA$1)/10,0)*10,[1]Hugst!$R$4:$W$4,0))))</f>
        <v>363.44874031881761</v>
      </c>
      <c r="AB149">
        <f ca="1">IF($C149-AB$1&lt;År1,0,AA148*(1-VLOOKUP($A149,[1]Hugst!$R$5:$W$9,MATCH(ROUNDUP((AB$1)/10,0)*10,[1]Hugst!$R$4:$W$4,0))))</f>
        <v>363.98985181758314</v>
      </c>
      <c r="AC149">
        <f ca="1">IF($C149-AC$1&lt;År1,0,AB148*(1-VLOOKUP($A149,[1]Hugst!$R$5:$W$9,MATCH(ROUNDUP((AC$1)/10,0)*10,[1]Hugst!$R$4:$W$4,0))))</f>
        <v>364.53368246961463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55000000000000004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498.35831030539106</v>
      </c>
      <c r="G150">
        <f ca="1">IF($C150-G$1&lt;År1,0,F149*(1-VLOOKUP($A150,[1]Hugst!$R$5:$W$9,MATCH(ROUNDUP((G$1)/10,0)*10,[1]Hugst!$R$4:$W$4,0))))</f>
        <v>498.84292272422448</v>
      </c>
      <c r="H150">
        <f ca="1">IF($C150-H$1&lt;År1,0,G149*(1-VLOOKUP($A150,[1]Hugst!$R$5:$W$9,MATCH(ROUNDUP((H$1)/10,0)*10,[1]Hugst!$R$4:$W$4,0))))</f>
        <v>499.32997038134494</v>
      </c>
      <c r="I150">
        <f ca="1">IF($C150-I$1&lt;År1,0,H149*(1-VLOOKUP($A150,[1]Hugst!$R$5:$W$9,MATCH(ROUNDUP((I$1)/10,0)*10,[1]Hugst!$R$4:$W$4,0))))</f>
        <v>499.8194655141296</v>
      </c>
      <c r="J150">
        <f ca="1">IF($C150-J$1&lt;År1,0,I149*(1-VLOOKUP($A150,[1]Hugst!$R$5:$W$9,MATCH(ROUNDUP((J$1)/10,0)*10,[1]Hugst!$R$4:$W$4,0))))</f>
        <v>500.31142042144751</v>
      </c>
      <c r="K150">
        <f ca="1">IF($C150-K$1&lt;År1,0,J149*(1-VLOOKUP($A150,[1]Hugst!$R$5:$W$9,MATCH(ROUNDUP((K$1)/10,0)*10,[1]Hugst!$R$4:$W$4,0))))</f>
        <v>500.80584746397761</v>
      </c>
      <c r="L150">
        <f ca="1">IF($C150-L$1&lt;År1,0,K149*(1-VLOOKUP($A150,[1]Hugst!$R$5:$W$9,MATCH(ROUNDUP((L$1)/10,0)*10,[1]Hugst!$R$4:$W$4,0))))</f>
        <v>501.30275906451851</v>
      </c>
      <c r="M150">
        <f ca="1">IF($C150-M$1&lt;År1,0,L149*(1-VLOOKUP($A150,[1]Hugst!$R$5:$W$9,MATCH(ROUNDUP((M$1)/10,0)*10,[1]Hugst!$R$4:$W$4,0))))</f>
        <v>501.80216770826922</v>
      </c>
      <c r="N150">
        <f ca="1">IF($C150-N$1&lt;År1,0,M149*(1-VLOOKUP($A150,[1]Hugst!$R$5:$W$9,MATCH(ROUNDUP((N$1)/10,0)*10,[1]Hugst!$R$4:$W$4,0))))</f>
        <v>502.30408594319869</v>
      </c>
      <c r="O150">
        <f ca="1">IF($C150-O$1&lt;År1,0,N149*(1-VLOOKUP($A150,[1]Hugst!$R$5:$W$9,MATCH(ROUNDUP((O$1)/10,0)*10,[1]Hugst!$R$4:$W$4,0))))</f>
        <v>502.80852638031337</v>
      </c>
      <c r="P150">
        <f ca="1">IF($C150-P$1&lt;År1,0,O149*(1-VLOOKUP($A150,[1]Hugst!$R$5:$W$9,MATCH(ROUNDUP((P$1)/10,0)*10,[1]Hugst!$R$4:$W$4,0))))</f>
        <v>503.31550169399378</v>
      </c>
      <c r="Q150">
        <f ca="1">IF($C150-Q$1&lt;År1,0,P149*(1-VLOOKUP($A150,[1]Hugst!$R$5:$W$9,MATCH(ROUNDUP((Q$1)/10,0)*10,[1]Hugst!$R$4:$W$4,0))))</f>
        <v>503.82502462231758</v>
      </c>
      <c r="R150">
        <f ca="1">IF($C150-R$1&lt;År1,0,Q149*(1-VLOOKUP($A150,[1]Hugst!$R$5:$W$9,MATCH(ROUNDUP((R$1)/10,0)*10,[1]Hugst!$R$4:$W$4,0))))</f>
        <v>504.33710796736972</v>
      </c>
      <c r="S150">
        <f ca="1">IF($C150-S$1&lt;År1,0,R149*(1-VLOOKUP($A150,[1]Hugst!$R$5:$W$9,MATCH(ROUNDUP((S$1)/10,0)*10,[1]Hugst!$R$4:$W$4,0))))</f>
        <v>504.85176459555504</v>
      </c>
      <c r="T150">
        <f ca="1">IF($C150-T$1&lt;År1,0,S149*(1-VLOOKUP($A150,[1]Hugst!$R$5:$W$9,MATCH(ROUNDUP((T$1)/10,0)*10,[1]Hugst!$R$4:$W$4,0))))</f>
        <v>359.21612054433638</v>
      </c>
      <c r="U150">
        <f ca="1">IF($C150-U$1&lt;År1,0,T149*(1-VLOOKUP($A150,[1]Hugst!$R$5:$W$9,MATCH(ROUNDUP((U$1)/10,0)*10,[1]Hugst!$R$4:$W$4,0))))</f>
        <v>359.73596259699673</v>
      </c>
      <c r="V150">
        <f ca="1">IF($C150-V$1&lt;År1,0,U149*(1-VLOOKUP($A150,[1]Hugst!$R$5:$W$9,MATCH(ROUNDUP((V$1)/10,0)*10,[1]Hugst!$R$4:$W$4,0))))</f>
        <v>360.2584169212887</v>
      </c>
      <c r="W150">
        <f ca="1">IF($C150-W$1&lt;År1,0,V149*(1-VLOOKUP($A150,[1]Hugst!$R$5:$W$9,MATCH(ROUNDUP((W$1)/10,0)*10,[1]Hugst!$R$4:$W$4,0))))</f>
        <v>360.7834966441892</v>
      </c>
      <c r="X150">
        <f ca="1">IF($C150-X$1&lt;År1,0,W149*(1-VLOOKUP($A150,[1]Hugst!$R$5:$W$9,MATCH(ROUNDUP((X$1)/10,0)*10,[1]Hugst!$R$4:$W$4,0))))</f>
        <v>361.31121495866228</v>
      </c>
      <c r="Y150">
        <f ca="1">IF($C150-Y$1&lt;År1,0,X149*(1-VLOOKUP($A150,[1]Hugst!$R$5:$W$9,MATCH(ROUNDUP((Y$1)/10,0)*10,[1]Hugst!$R$4:$W$4,0))))</f>
        <v>361.84158512396232</v>
      </c>
      <c r="Z150">
        <f ca="1">IF($C150-Z$1&lt;År1,0,Y149*(1-VLOOKUP($A150,[1]Hugst!$R$5:$W$9,MATCH(ROUNDUP((Z$1)/10,0)*10,[1]Hugst!$R$4:$W$4,0))))</f>
        <v>362.37462046597341</v>
      </c>
      <c r="AA150">
        <f ca="1">IF($C150-AA$1&lt;År1,0,Z149*(1-VLOOKUP($A150,[1]Hugst!$R$5:$W$9,MATCH(ROUNDUP((AA$1)/10,0)*10,[1]Hugst!$R$4:$W$4,0))))</f>
        <v>362.9103343775422</v>
      </c>
      <c r="AB150">
        <f ca="1">IF($C150-AB$1&lt;År1,0,AA149*(1-VLOOKUP($A150,[1]Hugst!$R$5:$W$9,MATCH(ROUNDUP((AB$1)/10,0)*10,[1]Hugst!$R$4:$W$4,0))))</f>
        <v>363.44874031881761</v>
      </c>
      <c r="AC150">
        <f ca="1">IF($C150-AC$1&lt;År1,0,AB149*(1-VLOOKUP($A150,[1]Hugst!$R$5:$W$9,MATCH(ROUNDUP((AC$1)/10,0)*10,[1]Hugst!$R$4:$W$4,0))))</f>
        <v>363.98985181758314</v>
      </c>
      <c r="AD150">
        <f ca="1">IF($C150-AD$1&lt;År1,0,AC149*(1-VLOOKUP($A150,[1]Hugst!$R$5:$W$9,MATCH(ROUNDUP((AD$1)/10,0)*10,[1]Hugst!$R$4:$W$4,0))))</f>
        <v>364.53368246961463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55000000000000004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497.87612094865148</v>
      </c>
      <c r="G151">
        <f ca="1">IF($C151-G$1&lt;År1,0,F150*(1-VLOOKUP($A151,[1]Hugst!$R$5:$W$9,MATCH(ROUNDUP((G$1)/10,0)*10,[1]Hugst!$R$4:$W$4,0))))</f>
        <v>498.35831030539106</v>
      </c>
      <c r="H151">
        <f ca="1">IF($C151-H$1&lt;År1,0,G150*(1-VLOOKUP($A151,[1]Hugst!$R$5:$W$9,MATCH(ROUNDUP((H$1)/10,0)*10,[1]Hugst!$R$4:$W$4,0))))</f>
        <v>498.84292272422448</v>
      </c>
      <c r="I151">
        <f ca="1">IF($C151-I$1&lt;År1,0,H150*(1-VLOOKUP($A151,[1]Hugst!$R$5:$W$9,MATCH(ROUNDUP((I$1)/10,0)*10,[1]Hugst!$R$4:$W$4,0))))</f>
        <v>499.32997038134494</v>
      </c>
      <c r="J151">
        <f ca="1">IF($C151-J$1&lt;År1,0,I150*(1-VLOOKUP($A151,[1]Hugst!$R$5:$W$9,MATCH(ROUNDUP((J$1)/10,0)*10,[1]Hugst!$R$4:$W$4,0))))</f>
        <v>499.8194655141296</v>
      </c>
      <c r="K151">
        <f ca="1">IF($C151-K$1&lt;År1,0,J150*(1-VLOOKUP($A151,[1]Hugst!$R$5:$W$9,MATCH(ROUNDUP((K$1)/10,0)*10,[1]Hugst!$R$4:$W$4,0))))</f>
        <v>500.31142042144751</v>
      </c>
      <c r="L151">
        <f ca="1">IF($C151-L$1&lt;År1,0,K150*(1-VLOOKUP($A151,[1]Hugst!$R$5:$W$9,MATCH(ROUNDUP((L$1)/10,0)*10,[1]Hugst!$R$4:$W$4,0))))</f>
        <v>500.80584746397761</v>
      </c>
      <c r="M151">
        <f ca="1">IF($C151-M$1&lt;År1,0,L150*(1-VLOOKUP($A151,[1]Hugst!$R$5:$W$9,MATCH(ROUNDUP((M$1)/10,0)*10,[1]Hugst!$R$4:$W$4,0))))</f>
        <v>501.30275906451851</v>
      </c>
      <c r="N151">
        <f ca="1">IF($C151-N$1&lt;År1,0,M150*(1-VLOOKUP($A151,[1]Hugst!$R$5:$W$9,MATCH(ROUNDUP((N$1)/10,0)*10,[1]Hugst!$R$4:$W$4,0))))</f>
        <v>501.80216770826922</v>
      </c>
      <c r="O151">
        <f ca="1">IF($C151-O$1&lt;År1,0,N150*(1-VLOOKUP($A151,[1]Hugst!$R$5:$W$9,MATCH(ROUNDUP((O$1)/10,0)*10,[1]Hugst!$R$4:$W$4,0))))</f>
        <v>502.30408594319869</v>
      </c>
      <c r="P151">
        <f ca="1">IF($C151-P$1&lt;År1,0,O150*(1-VLOOKUP($A151,[1]Hugst!$R$5:$W$9,MATCH(ROUNDUP((P$1)/10,0)*10,[1]Hugst!$R$4:$W$4,0))))</f>
        <v>502.80852638031337</v>
      </c>
      <c r="Q151">
        <f ca="1">IF($C151-Q$1&lt;År1,0,P150*(1-VLOOKUP($A151,[1]Hugst!$R$5:$W$9,MATCH(ROUNDUP((Q$1)/10,0)*10,[1]Hugst!$R$4:$W$4,0))))</f>
        <v>503.31550169399378</v>
      </c>
      <c r="R151">
        <f ca="1">IF($C151-R$1&lt;År1,0,Q150*(1-VLOOKUP($A151,[1]Hugst!$R$5:$W$9,MATCH(ROUNDUP((R$1)/10,0)*10,[1]Hugst!$R$4:$W$4,0))))</f>
        <v>503.82502462231758</v>
      </c>
      <c r="S151">
        <f ca="1">IF($C151-S$1&lt;År1,0,R150*(1-VLOOKUP($A151,[1]Hugst!$R$5:$W$9,MATCH(ROUNDUP((S$1)/10,0)*10,[1]Hugst!$R$4:$W$4,0))))</f>
        <v>504.33710796736972</v>
      </c>
      <c r="T151">
        <f ca="1">IF($C151-T$1&lt;År1,0,S150*(1-VLOOKUP($A151,[1]Hugst!$R$5:$W$9,MATCH(ROUNDUP((T$1)/10,0)*10,[1]Hugst!$R$4:$W$4,0))))</f>
        <v>504.85176459555504</v>
      </c>
      <c r="U151">
        <f ca="1">IF($C151-U$1&lt;År1,0,T150*(1-VLOOKUP($A151,[1]Hugst!$R$5:$W$9,MATCH(ROUNDUP((U$1)/10,0)*10,[1]Hugst!$R$4:$W$4,0))))</f>
        <v>359.21612054433638</v>
      </c>
      <c r="V151">
        <f ca="1">IF($C151-V$1&lt;År1,0,U150*(1-VLOOKUP($A151,[1]Hugst!$R$5:$W$9,MATCH(ROUNDUP((V$1)/10,0)*10,[1]Hugst!$R$4:$W$4,0))))</f>
        <v>359.73596259699673</v>
      </c>
      <c r="W151">
        <f ca="1">IF($C151-W$1&lt;År1,0,V150*(1-VLOOKUP($A151,[1]Hugst!$R$5:$W$9,MATCH(ROUNDUP((W$1)/10,0)*10,[1]Hugst!$R$4:$W$4,0))))</f>
        <v>360.2584169212887</v>
      </c>
      <c r="X151">
        <f ca="1">IF($C151-X$1&lt;År1,0,W150*(1-VLOOKUP($A151,[1]Hugst!$R$5:$W$9,MATCH(ROUNDUP((X$1)/10,0)*10,[1]Hugst!$R$4:$W$4,0))))</f>
        <v>360.7834966441892</v>
      </c>
      <c r="Y151">
        <f ca="1">IF($C151-Y$1&lt;År1,0,X150*(1-VLOOKUP($A151,[1]Hugst!$R$5:$W$9,MATCH(ROUNDUP((Y$1)/10,0)*10,[1]Hugst!$R$4:$W$4,0))))</f>
        <v>361.31121495866228</v>
      </c>
      <c r="Z151">
        <f ca="1">IF($C151-Z$1&lt;År1,0,Y150*(1-VLOOKUP($A151,[1]Hugst!$R$5:$W$9,MATCH(ROUNDUP((Z$1)/10,0)*10,[1]Hugst!$R$4:$W$4,0))))</f>
        <v>361.84158512396232</v>
      </c>
      <c r="AA151">
        <f ca="1">IF($C151-AA$1&lt;År1,0,Z150*(1-VLOOKUP($A151,[1]Hugst!$R$5:$W$9,MATCH(ROUNDUP((AA$1)/10,0)*10,[1]Hugst!$R$4:$W$4,0))))</f>
        <v>362.37462046597341</v>
      </c>
      <c r="AB151">
        <f ca="1">IF($C151-AB$1&lt;År1,0,AA150*(1-VLOOKUP($A151,[1]Hugst!$R$5:$W$9,MATCH(ROUNDUP((AB$1)/10,0)*10,[1]Hugst!$R$4:$W$4,0))))</f>
        <v>362.9103343775422</v>
      </c>
      <c r="AC151">
        <f ca="1">IF($C151-AC$1&lt;År1,0,AB150*(1-VLOOKUP($A151,[1]Hugst!$R$5:$W$9,MATCH(ROUNDUP((AC$1)/10,0)*10,[1]Hugst!$R$4:$W$4,0))))</f>
        <v>363.44874031881761</v>
      </c>
      <c r="AD151">
        <f ca="1">IF($C151-AD$1&lt;År1,0,AC150*(1-VLOOKUP($A151,[1]Hugst!$R$5:$W$9,MATCH(ROUNDUP((AD$1)/10,0)*10,[1]Hugst!$R$4:$W$4,0))))</f>
        <v>363.98985181758314</v>
      </c>
      <c r="AE151">
        <f ca="1">IF($C151-AE$1&lt;År1,0,AD150*(1-VLOOKUP($A151,[1]Hugst!$R$5:$W$9,MATCH(ROUNDUP((AE$1)/10,0)*10,[1]Hugst!$R$4:$W$4,0))))</f>
        <v>364.53368246961463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55000000000000004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497.39634253869866</v>
      </c>
      <c r="G152">
        <f ca="1">IF($C152-G$1&lt;År1,0,F151*(1-VLOOKUP($A152,[1]Hugst!$R$5:$W$9,MATCH(ROUNDUP((G$1)/10,0)*10,[1]Hugst!$R$4:$W$4,0))))</f>
        <v>497.87612094865148</v>
      </c>
      <c r="H152">
        <f ca="1">IF($C152-H$1&lt;År1,0,G151*(1-VLOOKUP($A152,[1]Hugst!$R$5:$W$9,MATCH(ROUNDUP((H$1)/10,0)*10,[1]Hugst!$R$4:$W$4,0))))</f>
        <v>498.35831030539106</v>
      </c>
      <c r="I152">
        <f ca="1">IF($C152-I$1&lt;År1,0,H151*(1-VLOOKUP($A152,[1]Hugst!$R$5:$W$9,MATCH(ROUNDUP((I$1)/10,0)*10,[1]Hugst!$R$4:$W$4,0))))</f>
        <v>498.84292272422448</v>
      </c>
      <c r="J152">
        <f ca="1">IF($C152-J$1&lt;År1,0,I151*(1-VLOOKUP($A152,[1]Hugst!$R$5:$W$9,MATCH(ROUNDUP((J$1)/10,0)*10,[1]Hugst!$R$4:$W$4,0))))</f>
        <v>499.32997038134494</v>
      </c>
      <c r="K152">
        <f ca="1">IF($C152-K$1&lt;År1,0,J151*(1-VLOOKUP($A152,[1]Hugst!$R$5:$W$9,MATCH(ROUNDUP((K$1)/10,0)*10,[1]Hugst!$R$4:$W$4,0))))</f>
        <v>499.8194655141296</v>
      </c>
      <c r="L152">
        <f ca="1">IF($C152-L$1&lt;År1,0,K151*(1-VLOOKUP($A152,[1]Hugst!$R$5:$W$9,MATCH(ROUNDUP((L$1)/10,0)*10,[1]Hugst!$R$4:$W$4,0))))</f>
        <v>500.31142042144751</v>
      </c>
      <c r="M152">
        <f ca="1">IF($C152-M$1&lt;År1,0,L151*(1-VLOOKUP($A152,[1]Hugst!$R$5:$W$9,MATCH(ROUNDUP((M$1)/10,0)*10,[1]Hugst!$R$4:$W$4,0))))</f>
        <v>500.80584746397761</v>
      </c>
      <c r="N152">
        <f ca="1">IF($C152-N$1&lt;År1,0,M151*(1-VLOOKUP($A152,[1]Hugst!$R$5:$W$9,MATCH(ROUNDUP((N$1)/10,0)*10,[1]Hugst!$R$4:$W$4,0))))</f>
        <v>501.30275906451851</v>
      </c>
      <c r="O152">
        <f ca="1">IF($C152-O$1&lt;År1,0,N151*(1-VLOOKUP($A152,[1]Hugst!$R$5:$W$9,MATCH(ROUNDUP((O$1)/10,0)*10,[1]Hugst!$R$4:$W$4,0))))</f>
        <v>501.80216770826922</v>
      </c>
      <c r="P152">
        <f ca="1">IF($C152-P$1&lt;År1,0,O151*(1-VLOOKUP($A152,[1]Hugst!$R$5:$W$9,MATCH(ROUNDUP((P$1)/10,0)*10,[1]Hugst!$R$4:$W$4,0))))</f>
        <v>502.30408594319869</v>
      </c>
      <c r="Q152">
        <f ca="1">IF($C152-Q$1&lt;År1,0,P151*(1-VLOOKUP($A152,[1]Hugst!$R$5:$W$9,MATCH(ROUNDUP((Q$1)/10,0)*10,[1]Hugst!$R$4:$W$4,0))))</f>
        <v>502.80852638031337</v>
      </c>
      <c r="R152">
        <f ca="1">IF($C152-R$1&lt;År1,0,Q151*(1-VLOOKUP($A152,[1]Hugst!$R$5:$W$9,MATCH(ROUNDUP((R$1)/10,0)*10,[1]Hugst!$R$4:$W$4,0))))</f>
        <v>503.31550169399378</v>
      </c>
      <c r="S152">
        <f ca="1">IF($C152-S$1&lt;År1,0,R151*(1-VLOOKUP($A152,[1]Hugst!$R$5:$W$9,MATCH(ROUNDUP((S$1)/10,0)*10,[1]Hugst!$R$4:$W$4,0))))</f>
        <v>503.82502462231758</v>
      </c>
      <c r="T152">
        <f ca="1">IF($C152-T$1&lt;År1,0,S151*(1-VLOOKUP($A152,[1]Hugst!$R$5:$W$9,MATCH(ROUNDUP((T$1)/10,0)*10,[1]Hugst!$R$4:$W$4,0))))</f>
        <v>504.33710796736972</v>
      </c>
      <c r="U152">
        <f ca="1">IF($C152-U$1&lt;År1,0,T151*(1-VLOOKUP($A152,[1]Hugst!$R$5:$W$9,MATCH(ROUNDUP((U$1)/10,0)*10,[1]Hugst!$R$4:$W$4,0))))</f>
        <v>504.85176459555504</v>
      </c>
      <c r="V152">
        <f ca="1">IF($C152-V$1&lt;År1,0,U151*(1-VLOOKUP($A152,[1]Hugst!$R$5:$W$9,MATCH(ROUNDUP((V$1)/10,0)*10,[1]Hugst!$R$4:$W$4,0))))</f>
        <v>359.21612054433638</v>
      </c>
      <c r="W152">
        <f ca="1">IF($C152-W$1&lt;År1,0,V151*(1-VLOOKUP($A152,[1]Hugst!$R$5:$W$9,MATCH(ROUNDUP((W$1)/10,0)*10,[1]Hugst!$R$4:$W$4,0))))</f>
        <v>359.73596259699673</v>
      </c>
      <c r="X152">
        <f ca="1">IF($C152-X$1&lt;År1,0,W151*(1-VLOOKUP($A152,[1]Hugst!$R$5:$W$9,MATCH(ROUNDUP((X$1)/10,0)*10,[1]Hugst!$R$4:$W$4,0))))</f>
        <v>360.2584169212887</v>
      </c>
      <c r="Y152">
        <f ca="1">IF($C152-Y$1&lt;År1,0,X151*(1-VLOOKUP($A152,[1]Hugst!$R$5:$W$9,MATCH(ROUNDUP((Y$1)/10,0)*10,[1]Hugst!$R$4:$W$4,0))))</f>
        <v>360.7834966441892</v>
      </c>
      <c r="Z152">
        <f ca="1">IF($C152-Z$1&lt;År1,0,Y151*(1-VLOOKUP($A152,[1]Hugst!$R$5:$W$9,MATCH(ROUNDUP((Z$1)/10,0)*10,[1]Hugst!$R$4:$W$4,0))))</f>
        <v>361.31121495866228</v>
      </c>
      <c r="AA152">
        <f ca="1">IF($C152-AA$1&lt;År1,0,Z151*(1-VLOOKUP($A152,[1]Hugst!$R$5:$W$9,MATCH(ROUNDUP((AA$1)/10,0)*10,[1]Hugst!$R$4:$W$4,0))))</f>
        <v>361.84158512396232</v>
      </c>
      <c r="AB152">
        <f ca="1">IF($C152-AB$1&lt;År1,0,AA151*(1-VLOOKUP($A152,[1]Hugst!$R$5:$W$9,MATCH(ROUNDUP((AB$1)/10,0)*10,[1]Hugst!$R$4:$W$4,0))))</f>
        <v>362.37462046597341</v>
      </c>
      <c r="AC152">
        <f ca="1">IF($C152-AC$1&lt;År1,0,AB151*(1-VLOOKUP($A152,[1]Hugst!$R$5:$W$9,MATCH(ROUNDUP((AC$1)/10,0)*10,[1]Hugst!$R$4:$W$4,0))))</f>
        <v>362.9103343775422</v>
      </c>
      <c r="AD152">
        <f ca="1">IF($C152-AD$1&lt;År1,0,AC151*(1-VLOOKUP($A152,[1]Hugst!$R$5:$W$9,MATCH(ROUNDUP((AD$1)/10,0)*10,[1]Hugst!$R$4:$W$4,0))))</f>
        <v>363.44874031881761</v>
      </c>
      <c r="AE152">
        <f ca="1">IF($C152-AE$1&lt;År1,0,AD151*(1-VLOOKUP($A152,[1]Hugst!$R$5:$W$9,MATCH(ROUNDUP((AE$1)/10,0)*10,[1]Hugst!$R$4:$W$4,0))))</f>
        <v>363.98985181758314</v>
      </c>
      <c r="AF152">
        <f ca="1">IF($C152-AF$1&lt;År1,0,AE151*(1-VLOOKUP($A152,[1]Hugst!$R$5:$W$9,MATCH(ROUNDUP((AF$1)/10,0)*10,[1]Hugst!$R$4:$W$4,0))))</f>
        <v>364.53368246961463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55000000000000004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496.91896302078652</v>
      </c>
      <c r="G153">
        <f ca="1">IF($C153-G$1&lt;År1,0,F152*(1-VLOOKUP($A153,[1]Hugst!$R$5:$W$9,MATCH(ROUNDUP((G$1)/10,0)*10,[1]Hugst!$R$4:$W$4,0))))</f>
        <v>497.39634253869866</v>
      </c>
      <c r="H153">
        <f ca="1">IF($C153-H$1&lt;År1,0,G152*(1-VLOOKUP($A153,[1]Hugst!$R$5:$W$9,MATCH(ROUNDUP((H$1)/10,0)*10,[1]Hugst!$R$4:$W$4,0))))</f>
        <v>497.87612094865148</v>
      </c>
      <c r="I153">
        <f ca="1">IF($C153-I$1&lt;År1,0,H152*(1-VLOOKUP($A153,[1]Hugst!$R$5:$W$9,MATCH(ROUNDUP((I$1)/10,0)*10,[1]Hugst!$R$4:$W$4,0))))</f>
        <v>498.35831030539106</v>
      </c>
      <c r="J153">
        <f ca="1">IF($C153-J$1&lt;År1,0,I152*(1-VLOOKUP($A153,[1]Hugst!$R$5:$W$9,MATCH(ROUNDUP((J$1)/10,0)*10,[1]Hugst!$R$4:$W$4,0))))</f>
        <v>498.84292272422448</v>
      </c>
      <c r="K153">
        <f ca="1">IF($C153-K$1&lt;År1,0,J152*(1-VLOOKUP($A153,[1]Hugst!$R$5:$W$9,MATCH(ROUNDUP((K$1)/10,0)*10,[1]Hugst!$R$4:$W$4,0))))</f>
        <v>499.32997038134494</v>
      </c>
      <c r="L153">
        <f ca="1">IF($C153-L$1&lt;År1,0,K152*(1-VLOOKUP($A153,[1]Hugst!$R$5:$W$9,MATCH(ROUNDUP((L$1)/10,0)*10,[1]Hugst!$R$4:$W$4,0))))</f>
        <v>499.8194655141296</v>
      </c>
      <c r="M153">
        <f ca="1">IF($C153-M$1&lt;År1,0,L152*(1-VLOOKUP($A153,[1]Hugst!$R$5:$W$9,MATCH(ROUNDUP((M$1)/10,0)*10,[1]Hugst!$R$4:$W$4,0))))</f>
        <v>500.31142042144751</v>
      </c>
      <c r="N153">
        <f ca="1">IF($C153-N$1&lt;År1,0,M152*(1-VLOOKUP($A153,[1]Hugst!$R$5:$W$9,MATCH(ROUNDUP((N$1)/10,0)*10,[1]Hugst!$R$4:$W$4,0))))</f>
        <v>500.80584746397761</v>
      </c>
      <c r="O153">
        <f ca="1">IF($C153-O$1&lt;År1,0,N152*(1-VLOOKUP($A153,[1]Hugst!$R$5:$W$9,MATCH(ROUNDUP((O$1)/10,0)*10,[1]Hugst!$R$4:$W$4,0))))</f>
        <v>501.30275906451851</v>
      </c>
      <c r="P153">
        <f ca="1">IF($C153-P$1&lt;År1,0,O152*(1-VLOOKUP($A153,[1]Hugst!$R$5:$W$9,MATCH(ROUNDUP((P$1)/10,0)*10,[1]Hugst!$R$4:$W$4,0))))</f>
        <v>501.80216770826922</v>
      </c>
      <c r="Q153">
        <f ca="1">IF($C153-Q$1&lt;År1,0,P152*(1-VLOOKUP($A153,[1]Hugst!$R$5:$W$9,MATCH(ROUNDUP((Q$1)/10,0)*10,[1]Hugst!$R$4:$W$4,0))))</f>
        <v>502.30408594319869</v>
      </c>
      <c r="R153">
        <f ca="1">IF($C153-R$1&lt;År1,0,Q152*(1-VLOOKUP($A153,[1]Hugst!$R$5:$W$9,MATCH(ROUNDUP((R$1)/10,0)*10,[1]Hugst!$R$4:$W$4,0))))</f>
        <v>502.80852638031337</v>
      </c>
      <c r="S153">
        <f ca="1">IF($C153-S$1&lt;År1,0,R152*(1-VLOOKUP($A153,[1]Hugst!$R$5:$W$9,MATCH(ROUNDUP((S$1)/10,0)*10,[1]Hugst!$R$4:$W$4,0))))</f>
        <v>503.31550169399378</v>
      </c>
      <c r="T153">
        <f ca="1">IF($C153-T$1&lt;År1,0,S152*(1-VLOOKUP($A153,[1]Hugst!$R$5:$W$9,MATCH(ROUNDUP((T$1)/10,0)*10,[1]Hugst!$R$4:$W$4,0))))</f>
        <v>503.82502462231758</v>
      </c>
      <c r="U153">
        <f ca="1">IF($C153-U$1&lt;År1,0,T152*(1-VLOOKUP($A153,[1]Hugst!$R$5:$W$9,MATCH(ROUNDUP((U$1)/10,0)*10,[1]Hugst!$R$4:$W$4,0))))</f>
        <v>504.33710796736972</v>
      </c>
      <c r="V153">
        <f ca="1">IF($C153-V$1&lt;År1,0,U152*(1-VLOOKUP($A153,[1]Hugst!$R$5:$W$9,MATCH(ROUNDUP((V$1)/10,0)*10,[1]Hugst!$R$4:$W$4,0))))</f>
        <v>504.85176459555504</v>
      </c>
      <c r="W153">
        <f ca="1">IF($C153-W$1&lt;År1,0,V152*(1-VLOOKUP($A153,[1]Hugst!$R$5:$W$9,MATCH(ROUNDUP((W$1)/10,0)*10,[1]Hugst!$R$4:$W$4,0))))</f>
        <v>359.21612054433638</v>
      </c>
      <c r="X153">
        <f ca="1">IF($C153-X$1&lt;År1,0,W152*(1-VLOOKUP($A153,[1]Hugst!$R$5:$W$9,MATCH(ROUNDUP((X$1)/10,0)*10,[1]Hugst!$R$4:$W$4,0))))</f>
        <v>359.73596259699673</v>
      </c>
      <c r="Y153">
        <f ca="1">IF($C153-Y$1&lt;År1,0,X152*(1-VLOOKUP($A153,[1]Hugst!$R$5:$W$9,MATCH(ROUNDUP((Y$1)/10,0)*10,[1]Hugst!$R$4:$W$4,0))))</f>
        <v>360.2584169212887</v>
      </c>
      <c r="Z153">
        <f ca="1">IF($C153-Z$1&lt;År1,0,Y152*(1-VLOOKUP($A153,[1]Hugst!$R$5:$W$9,MATCH(ROUNDUP((Z$1)/10,0)*10,[1]Hugst!$R$4:$W$4,0))))</f>
        <v>360.7834966441892</v>
      </c>
      <c r="AA153">
        <f ca="1">IF($C153-AA$1&lt;År1,0,Z152*(1-VLOOKUP($A153,[1]Hugst!$R$5:$W$9,MATCH(ROUNDUP((AA$1)/10,0)*10,[1]Hugst!$R$4:$W$4,0))))</f>
        <v>361.31121495866228</v>
      </c>
      <c r="AB153">
        <f ca="1">IF($C153-AB$1&lt;År1,0,AA152*(1-VLOOKUP($A153,[1]Hugst!$R$5:$W$9,MATCH(ROUNDUP((AB$1)/10,0)*10,[1]Hugst!$R$4:$W$4,0))))</f>
        <v>361.84158512396232</v>
      </c>
      <c r="AC153">
        <f ca="1">IF($C153-AC$1&lt;År1,0,AB152*(1-VLOOKUP($A153,[1]Hugst!$R$5:$W$9,MATCH(ROUNDUP((AC$1)/10,0)*10,[1]Hugst!$R$4:$W$4,0))))</f>
        <v>362.37462046597341</v>
      </c>
      <c r="AD153">
        <f ca="1">IF($C153-AD$1&lt;År1,0,AC152*(1-VLOOKUP($A153,[1]Hugst!$R$5:$W$9,MATCH(ROUNDUP((AD$1)/10,0)*10,[1]Hugst!$R$4:$W$4,0))))</f>
        <v>362.9103343775422</v>
      </c>
      <c r="AE153">
        <f ca="1">IF($C153-AE$1&lt;År1,0,AD152*(1-VLOOKUP($A153,[1]Hugst!$R$5:$W$9,MATCH(ROUNDUP((AE$1)/10,0)*10,[1]Hugst!$R$4:$W$4,0))))</f>
        <v>363.44874031881761</v>
      </c>
      <c r="AF153">
        <f ca="1">IF($C153-AF$1&lt;År1,0,AE152*(1-VLOOKUP($A153,[1]Hugst!$R$5:$W$9,MATCH(ROUNDUP((AF$1)/10,0)*10,[1]Hugst!$R$4:$W$4,0))))</f>
        <v>363.98985181758314</v>
      </c>
      <c r="AG153">
        <f ca="1">IF($C153-AG$1&lt;År1,0,AF152*(1-VLOOKUP($A153,[1]Hugst!$R$5:$W$9,MATCH(ROUNDUP((AG$1)/10,0)*10,[1]Hugst!$R$4:$W$4,0))))</f>
        <v>364.53368246961463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55000000000000004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496.44397040047301</v>
      </c>
      <c r="G154">
        <f ca="1">IF($C154-G$1&lt;År1,0,F153*(1-VLOOKUP($A154,[1]Hugst!$R$5:$W$9,MATCH(ROUNDUP((G$1)/10,0)*10,[1]Hugst!$R$4:$W$4,0))))</f>
        <v>496.91896302078652</v>
      </c>
      <c r="H154">
        <f ca="1">IF($C154-H$1&lt;År1,0,G153*(1-VLOOKUP($A154,[1]Hugst!$R$5:$W$9,MATCH(ROUNDUP((H$1)/10,0)*10,[1]Hugst!$R$4:$W$4,0))))</f>
        <v>497.39634253869866</v>
      </c>
      <c r="I154">
        <f ca="1">IF($C154-I$1&lt;År1,0,H153*(1-VLOOKUP($A154,[1]Hugst!$R$5:$W$9,MATCH(ROUNDUP((I$1)/10,0)*10,[1]Hugst!$R$4:$W$4,0))))</f>
        <v>497.87612094865148</v>
      </c>
      <c r="J154">
        <f ca="1">IF($C154-J$1&lt;År1,0,I153*(1-VLOOKUP($A154,[1]Hugst!$R$5:$W$9,MATCH(ROUNDUP((J$1)/10,0)*10,[1]Hugst!$R$4:$W$4,0))))</f>
        <v>498.35831030539106</v>
      </c>
      <c r="K154">
        <f ca="1">IF($C154-K$1&lt;År1,0,J153*(1-VLOOKUP($A154,[1]Hugst!$R$5:$W$9,MATCH(ROUNDUP((K$1)/10,0)*10,[1]Hugst!$R$4:$W$4,0))))</f>
        <v>498.84292272422448</v>
      </c>
      <c r="L154">
        <f ca="1">IF($C154-L$1&lt;År1,0,K153*(1-VLOOKUP($A154,[1]Hugst!$R$5:$W$9,MATCH(ROUNDUP((L$1)/10,0)*10,[1]Hugst!$R$4:$W$4,0))))</f>
        <v>499.32997038134494</v>
      </c>
      <c r="M154">
        <f ca="1">IF($C154-M$1&lt;År1,0,L153*(1-VLOOKUP($A154,[1]Hugst!$R$5:$W$9,MATCH(ROUNDUP((M$1)/10,0)*10,[1]Hugst!$R$4:$W$4,0))))</f>
        <v>499.8194655141296</v>
      </c>
      <c r="N154">
        <f ca="1">IF($C154-N$1&lt;År1,0,M153*(1-VLOOKUP($A154,[1]Hugst!$R$5:$W$9,MATCH(ROUNDUP((N$1)/10,0)*10,[1]Hugst!$R$4:$W$4,0))))</f>
        <v>500.31142042144751</v>
      </c>
      <c r="O154">
        <f ca="1">IF($C154-O$1&lt;År1,0,N153*(1-VLOOKUP($A154,[1]Hugst!$R$5:$W$9,MATCH(ROUNDUP((O$1)/10,0)*10,[1]Hugst!$R$4:$W$4,0))))</f>
        <v>500.80584746397761</v>
      </c>
      <c r="P154">
        <f ca="1">IF($C154-P$1&lt;År1,0,O153*(1-VLOOKUP($A154,[1]Hugst!$R$5:$W$9,MATCH(ROUNDUP((P$1)/10,0)*10,[1]Hugst!$R$4:$W$4,0))))</f>
        <v>501.30275906451851</v>
      </c>
      <c r="Q154">
        <f ca="1">IF($C154-Q$1&lt;År1,0,P153*(1-VLOOKUP($A154,[1]Hugst!$R$5:$W$9,MATCH(ROUNDUP((Q$1)/10,0)*10,[1]Hugst!$R$4:$W$4,0))))</f>
        <v>501.80216770826922</v>
      </c>
      <c r="R154">
        <f ca="1">IF($C154-R$1&lt;År1,0,Q153*(1-VLOOKUP($A154,[1]Hugst!$R$5:$W$9,MATCH(ROUNDUP((R$1)/10,0)*10,[1]Hugst!$R$4:$W$4,0))))</f>
        <v>502.30408594319869</v>
      </c>
      <c r="S154">
        <f ca="1">IF($C154-S$1&lt;År1,0,R153*(1-VLOOKUP($A154,[1]Hugst!$R$5:$W$9,MATCH(ROUNDUP((S$1)/10,0)*10,[1]Hugst!$R$4:$W$4,0))))</f>
        <v>502.80852638031337</v>
      </c>
      <c r="T154">
        <f ca="1">IF($C154-T$1&lt;År1,0,S153*(1-VLOOKUP($A154,[1]Hugst!$R$5:$W$9,MATCH(ROUNDUP((T$1)/10,0)*10,[1]Hugst!$R$4:$W$4,0))))</f>
        <v>503.31550169399378</v>
      </c>
      <c r="U154">
        <f ca="1">IF($C154-U$1&lt;År1,0,T153*(1-VLOOKUP($A154,[1]Hugst!$R$5:$W$9,MATCH(ROUNDUP((U$1)/10,0)*10,[1]Hugst!$R$4:$W$4,0))))</f>
        <v>503.82502462231758</v>
      </c>
      <c r="V154">
        <f ca="1">IF($C154-V$1&lt;År1,0,U153*(1-VLOOKUP($A154,[1]Hugst!$R$5:$W$9,MATCH(ROUNDUP((V$1)/10,0)*10,[1]Hugst!$R$4:$W$4,0))))</f>
        <v>504.33710796736972</v>
      </c>
      <c r="W154">
        <f ca="1">IF($C154-W$1&lt;År1,0,V153*(1-VLOOKUP($A154,[1]Hugst!$R$5:$W$9,MATCH(ROUNDUP((W$1)/10,0)*10,[1]Hugst!$R$4:$W$4,0))))</f>
        <v>504.85176459555504</v>
      </c>
      <c r="X154">
        <f ca="1">IF($C154-X$1&lt;År1,0,W153*(1-VLOOKUP($A154,[1]Hugst!$R$5:$W$9,MATCH(ROUNDUP((X$1)/10,0)*10,[1]Hugst!$R$4:$W$4,0))))</f>
        <v>359.21612054433638</v>
      </c>
      <c r="Y154">
        <f ca="1">IF($C154-Y$1&lt;År1,0,X153*(1-VLOOKUP($A154,[1]Hugst!$R$5:$W$9,MATCH(ROUNDUP((Y$1)/10,0)*10,[1]Hugst!$R$4:$W$4,0))))</f>
        <v>359.73596259699673</v>
      </c>
      <c r="Z154">
        <f ca="1">IF($C154-Z$1&lt;År1,0,Y153*(1-VLOOKUP($A154,[1]Hugst!$R$5:$W$9,MATCH(ROUNDUP((Z$1)/10,0)*10,[1]Hugst!$R$4:$W$4,0))))</f>
        <v>360.2584169212887</v>
      </c>
      <c r="AA154">
        <f ca="1">IF($C154-AA$1&lt;År1,0,Z153*(1-VLOOKUP($A154,[1]Hugst!$R$5:$W$9,MATCH(ROUNDUP((AA$1)/10,0)*10,[1]Hugst!$R$4:$W$4,0))))</f>
        <v>360.7834966441892</v>
      </c>
      <c r="AB154">
        <f ca="1">IF($C154-AB$1&lt;År1,0,AA153*(1-VLOOKUP($A154,[1]Hugst!$R$5:$W$9,MATCH(ROUNDUP((AB$1)/10,0)*10,[1]Hugst!$R$4:$W$4,0))))</f>
        <v>361.31121495866228</v>
      </c>
      <c r="AC154">
        <f ca="1">IF($C154-AC$1&lt;År1,0,AB153*(1-VLOOKUP($A154,[1]Hugst!$R$5:$W$9,MATCH(ROUNDUP((AC$1)/10,0)*10,[1]Hugst!$R$4:$W$4,0))))</f>
        <v>361.84158512396232</v>
      </c>
      <c r="AD154">
        <f ca="1">IF($C154-AD$1&lt;År1,0,AC153*(1-VLOOKUP($A154,[1]Hugst!$R$5:$W$9,MATCH(ROUNDUP((AD$1)/10,0)*10,[1]Hugst!$R$4:$W$4,0))))</f>
        <v>362.37462046597341</v>
      </c>
      <c r="AE154">
        <f ca="1">IF($C154-AE$1&lt;År1,0,AD153*(1-VLOOKUP($A154,[1]Hugst!$R$5:$W$9,MATCH(ROUNDUP((AE$1)/10,0)*10,[1]Hugst!$R$4:$W$4,0))))</f>
        <v>362.9103343775422</v>
      </c>
      <c r="AF154">
        <f ca="1">IF($C154-AF$1&lt;År1,0,AE153*(1-VLOOKUP($A154,[1]Hugst!$R$5:$W$9,MATCH(ROUNDUP((AF$1)/10,0)*10,[1]Hugst!$R$4:$W$4,0))))</f>
        <v>363.44874031881761</v>
      </c>
      <c r="AG154">
        <f ca="1">IF($C154-AG$1&lt;År1,0,AF153*(1-VLOOKUP($A154,[1]Hugst!$R$5:$W$9,MATCH(ROUNDUP((AG$1)/10,0)*10,[1]Hugst!$R$4:$W$4,0))))</f>
        <v>363.98985181758314</v>
      </c>
      <c r="AH154">
        <f ca="1">IF($C154-AH$1&lt;År1,0,AG153*(1-VLOOKUP($A154,[1]Hugst!$R$5:$W$9,MATCH(ROUNDUP((AH$1)/10,0)*10,[1]Hugst!$R$4:$W$4,0))))</f>
        <v>364.53368246961463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55000000000000004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495.97135274325814</v>
      </c>
      <c r="G155">
        <f ca="1">IF($C155-G$1&lt;År1,0,F154*(1-VLOOKUP($A155,[1]Hugst!$R$5:$W$9,MATCH(ROUNDUP((G$1)/10,0)*10,[1]Hugst!$R$4:$W$4,0))))</f>
        <v>496.44397040047301</v>
      </c>
      <c r="H155">
        <f ca="1">IF($C155-H$1&lt;År1,0,G154*(1-VLOOKUP($A155,[1]Hugst!$R$5:$W$9,MATCH(ROUNDUP((H$1)/10,0)*10,[1]Hugst!$R$4:$W$4,0))))</f>
        <v>496.91896302078652</v>
      </c>
      <c r="I155">
        <f ca="1">IF($C155-I$1&lt;År1,0,H154*(1-VLOOKUP($A155,[1]Hugst!$R$5:$W$9,MATCH(ROUNDUP((I$1)/10,0)*10,[1]Hugst!$R$4:$W$4,0))))</f>
        <v>497.39634253869866</v>
      </c>
      <c r="J155">
        <f ca="1">IF($C155-J$1&lt;År1,0,I154*(1-VLOOKUP($A155,[1]Hugst!$R$5:$W$9,MATCH(ROUNDUP((J$1)/10,0)*10,[1]Hugst!$R$4:$W$4,0))))</f>
        <v>497.87612094865148</v>
      </c>
      <c r="K155">
        <f ca="1">IF($C155-K$1&lt;År1,0,J154*(1-VLOOKUP($A155,[1]Hugst!$R$5:$W$9,MATCH(ROUNDUP((K$1)/10,0)*10,[1]Hugst!$R$4:$W$4,0))))</f>
        <v>498.35831030539106</v>
      </c>
      <c r="L155">
        <f ca="1">IF($C155-L$1&lt;År1,0,K154*(1-VLOOKUP($A155,[1]Hugst!$R$5:$W$9,MATCH(ROUNDUP((L$1)/10,0)*10,[1]Hugst!$R$4:$W$4,0))))</f>
        <v>498.84292272422448</v>
      </c>
      <c r="M155">
        <f ca="1">IF($C155-M$1&lt;År1,0,L154*(1-VLOOKUP($A155,[1]Hugst!$R$5:$W$9,MATCH(ROUNDUP((M$1)/10,0)*10,[1]Hugst!$R$4:$W$4,0))))</f>
        <v>499.32997038134494</v>
      </c>
      <c r="N155">
        <f ca="1">IF($C155-N$1&lt;År1,0,M154*(1-VLOOKUP($A155,[1]Hugst!$R$5:$W$9,MATCH(ROUNDUP((N$1)/10,0)*10,[1]Hugst!$R$4:$W$4,0))))</f>
        <v>499.8194655141296</v>
      </c>
      <c r="O155">
        <f ca="1">IF($C155-O$1&lt;År1,0,N154*(1-VLOOKUP($A155,[1]Hugst!$R$5:$W$9,MATCH(ROUNDUP((O$1)/10,0)*10,[1]Hugst!$R$4:$W$4,0))))</f>
        <v>500.31142042144751</v>
      </c>
      <c r="P155">
        <f ca="1">IF($C155-P$1&lt;År1,0,O154*(1-VLOOKUP($A155,[1]Hugst!$R$5:$W$9,MATCH(ROUNDUP((P$1)/10,0)*10,[1]Hugst!$R$4:$W$4,0))))</f>
        <v>500.80584746397761</v>
      </c>
      <c r="Q155">
        <f ca="1">IF($C155-Q$1&lt;År1,0,P154*(1-VLOOKUP($A155,[1]Hugst!$R$5:$W$9,MATCH(ROUNDUP((Q$1)/10,0)*10,[1]Hugst!$R$4:$W$4,0))))</f>
        <v>501.30275906451851</v>
      </c>
      <c r="R155">
        <f ca="1">IF($C155-R$1&lt;År1,0,Q154*(1-VLOOKUP($A155,[1]Hugst!$R$5:$W$9,MATCH(ROUNDUP((R$1)/10,0)*10,[1]Hugst!$R$4:$W$4,0))))</f>
        <v>501.80216770826922</v>
      </c>
      <c r="S155">
        <f ca="1">IF($C155-S$1&lt;År1,0,R154*(1-VLOOKUP($A155,[1]Hugst!$R$5:$W$9,MATCH(ROUNDUP((S$1)/10,0)*10,[1]Hugst!$R$4:$W$4,0))))</f>
        <v>502.30408594319869</v>
      </c>
      <c r="T155">
        <f ca="1">IF($C155-T$1&lt;År1,0,S154*(1-VLOOKUP($A155,[1]Hugst!$R$5:$W$9,MATCH(ROUNDUP((T$1)/10,0)*10,[1]Hugst!$R$4:$W$4,0))))</f>
        <v>502.80852638031337</v>
      </c>
      <c r="U155">
        <f ca="1">IF($C155-U$1&lt;År1,0,T154*(1-VLOOKUP($A155,[1]Hugst!$R$5:$W$9,MATCH(ROUNDUP((U$1)/10,0)*10,[1]Hugst!$R$4:$W$4,0))))</f>
        <v>503.31550169399378</v>
      </c>
      <c r="V155">
        <f ca="1">IF($C155-V$1&lt;År1,0,U154*(1-VLOOKUP($A155,[1]Hugst!$R$5:$W$9,MATCH(ROUNDUP((V$1)/10,0)*10,[1]Hugst!$R$4:$W$4,0))))</f>
        <v>503.82502462231758</v>
      </c>
      <c r="W155">
        <f ca="1">IF($C155-W$1&lt;År1,0,V154*(1-VLOOKUP($A155,[1]Hugst!$R$5:$W$9,MATCH(ROUNDUP((W$1)/10,0)*10,[1]Hugst!$R$4:$W$4,0))))</f>
        <v>504.33710796736972</v>
      </c>
      <c r="X155">
        <f ca="1">IF($C155-X$1&lt;År1,0,W154*(1-VLOOKUP($A155,[1]Hugst!$R$5:$W$9,MATCH(ROUNDUP((X$1)/10,0)*10,[1]Hugst!$R$4:$W$4,0))))</f>
        <v>504.85176459555504</v>
      </c>
      <c r="Y155">
        <f ca="1">IF($C155-Y$1&lt;År1,0,X154*(1-VLOOKUP($A155,[1]Hugst!$R$5:$W$9,MATCH(ROUNDUP((Y$1)/10,0)*10,[1]Hugst!$R$4:$W$4,0))))</f>
        <v>359.21612054433638</v>
      </c>
      <c r="Z155">
        <f ca="1">IF($C155-Z$1&lt;År1,0,Y154*(1-VLOOKUP($A155,[1]Hugst!$R$5:$W$9,MATCH(ROUNDUP((Z$1)/10,0)*10,[1]Hugst!$R$4:$W$4,0))))</f>
        <v>359.73596259699673</v>
      </c>
      <c r="AA155">
        <f ca="1">IF($C155-AA$1&lt;År1,0,Z154*(1-VLOOKUP($A155,[1]Hugst!$R$5:$W$9,MATCH(ROUNDUP((AA$1)/10,0)*10,[1]Hugst!$R$4:$W$4,0))))</f>
        <v>360.2584169212887</v>
      </c>
      <c r="AB155">
        <f ca="1">IF($C155-AB$1&lt;År1,0,AA154*(1-VLOOKUP($A155,[1]Hugst!$R$5:$W$9,MATCH(ROUNDUP((AB$1)/10,0)*10,[1]Hugst!$R$4:$W$4,0))))</f>
        <v>360.7834966441892</v>
      </c>
      <c r="AC155">
        <f ca="1">IF($C155-AC$1&lt;År1,0,AB154*(1-VLOOKUP($A155,[1]Hugst!$R$5:$W$9,MATCH(ROUNDUP((AC$1)/10,0)*10,[1]Hugst!$R$4:$W$4,0))))</f>
        <v>361.31121495866228</v>
      </c>
      <c r="AD155">
        <f ca="1">IF($C155-AD$1&lt;År1,0,AC154*(1-VLOOKUP($A155,[1]Hugst!$R$5:$W$9,MATCH(ROUNDUP((AD$1)/10,0)*10,[1]Hugst!$R$4:$W$4,0))))</f>
        <v>361.84158512396232</v>
      </c>
      <c r="AE155">
        <f ca="1">IF($C155-AE$1&lt;År1,0,AD154*(1-VLOOKUP($A155,[1]Hugst!$R$5:$W$9,MATCH(ROUNDUP((AE$1)/10,0)*10,[1]Hugst!$R$4:$W$4,0))))</f>
        <v>362.37462046597341</v>
      </c>
      <c r="AF155">
        <f ca="1">IF($C155-AF$1&lt;År1,0,AE154*(1-VLOOKUP($A155,[1]Hugst!$R$5:$W$9,MATCH(ROUNDUP((AF$1)/10,0)*10,[1]Hugst!$R$4:$W$4,0))))</f>
        <v>362.9103343775422</v>
      </c>
      <c r="AG155">
        <f ca="1">IF($C155-AG$1&lt;År1,0,AF154*(1-VLOOKUP($A155,[1]Hugst!$R$5:$W$9,MATCH(ROUNDUP((AG$1)/10,0)*10,[1]Hugst!$R$4:$W$4,0))))</f>
        <v>363.44874031881761</v>
      </c>
      <c r="AH155">
        <f ca="1">IF($C155-AH$1&lt;År1,0,AG154*(1-VLOOKUP($A155,[1]Hugst!$R$5:$W$9,MATCH(ROUNDUP((AH$1)/10,0)*10,[1]Hugst!$R$4:$W$4,0))))</f>
        <v>363.98985181758314</v>
      </c>
      <c r="AI155">
        <f ca="1">IF($C155-AI$1&lt;År1,0,AH154*(1-VLOOKUP($A155,[1]Hugst!$R$5:$W$9,MATCH(ROUNDUP((AI$1)/10,0)*10,[1]Hugst!$R$4:$W$4,0))))</f>
        <v>364.53368246961463</v>
      </c>
      <c r="AJ155">
        <f>IF($C155-AJ$1&lt;År1,0,AI154*(1-VLOOKUP($A155,[1]Hugst!$R$5:$W$9,MATCH(ROUNDUP((AJ$1)/10,0)*10,[1]Hugst!$R$4:$W$4,0))))</f>
        <v>0</v>
      </c>
    </row>
    <row r="156" spans="1:36" x14ac:dyDescent="0.55000000000000004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0.66278851358219981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496.16388668791291</v>
      </c>
      <c r="G156">
        <f ca="1">IF($C156-G$1&lt;År1,0,F155*(1-VLOOKUP($A156,[1]Hugst!$R$5:$W$9,MATCH(ROUNDUP((G$1)/10,0)*10,[1]Hugst!$R$4:$W$4,0))))</f>
        <v>495.97135274325814</v>
      </c>
      <c r="H156">
        <f ca="1">IF($C156-H$1&lt;År1,0,G155*(1-VLOOKUP($A156,[1]Hugst!$R$5:$W$9,MATCH(ROUNDUP((H$1)/10,0)*10,[1]Hugst!$R$4:$W$4,0))))</f>
        <v>496.44397040047301</v>
      </c>
      <c r="I156">
        <f ca="1">IF($C156-I$1&lt;År1,0,H155*(1-VLOOKUP($A156,[1]Hugst!$R$5:$W$9,MATCH(ROUNDUP((I$1)/10,0)*10,[1]Hugst!$R$4:$W$4,0))))</f>
        <v>496.91896302078652</v>
      </c>
      <c r="J156">
        <f ca="1">IF($C156-J$1&lt;År1,0,I155*(1-VLOOKUP($A156,[1]Hugst!$R$5:$W$9,MATCH(ROUNDUP((J$1)/10,0)*10,[1]Hugst!$R$4:$W$4,0))))</f>
        <v>497.39634253869866</v>
      </c>
      <c r="K156">
        <f ca="1">IF($C156-K$1&lt;År1,0,J155*(1-VLOOKUP($A156,[1]Hugst!$R$5:$W$9,MATCH(ROUNDUP((K$1)/10,0)*10,[1]Hugst!$R$4:$W$4,0))))</f>
        <v>497.87612094865148</v>
      </c>
      <c r="L156">
        <f ca="1">IF($C156-L$1&lt;År1,0,K155*(1-VLOOKUP($A156,[1]Hugst!$R$5:$W$9,MATCH(ROUNDUP((L$1)/10,0)*10,[1]Hugst!$R$4:$W$4,0))))</f>
        <v>498.35831030539106</v>
      </c>
      <c r="M156">
        <f ca="1">IF($C156-M$1&lt;År1,0,L155*(1-VLOOKUP($A156,[1]Hugst!$R$5:$W$9,MATCH(ROUNDUP((M$1)/10,0)*10,[1]Hugst!$R$4:$W$4,0))))</f>
        <v>498.84292272422448</v>
      </c>
      <c r="N156">
        <f ca="1">IF($C156-N$1&lt;År1,0,M155*(1-VLOOKUP($A156,[1]Hugst!$R$5:$W$9,MATCH(ROUNDUP((N$1)/10,0)*10,[1]Hugst!$R$4:$W$4,0))))</f>
        <v>499.32997038134494</v>
      </c>
      <c r="O156">
        <f ca="1">IF($C156-O$1&lt;År1,0,N155*(1-VLOOKUP($A156,[1]Hugst!$R$5:$W$9,MATCH(ROUNDUP((O$1)/10,0)*10,[1]Hugst!$R$4:$W$4,0))))</f>
        <v>499.8194655141296</v>
      </c>
      <c r="P156">
        <f ca="1">IF($C156-P$1&lt;År1,0,O155*(1-VLOOKUP($A156,[1]Hugst!$R$5:$W$9,MATCH(ROUNDUP((P$1)/10,0)*10,[1]Hugst!$R$4:$W$4,0))))</f>
        <v>500.31142042144751</v>
      </c>
      <c r="Q156">
        <f ca="1">IF($C156-Q$1&lt;År1,0,P155*(1-VLOOKUP($A156,[1]Hugst!$R$5:$W$9,MATCH(ROUNDUP((Q$1)/10,0)*10,[1]Hugst!$R$4:$W$4,0))))</f>
        <v>500.80584746397761</v>
      </c>
      <c r="R156">
        <f ca="1">IF($C156-R$1&lt;År1,0,Q155*(1-VLOOKUP($A156,[1]Hugst!$R$5:$W$9,MATCH(ROUNDUP((R$1)/10,0)*10,[1]Hugst!$R$4:$W$4,0))))</f>
        <v>501.30275906451851</v>
      </c>
      <c r="S156">
        <f ca="1">IF($C156-S$1&lt;År1,0,R155*(1-VLOOKUP($A156,[1]Hugst!$R$5:$W$9,MATCH(ROUNDUP((S$1)/10,0)*10,[1]Hugst!$R$4:$W$4,0))))</f>
        <v>501.80216770826922</v>
      </c>
      <c r="T156">
        <f ca="1">IF($C156-T$1&lt;År1,0,S155*(1-VLOOKUP($A156,[1]Hugst!$R$5:$W$9,MATCH(ROUNDUP((T$1)/10,0)*10,[1]Hugst!$R$4:$W$4,0))))</f>
        <v>502.30408594319869</v>
      </c>
      <c r="U156">
        <f ca="1">IF($C156-U$1&lt;År1,0,T155*(1-VLOOKUP($A156,[1]Hugst!$R$5:$W$9,MATCH(ROUNDUP((U$1)/10,0)*10,[1]Hugst!$R$4:$W$4,0))))</f>
        <v>502.80852638031337</v>
      </c>
      <c r="V156">
        <f ca="1">IF($C156-V$1&lt;År1,0,U155*(1-VLOOKUP($A156,[1]Hugst!$R$5:$W$9,MATCH(ROUNDUP((V$1)/10,0)*10,[1]Hugst!$R$4:$W$4,0))))</f>
        <v>503.31550169399378</v>
      </c>
      <c r="W156">
        <f ca="1">IF($C156-W$1&lt;År1,0,V155*(1-VLOOKUP($A156,[1]Hugst!$R$5:$W$9,MATCH(ROUNDUP((W$1)/10,0)*10,[1]Hugst!$R$4:$W$4,0))))</f>
        <v>503.82502462231758</v>
      </c>
      <c r="X156">
        <f ca="1">IF($C156-X$1&lt;År1,0,W155*(1-VLOOKUP($A156,[1]Hugst!$R$5:$W$9,MATCH(ROUNDUP((X$1)/10,0)*10,[1]Hugst!$R$4:$W$4,0))))</f>
        <v>504.33710796736972</v>
      </c>
      <c r="Y156">
        <f ca="1">IF($C156-Y$1&lt;År1,0,X155*(1-VLOOKUP($A156,[1]Hugst!$R$5:$W$9,MATCH(ROUNDUP((Y$1)/10,0)*10,[1]Hugst!$R$4:$W$4,0))))</f>
        <v>504.85176459555504</v>
      </c>
      <c r="Z156">
        <f ca="1">IF($C156-Z$1&lt;År1,0,Y155*(1-VLOOKUP($A156,[1]Hugst!$R$5:$W$9,MATCH(ROUNDUP((Z$1)/10,0)*10,[1]Hugst!$R$4:$W$4,0))))</f>
        <v>359.21612054433638</v>
      </c>
      <c r="AA156">
        <f ca="1">IF($C156-AA$1&lt;År1,0,Z155*(1-VLOOKUP($A156,[1]Hugst!$R$5:$W$9,MATCH(ROUNDUP((AA$1)/10,0)*10,[1]Hugst!$R$4:$W$4,0))))</f>
        <v>359.73596259699673</v>
      </c>
      <c r="AB156">
        <f ca="1">IF($C156-AB$1&lt;År1,0,AA155*(1-VLOOKUP($A156,[1]Hugst!$R$5:$W$9,MATCH(ROUNDUP((AB$1)/10,0)*10,[1]Hugst!$R$4:$W$4,0))))</f>
        <v>360.2584169212887</v>
      </c>
      <c r="AC156">
        <f ca="1">IF($C156-AC$1&lt;År1,0,AB155*(1-VLOOKUP($A156,[1]Hugst!$R$5:$W$9,MATCH(ROUNDUP((AC$1)/10,0)*10,[1]Hugst!$R$4:$W$4,0))))</f>
        <v>360.7834966441892</v>
      </c>
      <c r="AD156">
        <f ca="1">IF($C156-AD$1&lt;År1,0,AC155*(1-VLOOKUP($A156,[1]Hugst!$R$5:$W$9,MATCH(ROUNDUP((AD$1)/10,0)*10,[1]Hugst!$R$4:$W$4,0))))</f>
        <v>361.31121495866228</v>
      </c>
      <c r="AE156">
        <f ca="1">IF($C156-AE$1&lt;År1,0,AD155*(1-VLOOKUP($A156,[1]Hugst!$R$5:$W$9,MATCH(ROUNDUP((AE$1)/10,0)*10,[1]Hugst!$R$4:$W$4,0))))</f>
        <v>361.84158512396232</v>
      </c>
      <c r="AF156">
        <f ca="1">IF($C156-AF$1&lt;År1,0,AE155*(1-VLOOKUP($A156,[1]Hugst!$R$5:$W$9,MATCH(ROUNDUP((AF$1)/10,0)*10,[1]Hugst!$R$4:$W$4,0))))</f>
        <v>362.37462046597341</v>
      </c>
      <c r="AG156">
        <f ca="1">IF($C156-AG$1&lt;År1,0,AF155*(1-VLOOKUP($A156,[1]Hugst!$R$5:$W$9,MATCH(ROUNDUP((AG$1)/10,0)*10,[1]Hugst!$R$4:$W$4,0))))</f>
        <v>362.9103343775422</v>
      </c>
      <c r="AH156">
        <f ca="1">IF($C156-AH$1&lt;År1,0,AG155*(1-VLOOKUP($A156,[1]Hugst!$R$5:$W$9,MATCH(ROUNDUP((AH$1)/10,0)*10,[1]Hugst!$R$4:$W$4,0))))</f>
        <v>363.44874031881761</v>
      </c>
      <c r="AI156">
        <f ca="1">IF($C156-AI$1&lt;År1,0,AH155*(1-VLOOKUP($A156,[1]Hugst!$R$5:$W$9,MATCH(ROUNDUP((AI$1)/10,0)*10,[1]Hugst!$R$4:$W$4,0))))</f>
        <v>363.98985181758314</v>
      </c>
      <c r="AJ156">
        <f ca="1">IF($C156-AJ$1&lt;År1,0,AI155*(1-VLOOKUP($A156,[1]Hugst!$R$5:$W$9,MATCH(ROUNDUP((AJ$1)/10,0)*10,[1]Hugst!$R$4:$W$4,0))))</f>
        <v>363.87089395603351</v>
      </c>
    </row>
    <row r="157" spans="1:36" x14ac:dyDescent="0.55000000000000004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70.681612143180047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55000000000000004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70.522430295208849</v>
      </c>
      <c r="G158">
        <f ca="1">IF($C158-G$1&lt;År1,0,F157*(1-VLOOKUP($A158,[1]Hugst!$R$5:$W$9,MATCH(ROUNDUP((G$1)/10,0)*10,[1]Hugst!$R$4:$W$4,0))))</f>
        <v>70.681612143180047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55000000000000004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70.364044356477635</v>
      </c>
      <c r="G159">
        <f ca="1">IF($C159-G$1&lt;År1,0,F158*(1-VLOOKUP($A159,[1]Hugst!$R$5:$W$9,MATCH(ROUNDUP((G$1)/10,0)*10,[1]Hugst!$R$4:$W$4,0))))</f>
        <v>70.522430295208849</v>
      </c>
      <c r="H159">
        <f ca="1">IF($C159-H$1&lt;År1,0,G158*(1-VLOOKUP($A159,[1]Hugst!$R$5:$W$9,MATCH(ROUNDUP((H$1)/10,0)*10,[1]Hugst!$R$4:$W$4,0))))</f>
        <v>70.681612143180047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55000000000000004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70.206450347439187</v>
      </c>
      <c r="G160">
        <f ca="1">IF($C160-G$1&lt;År1,0,F159*(1-VLOOKUP($A160,[1]Hugst!$R$5:$W$9,MATCH(ROUNDUP((G$1)/10,0)*10,[1]Hugst!$R$4:$W$4,0))))</f>
        <v>70.364044356477635</v>
      </c>
      <c r="H160">
        <f ca="1">IF($C160-H$1&lt;År1,0,G159*(1-VLOOKUP($A160,[1]Hugst!$R$5:$W$9,MATCH(ROUNDUP((H$1)/10,0)*10,[1]Hugst!$R$4:$W$4,0))))</f>
        <v>70.522430295208849</v>
      </c>
      <c r="I160">
        <f ca="1">IF($C160-I$1&lt;År1,0,H159*(1-VLOOKUP($A160,[1]Hugst!$R$5:$W$9,MATCH(ROUNDUP((I$1)/10,0)*10,[1]Hugst!$R$4:$W$4,0))))</f>
        <v>70.681612143180047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55000000000000004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70.049644308447569</v>
      </c>
      <c r="G161">
        <f ca="1">IF($C161-G$1&lt;År1,0,F160*(1-VLOOKUP($A161,[1]Hugst!$R$5:$W$9,MATCH(ROUNDUP((G$1)/10,0)*10,[1]Hugst!$R$4:$W$4,0))))</f>
        <v>70.206450347439187</v>
      </c>
      <c r="H161">
        <f ca="1">IF($C161-H$1&lt;År1,0,G160*(1-VLOOKUP($A161,[1]Hugst!$R$5:$W$9,MATCH(ROUNDUP((H$1)/10,0)*10,[1]Hugst!$R$4:$W$4,0))))</f>
        <v>70.364044356477635</v>
      </c>
      <c r="I161">
        <f ca="1">IF($C161-I$1&lt;År1,0,H160*(1-VLOOKUP($A161,[1]Hugst!$R$5:$W$9,MATCH(ROUNDUP((I$1)/10,0)*10,[1]Hugst!$R$4:$W$4,0))))</f>
        <v>70.522430295208849</v>
      </c>
      <c r="J161">
        <f ca="1">IF($C161-J$1&lt;År1,0,I160*(1-VLOOKUP($A161,[1]Hugst!$R$5:$W$9,MATCH(ROUNDUP((J$1)/10,0)*10,[1]Hugst!$R$4:$W$4,0))))</f>
        <v>70.681612143180047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55000000000000004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69.893622299649508</v>
      </c>
      <c r="G162">
        <f ca="1">IF($C162-G$1&lt;År1,0,F161*(1-VLOOKUP($A162,[1]Hugst!$R$5:$W$9,MATCH(ROUNDUP((G$1)/10,0)*10,[1]Hugst!$R$4:$W$4,0))))</f>
        <v>70.049644308447569</v>
      </c>
      <c r="H162">
        <f ca="1">IF($C162-H$1&lt;År1,0,G161*(1-VLOOKUP($A162,[1]Hugst!$R$5:$W$9,MATCH(ROUNDUP((H$1)/10,0)*10,[1]Hugst!$R$4:$W$4,0))))</f>
        <v>70.206450347439187</v>
      </c>
      <c r="I162">
        <f ca="1">IF($C162-I$1&lt;År1,0,H161*(1-VLOOKUP($A162,[1]Hugst!$R$5:$W$9,MATCH(ROUNDUP((I$1)/10,0)*10,[1]Hugst!$R$4:$W$4,0))))</f>
        <v>70.364044356477635</v>
      </c>
      <c r="J162">
        <f ca="1">IF($C162-J$1&lt;År1,0,I161*(1-VLOOKUP($A162,[1]Hugst!$R$5:$W$9,MATCH(ROUNDUP((J$1)/10,0)*10,[1]Hugst!$R$4:$W$4,0))))</f>
        <v>70.522430295208849</v>
      </c>
      <c r="K162">
        <f ca="1">IF($C162-K$1&lt;År1,0,J161*(1-VLOOKUP($A162,[1]Hugst!$R$5:$W$9,MATCH(ROUNDUP((K$1)/10,0)*10,[1]Hugst!$R$4:$W$4,0))))</f>
        <v>70.681612143180047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55000000000000004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69.73838040089737</v>
      </c>
      <c r="G163">
        <f ca="1">IF($C163-G$1&lt;År1,0,F162*(1-VLOOKUP($A163,[1]Hugst!$R$5:$W$9,MATCH(ROUNDUP((G$1)/10,0)*10,[1]Hugst!$R$4:$W$4,0))))</f>
        <v>69.893622299649508</v>
      </c>
      <c r="H163">
        <f ca="1">IF($C163-H$1&lt;År1,0,G162*(1-VLOOKUP($A163,[1]Hugst!$R$5:$W$9,MATCH(ROUNDUP((H$1)/10,0)*10,[1]Hugst!$R$4:$W$4,0))))</f>
        <v>70.049644308447569</v>
      </c>
      <c r="I163">
        <f ca="1">IF($C163-I$1&lt;År1,0,H162*(1-VLOOKUP($A163,[1]Hugst!$R$5:$W$9,MATCH(ROUNDUP((I$1)/10,0)*10,[1]Hugst!$R$4:$W$4,0))))</f>
        <v>70.206450347439187</v>
      </c>
      <c r="J163">
        <f ca="1">IF($C163-J$1&lt;År1,0,I162*(1-VLOOKUP($A163,[1]Hugst!$R$5:$W$9,MATCH(ROUNDUP((J$1)/10,0)*10,[1]Hugst!$R$4:$W$4,0))))</f>
        <v>70.364044356477635</v>
      </c>
      <c r="K163">
        <f ca="1">IF($C163-K$1&lt;År1,0,J162*(1-VLOOKUP($A163,[1]Hugst!$R$5:$W$9,MATCH(ROUNDUP((K$1)/10,0)*10,[1]Hugst!$R$4:$W$4,0))))</f>
        <v>70.522430295208849</v>
      </c>
      <c r="L163">
        <f ca="1">IF($C163-L$1&lt;År1,0,K162*(1-VLOOKUP($A163,[1]Hugst!$R$5:$W$9,MATCH(ROUNDUP((L$1)/10,0)*10,[1]Hugst!$R$4:$W$4,0))))</f>
        <v>70.681612143180047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55000000000000004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69.583914711636112</v>
      </c>
      <c r="G164">
        <f ca="1">IF($C164-G$1&lt;År1,0,F163*(1-VLOOKUP($A164,[1]Hugst!$R$5:$W$9,MATCH(ROUNDUP((G$1)/10,0)*10,[1]Hugst!$R$4:$W$4,0))))</f>
        <v>69.73838040089737</v>
      </c>
      <c r="H164">
        <f ca="1">IF($C164-H$1&lt;År1,0,G163*(1-VLOOKUP($A164,[1]Hugst!$R$5:$W$9,MATCH(ROUNDUP((H$1)/10,0)*10,[1]Hugst!$R$4:$W$4,0))))</f>
        <v>69.893622299649508</v>
      </c>
      <c r="I164">
        <f ca="1">IF($C164-I$1&lt;År1,0,H163*(1-VLOOKUP($A164,[1]Hugst!$R$5:$W$9,MATCH(ROUNDUP((I$1)/10,0)*10,[1]Hugst!$R$4:$W$4,0))))</f>
        <v>70.049644308447569</v>
      </c>
      <c r="J164">
        <f ca="1">IF($C164-J$1&lt;År1,0,I163*(1-VLOOKUP($A164,[1]Hugst!$R$5:$W$9,MATCH(ROUNDUP((J$1)/10,0)*10,[1]Hugst!$R$4:$W$4,0))))</f>
        <v>70.206450347439187</v>
      </c>
      <c r="K164">
        <f ca="1">IF($C164-K$1&lt;År1,0,J163*(1-VLOOKUP($A164,[1]Hugst!$R$5:$W$9,MATCH(ROUNDUP((K$1)/10,0)*10,[1]Hugst!$R$4:$W$4,0))))</f>
        <v>70.364044356477635</v>
      </c>
      <c r="L164">
        <f ca="1">IF($C164-L$1&lt;År1,0,K163*(1-VLOOKUP($A164,[1]Hugst!$R$5:$W$9,MATCH(ROUNDUP((L$1)/10,0)*10,[1]Hugst!$R$4:$W$4,0))))</f>
        <v>70.522430295208849</v>
      </c>
      <c r="M164">
        <f ca="1">IF($C164-M$1&lt;År1,0,L163*(1-VLOOKUP($A164,[1]Hugst!$R$5:$W$9,MATCH(ROUNDUP((M$1)/10,0)*10,[1]Hugst!$R$4:$W$4,0))))</f>
        <v>70.681612143180047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55000000000000004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69.430221350823388</v>
      </c>
      <c r="G165">
        <f ca="1">IF($C165-G$1&lt;År1,0,F164*(1-VLOOKUP($A165,[1]Hugst!$R$5:$W$9,MATCH(ROUNDUP((G$1)/10,0)*10,[1]Hugst!$R$4:$W$4,0))))</f>
        <v>69.583914711636112</v>
      </c>
      <c r="H165">
        <f ca="1">IF($C165-H$1&lt;År1,0,G164*(1-VLOOKUP($A165,[1]Hugst!$R$5:$W$9,MATCH(ROUNDUP((H$1)/10,0)*10,[1]Hugst!$R$4:$W$4,0))))</f>
        <v>69.73838040089737</v>
      </c>
      <c r="I165">
        <f ca="1">IF($C165-I$1&lt;År1,0,H164*(1-VLOOKUP($A165,[1]Hugst!$R$5:$W$9,MATCH(ROUNDUP((I$1)/10,0)*10,[1]Hugst!$R$4:$W$4,0))))</f>
        <v>69.893622299649508</v>
      </c>
      <c r="J165">
        <f ca="1">IF($C165-J$1&lt;År1,0,I164*(1-VLOOKUP($A165,[1]Hugst!$R$5:$W$9,MATCH(ROUNDUP((J$1)/10,0)*10,[1]Hugst!$R$4:$W$4,0))))</f>
        <v>70.049644308447569</v>
      </c>
      <c r="K165">
        <f ca="1">IF($C165-K$1&lt;År1,0,J164*(1-VLOOKUP($A165,[1]Hugst!$R$5:$W$9,MATCH(ROUNDUP((K$1)/10,0)*10,[1]Hugst!$R$4:$W$4,0))))</f>
        <v>70.206450347439187</v>
      </c>
      <c r="L165">
        <f ca="1">IF($C165-L$1&lt;År1,0,K164*(1-VLOOKUP($A165,[1]Hugst!$R$5:$W$9,MATCH(ROUNDUP((L$1)/10,0)*10,[1]Hugst!$R$4:$W$4,0))))</f>
        <v>70.364044356477635</v>
      </c>
      <c r="M165">
        <f ca="1">IF($C165-M$1&lt;År1,0,L164*(1-VLOOKUP($A165,[1]Hugst!$R$5:$W$9,MATCH(ROUNDUP((M$1)/10,0)*10,[1]Hugst!$R$4:$W$4,0))))</f>
        <v>70.522430295208849</v>
      </c>
      <c r="N165">
        <f ca="1">IF($C165-N$1&lt;År1,0,M164*(1-VLOOKUP($A165,[1]Hugst!$R$5:$W$9,MATCH(ROUNDUP((N$1)/10,0)*10,[1]Hugst!$R$4:$W$4,0))))</f>
        <v>70.681612143180047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55000000000000004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69.277296456813701</v>
      </c>
      <c r="G166">
        <f ca="1">IF($C166-G$1&lt;År1,0,F165*(1-VLOOKUP($A166,[1]Hugst!$R$5:$W$9,MATCH(ROUNDUP((G$1)/10,0)*10,[1]Hugst!$R$4:$W$4,0))))</f>
        <v>69.430221350823388</v>
      </c>
      <c r="H166">
        <f ca="1">IF($C166-H$1&lt;År1,0,G165*(1-VLOOKUP($A166,[1]Hugst!$R$5:$W$9,MATCH(ROUNDUP((H$1)/10,0)*10,[1]Hugst!$R$4:$W$4,0))))</f>
        <v>69.583914711636112</v>
      </c>
      <c r="I166">
        <f ca="1">IF($C166-I$1&lt;År1,0,H165*(1-VLOOKUP($A166,[1]Hugst!$R$5:$W$9,MATCH(ROUNDUP((I$1)/10,0)*10,[1]Hugst!$R$4:$W$4,0))))</f>
        <v>69.73838040089737</v>
      </c>
      <c r="J166">
        <f ca="1">IF($C166-J$1&lt;År1,0,I165*(1-VLOOKUP($A166,[1]Hugst!$R$5:$W$9,MATCH(ROUNDUP((J$1)/10,0)*10,[1]Hugst!$R$4:$W$4,0))))</f>
        <v>69.893622299649508</v>
      </c>
      <c r="K166">
        <f ca="1">IF($C166-K$1&lt;År1,0,J165*(1-VLOOKUP($A166,[1]Hugst!$R$5:$W$9,MATCH(ROUNDUP((K$1)/10,0)*10,[1]Hugst!$R$4:$W$4,0))))</f>
        <v>70.049644308447569</v>
      </c>
      <c r="L166">
        <f ca="1">IF($C166-L$1&lt;År1,0,K165*(1-VLOOKUP($A166,[1]Hugst!$R$5:$W$9,MATCH(ROUNDUP((L$1)/10,0)*10,[1]Hugst!$R$4:$W$4,0))))</f>
        <v>70.206450347439187</v>
      </c>
      <c r="M166">
        <f ca="1">IF($C166-M$1&lt;År1,0,L165*(1-VLOOKUP($A166,[1]Hugst!$R$5:$W$9,MATCH(ROUNDUP((M$1)/10,0)*10,[1]Hugst!$R$4:$W$4,0))))</f>
        <v>70.364044356477635</v>
      </c>
      <c r="N166">
        <f ca="1">IF($C166-N$1&lt;År1,0,M165*(1-VLOOKUP($A166,[1]Hugst!$R$5:$W$9,MATCH(ROUNDUP((N$1)/10,0)*10,[1]Hugst!$R$4:$W$4,0))))</f>
        <v>70.522430295208849</v>
      </c>
      <c r="O166">
        <f ca="1">IF($C166-O$1&lt;År1,0,N165*(1-VLOOKUP($A166,[1]Hugst!$R$5:$W$9,MATCH(ROUNDUP((O$1)/10,0)*10,[1]Hugst!$R$4:$W$4,0))))</f>
        <v>70.681612143180047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55000000000000004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69.125136187275132</v>
      </c>
      <c r="G167">
        <f ca="1">IF($C167-G$1&lt;År1,0,F166*(1-VLOOKUP($A167,[1]Hugst!$R$5:$W$9,MATCH(ROUNDUP((G$1)/10,0)*10,[1]Hugst!$R$4:$W$4,0))))</f>
        <v>69.277296456813701</v>
      </c>
      <c r="H167">
        <f ca="1">IF($C167-H$1&lt;År1,0,G166*(1-VLOOKUP($A167,[1]Hugst!$R$5:$W$9,MATCH(ROUNDUP((H$1)/10,0)*10,[1]Hugst!$R$4:$W$4,0))))</f>
        <v>69.430221350823388</v>
      </c>
      <c r="I167">
        <f ca="1">IF($C167-I$1&lt;År1,0,H166*(1-VLOOKUP($A167,[1]Hugst!$R$5:$W$9,MATCH(ROUNDUP((I$1)/10,0)*10,[1]Hugst!$R$4:$W$4,0))))</f>
        <v>69.583914711636112</v>
      </c>
      <c r="J167">
        <f ca="1">IF($C167-J$1&lt;År1,0,I166*(1-VLOOKUP($A167,[1]Hugst!$R$5:$W$9,MATCH(ROUNDUP((J$1)/10,0)*10,[1]Hugst!$R$4:$W$4,0))))</f>
        <v>69.73838040089737</v>
      </c>
      <c r="K167">
        <f ca="1">IF($C167-K$1&lt;År1,0,J166*(1-VLOOKUP($A167,[1]Hugst!$R$5:$W$9,MATCH(ROUNDUP((K$1)/10,0)*10,[1]Hugst!$R$4:$W$4,0))))</f>
        <v>69.893622299649508</v>
      </c>
      <c r="L167">
        <f ca="1">IF($C167-L$1&lt;År1,0,K166*(1-VLOOKUP($A167,[1]Hugst!$R$5:$W$9,MATCH(ROUNDUP((L$1)/10,0)*10,[1]Hugst!$R$4:$W$4,0))))</f>
        <v>70.049644308447569</v>
      </c>
      <c r="M167">
        <f ca="1">IF($C167-M$1&lt;År1,0,L166*(1-VLOOKUP($A167,[1]Hugst!$R$5:$W$9,MATCH(ROUNDUP((M$1)/10,0)*10,[1]Hugst!$R$4:$W$4,0))))</f>
        <v>70.206450347439187</v>
      </c>
      <c r="N167">
        <f ca="1">IF($C167-N$1&lt;År1,0,M166*(1-VLOOKUP($A167,[1]Hugst!$R$5:$W$9,MATCH(ROUNDUP((N$1)/10,0)*10,[1]Hugst!$R$4:$W$4,0))))</f>
        <v>70.364044356477635</v>
      </c>
      <c r="O167">
        <f ca="1">IF($C167-O$1&lt;År1,0,N166*(1-VLOOKUP($A167,[1]Hugst!$R$5:$W$9,MATCH(ROUNDUP((O$1)/10,0)*10,[1]Hugst!$R$4:$W$4,0))))</f>
        <v>70.522430295208849</v>
      </c>
      <c r="P167">
        <f ca="1">IF($C167-P$1&lt;År1,0,O166*(1-VLOOKUP($A167,[1]Hugst!$R$5:$W$9,MATCH(ROUNDUP((P$1)/10,0)*10,[1]Hugst!$R$4:$W$4,0))))</f>
        <v>70.681612143180047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55000000000000004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91.171018175622692</v>
      </c>
      <c r="G168">
        <f ca="1">IF($C168-G$1&lt;År1,0,F167*(1-VLOOKUP($A168,[1]Hugst!$R$5:$W$9,MATCH(ROUNDUP((G$1)/10,0)*10,[1]Hugst!$R$4:$W$4,0))))</f>
        <v>69.125136187275132</v>
      </c>
      <c r="H168">
        <f ca="1">IF($C168-H$1&lt;År1,0,G167*(1-VLOOKUP($A168,[1]Hugst!$R$5:$W$9,MATCH(ROUNDUP((H$1)/10,0)*10,[1]Hugst!$R$4:$W$4,0))))</f>
        <v>69.277296456813701</v>
      </c>
      <c r="I168">
        <f ca="1">IF($C168-I$1&lt;År1,0,H167*(1-VLOOKUP($A168,[1]Hugst!$R$5:$W$9,MATCH(ROUNDUP((I$1)/10,0)*10,[1]Hugst!$R$4:$W$4,0))))</f>
        <v>69.430221350823388</v>
      </c>
      <c r="J168">
        <f ca="1">IF($C168-J$1&lt;År1,0,I167*(1-VLOOKUP($A168,[1]Hugst!$R$5:$W$9,MATCH(ROUNDUP((J$1)/10,0)*10,[1]Hugst!$R$4:$W$4,0))))</f>
        <v>69.583914711636112</v>
      </c>
      <c r="K168">
        <f ca="1">IF($C168-K$1&lt;År1,0,J167*(1-VLOOKUP($A168,[1]Hugst!$R$5:$W$9,MATCH(ROUNDUP((K$1)/10,0)*10,[1]Hugst!$R$4:$W$4,0))))</f>
        <v>69.73838040089737</v>
      </c>
      <c r="L168">
        <f ca="1">IF($C168-L$1&lt;År1,0,K167*(1-VLOOKUP($A168,[1]Hugst!$R$5:$W$9,MATCH(ROUNDUP((L$1)/10,0)*10,[1]Hugst!$R$4:$W$4,0))))</f>
        <v>69.893622299649508</v>
      </c>
      <c r="M168">
        <f ca="1">IF($C168-M$1&lt;År1,0,L167*(1-VLOOKUP($A168,[1]Hugst!$R$5:$W$9,MATCH(ROUNDUP((M$1)/10,0)*10,[1]Hugst!$R$4:$W$4,0))))</f>
        <v>70.049644308447569</v>
      </c>
      <c r="N168">
        <f ca="1">IF($C168-N$1&lt;År1,0,M167*(1-VLOOKUP($A168,[1]Hugst!$R$5:$W$9,MATCH(ROUNDUP((N$1)/10,0)*10,[1]Hugst!$R$4:$W$4,0))))</f>
        <v>70.206450347439187</v>
      </c>
      <c r="O168">
        <f ca="1">IF($C168-O$1&lt;År1,0,N167*(1-VLOOKUP($A168,[1]Hugst!$R$5:$W$9,MATCH(ROUNDUP((O$1)/10,0)*10,[1]Hugst!$R$4:$W$4,0))))</f>
        <v>70.364044356477635</v>
      </c>
      <c r="P168">
        <f ca="1">IF($C168-P$1&lt;År1,0,O167*(1-VLOOKUP($A168,[1]Hugst!$R$5:$W$9,MATCH(ROUNDUP((P$1)/10,0)*10,[1]Hugst!$R$4:$W$4,0))))</f>
        <v>70.522430295208849</v>
      </c>
      <c r="Q168">
        <f ca="1">IF($C168-Q$1&lt;År1,0,P167*(1-VLOOKUP($A168,[1]Hugst!$R$5:$W$9,MATCH(ROUNDUP((Q$1)/10,0)*10,[1]Hugst!$R$4:$W$4,0))))</f>
        <v>70.681612143180047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55000000000000004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91.02037570477313</v>
      </c>
      <c r="G169">
        <f ca="1">IF($C169-G$1&lt;År1,0,F168*(1-VLOOKUP($A169,[1]Hugst!$R$5:$W$9,MATCH(ROUNDUP((G$1)/10,0)*10,[1]Hugst!$R$4:$W$4,0))))</f>
        <v>91.171018175622692</v>
      </c>
      <c r="H169">
        <f ca="1">IF($C169-H$1&lt;År1,0,G168*(1-VLOOKUP($A169,[1]Hugst!$R$5:$W$9,MATCH(ROUNDUP((H$1)/10,0)*10,[1]Hugst!$R$4:$W$4,0))))</f>
        <v>69.125136187275132</v>
      </c>
      <c r="I169">
        <f ca="1">IF($C169-I$1&lt;År1,0,H168*(1-VLOOKUP($A169,[1]Hugst!$R$5:$W$9,MATCH(ROUNDUP((I$1)/10,0)*10,[1]Hugst!$R$4:$W$4,0))))</f>
        <v>69.277296456813701</v>
      </c>
      <c r="J169">
        <f ca="1">IF($C169-J$1&lt;År1,0,I168*(1-VLOOKUP($A169,[1]Hugst!$R$5:$W$9,MATCH(ROUNDUP((J$1)/10,0)*10,[1]Hugst!$R$4:$W$4,0))))</f>
        <v>69.430221350823388</v>
      </c>
      <c r="K169">
        <f ca="1">IF($C169-K$1&lt;År1,0,J168*(1-VLOOKUP($A169,[1]Hugst!$R$5:$W$9,MATCH(ROUNDUP((K$1)/10,0)*10,[1]Hugst!$R$4:$W$4,0))))</f>
        <v>69.583914711636112</v>
      </c>
      <c r="L169">
        <f ca="1">IF($C169-L$1&lt;År1,0,K168*(1-VLOOKUP($A169,[1]Hugst!$R$5:$W$9,MATCH(ROUNDUP((L$1)/10,0)*10,[1]Hugst!$R$4:$W$4,0))))</f>
        <v>69.73838040089737</v>
      </c>
      <c r="M169">
        <f ca="1">IF($C169-M$1&lt;År1,0,L168*(1-VLOOKUP($A169,[1]Hugst!$R$5:$W$9,MATCH(ROUNDUP((M$1)/10,0)*10,[1]Hugst!$R$4:$W$4,0))))</f>
        <v>69.893622299649508</v>
      </c>
      <c r="N169">
        <f ca="1">IF($C169-N$1&lt;År1,0,M168*(1-VLOOKUP($A169,[1]Hugst!$R$5:$W$9,MATCH(ROUNDUP((N$1)/10,0)*10,[1]Hugst!$R$4:$W$4,0))))</f>
        <v>70.049644308447569</v>
      </c>
      <c r="O169">
        <f ca="1">IF($C169-O$1&lt;År1,0,N168*(1-VLOOKUP($A169,[1]Hugst!$R$5:$W$9,MATCH(ROUNDUP((O$1)/10,0)*10,[1]Hugst!$R$4:$W$4,0))))</f>
        <v>70.206450347439187</v>
      </c>
      <c r="P169">
        <f ca="1">IF($C169-P$1&lt;År1,0,O168*(1-VLOOKUP($A169,[1]Hugst!$R$5:$W$9,MATCH(ROUNDUP((P$1)/10,0)*10,[1]Hugst!$R$4:$W$4,0))))</f>
        <v>70.364044356477635</v>
      </c>
      <c r="Q169">
        <f ca="1">IF($C169-Q$1&lt;År1,0,P168*(1-VLOOKUP($A169,[1]Hugst!$R$5:$W$9,MATCH(ROUNDUP((Q$1)/10,0)*10,[1]Hugst!$R$4:$W$4,0))))</f>
        <v>70.522430295208849</v>
      </c>
      <c r="R169">
        <f ca="1">IF($C169-R$1&lt;År1,0,Q168*(1-VLOOKUP($A169,[1]Hugst!$R$5:$W$9,MATCH(ROUNDUP((R$1)/10,0)*10,[1]Hugst!$R$4:$W$4,0))))</f>
        <v>70.681612143180047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55000000000000004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90.870486446276232</v>
      </c>
      <c r="G170">
        <f ca="1">IF($C170-G$1&lt;År1,0,F169*(1-VLOOKUP($A170,[1]Hugst!$R$5:$W$9,MATCH(ROUNDUP((G$1)/10,0)*10,[1]Hugst!$R$4:$W$4,0))))</f>
        <v>91.02037570477313</v>
      </c>
      <c r="H170">
        <f ca="1">IF($C170-H$1&lt;År1,0,G169*(1-VLOOKUP($A170,[1]Hugst!$R$5:$W$9,MATCH(ROUNDUP((H$1)/10,0)*10,[1]Hugst!$R$4:$W$4,0))))</f>
        <v>91.171018175622692</v>
      </c>
      <c r="I170">
        <f ca="1">IF($C170-I$1&lt;År1,0,H169*(1-VLOOKUP($A170,[1]Hugst!$R$5:$W$9,MATCH(ROUNDUP((I$1)/10,0)*10,[1]Hugst!$R$4:$W$4,0))))</f>
        <v>69.125136187275132</v>
      </c>
      <c r="J170">
        <f ca="1">IF($C170-J$1&lt;År1,0,I169*(1-VLOOKUP($A170,[1]Hugst!$R$5:$W$9,MATCH(ROUNDUP((J$1)/10,0)*10,[1]Hugst!$R$4:$W$4,0))))</f>
        <v>69.277296456813701</v>
      </c>
      <c r="K170">
        <f ca="1">IF($C170-K$1&lt;År1,0,J169*(1-VLOOKUP($A170,[1]Hugst!$R$5:$W$9,MATCH(ROUNDUP((K$1)/10,0)*10,[1]Hugst!$R$4:$W$4,0))))</f>
        <v>69.430221350823388</v>
      </c>
      <c r="L170">
        <f ca="1">IF($C170-L$1&lt;År1,0,K169*(1-VLOOKUP($A170,[1]Hugst!$R$5:$W$9,MATCH(ROUNDUP((L$1)/10,0)*10,[1]Hugst!$R$4:$W$4,0))))</f>
        <v>69.583914711636112</v>
      </c>
      <c r="M170">
        <f ca="1">IF($C170-M$1&lt;År1,0,L169*(1-VLOOKUP($A170,[1]Hugst!$R$5:$W$9,MATCH(ROUNDUP((M$1)/10,0)*10,[1]Hugst!$R$4:$W$4,0))))</f>
        <v>69.73838040089737</v>
      </c>
      <c r="N170">
        <f ca="1">IF($C170-N$1&lt;År1,0,M169*(1-VLOOKUP($A170,[1]Hugst!$R$5:$W$9,MATCH(ROUNDUP((N$1)/10,0)*10,[1]Hugst!$R$4:$W$4,0))))</f>
        <v>69.893622299649508</v>
      </c>
      <c r="O170">
        <f ca="1">IF($C170-O$1&lt;År1,0,N169*(1-VLOOKUP($A170,[1]Hugst!$R$5:$W$9,MATCH(ROUNDUP((O$1)/10,0)*10,[1]Hugst!$R$4:$W$4,0))))</f>
        <v>70.049644308447569</v>
      </c>
      <c r="P170">
        <f ca="1">IF($C170-P$1&lt;År1,0,O169*(1-VLOOKUP($A170,[1]Hugst!$R$5:$W$9,MATCH(ROUNDUP((P$1)/10,0)*10,[1]Hugst!$R$4:$W$4,0))))</f>
        <v>70.206450347439187</v>
      </c>
      <c r="Q170">
        <f ca="1">IF($C170-Q$1&lt;År1,0,P169*(1-VLOOKUP($A170,[1]Hugst!$R$5:$W$9,MATCH(ROUNDUP((Q$1)/10,0)*10,[1]Hugst!$R$4:$W$4,0))))</f>
        <v>70.364044356477635</v>
      </c>
      <c r="R170">
        <f ca="1">IF($C170-R$1&lt;År1,0,Q169*(1-VLOOKUP($A170,[1]Hugst!$R$5:$W$9,MATCH(ROUNDUP((R$1)/10,0)*10,[1]Hugst!$R$4:$W$4,0))))</f>
        <v>70.522430295208849</v>
      </c>
      <c r="S170">
        <f ca="1">IF($C170-S$1&lt;År1,0,R169*(1-VLOOKUP($A170,[1]Hugst!$R$5:$W$9,MATCH(ROUNDUP((S$1)/10,0)*10,[1]Hugst!$R$4:$W$4,0))))</f>
        <v>70.681612143180047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55000000000000004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90.721346634072461</v>
      </c>
      <c r="G171">
        <f ca="1">IF($C171-G$1&lt;År1,0,F170*(1-VLOOKUP($A171,[1]Hugst!$R$5:$W$9,MATCH(ROUNDUP((G$1)/10,0)*10,[1]Hugst!$R$4:$W$4,0))))</f>
        <v>90.870486446276232</v>
      </c>
      <c r="H171">
        <f ca="1">IF($C171-H$1&lt;År1,0,G170*(1-VLOOKUP($A171,[1]Hugst!$R$5:$W$9,MATCH(ROUNDUP((H$1)/10,0)*10,[1]Hugst!$R$4:$W$4,0))))</f>
        <v>91.02037570477313</v>
      </c>
      <c r="I171">
        <f ca="1">IF($C171-I$1&lt;År1,0,H170*(1-VLOOKUP($A171,[1]Hugst!$R$5:$W$9,MATCH(ROUNDUP((I$1)/10,0)*10,[1]Hugst!$R$4:$W$4,0))))</f>
        <v>91.171018175622692</v>
      </c>
      <c r="J171">
        <f ca="1">IF($C171-J$1&lt;År1,0,I170*(1-VLOOKUP($A171,[1]Hugst!$R$5:$W$9,MATCH(ROUNDUP((J$1)/10,0)*10,[1]Hugst!$R$4:$W$4,0))))</f>
        <v>69.125136187275132</v>
      </c>
      <c r="K171">
        <f ca="1">IF($C171-K$1&lt;År1,0,J170*(1-VLOOKUP($A171,[1]Hugst!$R$5:$W$9,MATCH(ROUNDUP((K$1)/10,0)*10,[1]Hugst!$R$4:$W$4,0))))</f>
        <v>69.277296456813701</v>
      </c>
      <c r="L171">
        <f ca="1">IF($C171-L$1&lt;År1,0,K170*(1-VLOOKUP($A171,[1]Hugst!$R$5:$W$9,MATCH(ROUNDUP((L$1)/10,0)*10,[1]Hugst!$R$4:$W$4,0))))</f>
        <v>69.430221350823388</v>
      </c>
      <c r="M171">
        <f ca="1">IF($C171-M$1&lt;År1,0,L170*(1-VLOOKUP($A171,[1]Hugst!$R$5:$W$9,MATCH(ROUNDUP((M$1)/10,0)*10,[1]Hugst!$R$4:$W$4,0))))</f>
        <v>69.583914711636112</v>
      </c>
      <c r="N171">
        <f ca="1">IF($C171-N$1&lt;År1,0,M170*(1-VLOOKUP($A171,[1]Hugst!$R$5:$W$9,MATCH(ROUNDUP((N$1)/10,0)*10,[1]Hugst!$R$4:$W$4,0))))</f>
        <v>69.73838040089737</v>
      </c>
      <c r="O171">
        <f ca="1">IF($C171-O$1&lt;År1,0,N170*(1-VLOOKUP($A171,[1]Hugst!$R$5:$W$9,MATCH(ROUNDUP((O$1)/10,0)*10,[1]Hugst!$R$4:$W$4,0))))</f>
        <v>69.893622299649508</v>
      </c>
      <c r="P171">
        <f ca="1">IF($C171-P$1&lt;År1,0,O170*(1-VLOOKUP($A171,[1]Hugst!$R$5:$W$9,MATCH(ROUNDUP((P$1)/10,0)*10,[1]Hugst!$R$4:$W$4,0))))</f>
        <v>70.049644308447569</v>
      </c>
      <c r="Q171">
        <f ca="1">IF($C171-Q$1&lt;År1,0,P170*(1-VLOOKUP($A171,[1]Hugst!$R$5:$W$9,MATCH(ROUNDUP((Q$1)/10,0)*10,[1]Hugst!$R$4:$W$4,0))))</f>
        <v>70.206450347439187</v>
      </c>
      <c r="R171">
        <f ca="1">IF($C171-R$1&lt;År1,0,Q170*(1-VLOOKUP($A171,[1]Hugst!$R$5:$W$9,MATCH(ROUNDUP((R$1)/10,0)*10,[1]Hugst!$R$4:$W$4,0))))</f>
        <v>70.364044356477635</v>
      </c>
      <c r="S171">
        <f ca="1">IF($C171-S$1&lt;År1,0,R170*(1-VLOOKUP($A171,[1]Hugst!$R$5:$W$9,MATCH(ROUNDUP((S$1)/10,0)*10,[1]Hugst!$R$4:$W$4,0))))</f>
        <v>70.522430295208849</v>
      </c>
      <c r="T171">
        <f ca="1">IF($C171-T$1&lt;År1,0,S170*(1-VLOOKUP($A171,[1]Hugst!$R$5:$W$9,MATCH(ROUNDUP((T$1)/10,0)*10,[1]Hugst!$R$4:$W$4,0))))</f>
        <v>70.681612143180047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55000000000000004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90.572952520930073</v>
      </c>
      <c r="G172">
        <f ca="1">IF($C172-G$1&lt;År1,0,F171*(1-VLOOKUP($A172,[1]Hugst!$R$5:$W$9,MATCH(ROUNDUP((G$1)/10,0)*10,[1]Hugst!$R$4:$W$4,0))))</f>
        <v>90.721346634072461</v>
      </c>
      <c r="H172">
        <f ca="1">IF($C172-H$1&lt;År1,0,G171*(1-VLOOKUP($A172,[1]Hugst!$R$5:$W$9,MATCH(ROUNDUP((H$1)/10,0)*10,[1]Hugst!$R$4:$W$4,0))))</f>
        <v>90.870486446276232</v>
      </c>
      <c r="I172">
        <f ca="1">IF($C172-I$1&lt;År1,0,H171*(1-VLOOKUP($A172,[1]Hugst!$R$5:$W$9,MATCH(ROUNDUP((I$1)/10,0)*10,[1]Hugst!$R$4:$W$4,0))))</f>
        <v>91.02037570477313</v>
      </c>
      <c r="J172">
        <f ca="1">IF($C172-J$1&lt;År1,0,I171*(1-VLOOKUP($A172,[1]Hugst!$R$5:$W$9,MATCH(ROUNDUP((J$1)/10,0)*10,[1]Hugst!$R$4:$W$4,0))))</f>
        <v>91.171018175622692</v>
      </c>
      <c r="K172">
        <f ca="1">IF($C172-K$1&lt;År1,0,J171*(1-VLOOKUP($A172,[1]Hugst!$R$5:$W$9,MATCH(ROUNDUP((K$1)/10,0)*10,[1]Hugst!$R$4:$W$4,0))))</f>
        <v>69.125136187275132</v>
      </c>
      <c r="L172">
        <f ca="1">IF($C172-L$1&lt;År1,0,K171*(1-VLOOKUP($A172,[1]Hugst!$R$5:$W$9,MATCH(ROUNDUP((L$1)/10,0)*10,[1]Hugst!$R$4:$W$4,0))))</f>
        <v>69.277296456813701</v>
      </c>
      <c r="M172">
        <f ca="1">IF($C172-M$1&lt;År1,0,L171*(1-VLOOKUP($A172,[1]Hugst!$R$5:$W$9,MATCH(ROUNDUP((M$1)/10,0)*10,[1]Hugst!$R$4:$W$4,0))))</f>
        <v>69.430221350823388</v>
      </c>
      <c r="N172">
        <f ca="1">IF($C172-N$1&lt;År1,0,M171*(1-VLOOKUP($A172,[1]Hugst!$R$5:$W$9,MATCH(ROUNDUP((N$1)/10,0)*10,[1]Hugst!$R$4:$W$4,0))))</f>
        <v>69.583914711636112</v>
      </c>
      <c r="O172">
        <f ca="1">IF($C172-O$1&lt;År1,0,N171*(1-VLOOKUP($A172,[1]Hugst!$R$5:$W$9,MATCH(ROUNDUP((O$1)/10,0)*10,[1]Hugst!$R$4:$W$4,0))))</f>
        <v>69.73838040089737</v>
      </c>
      <c r="P172">
        <f ca="1">IF($C172-P$1&lt;År1,0,O171*(1-VLOOKUP($A172,[1]Hugst!$R$5:$W$9,MATCH(ROUNDUP((P$1)/10,0)*10,[1]Hugst!$R$4:$W$4,0))))</f>
        <v>69.893622299649508</v>
      </c>
      <c r="Q172">
        <f ca="1">IF($C172-Q$1&lt;År1,0,P171*(1-VLOOKUP($A172,[1]Hugst!$R$5:$W$9,MATCH(ROUNDUP((Q$1)/10,0)*10,[1]Hugst!$R$4:$W$4,0))))</f>
        <v>70.049644308447569</v>
      </c>
      <c r="R172">
        <f ca="1">IF($C172-R$1&lt;År1,0,Q171*(1-VLOOKUP($A172,[1]Hugst!$R$5:$W$9,MATCH(ROUNDUP((R$1)/10,0)*10,[1]Hugst!$R$4:$W$4,0))))</f>
        <v>70.206450347439187</v>
      </c>
      <c r="S172">
        <f ca="1">IF($C172-S$1&lt;År1,0,R171*(1-VLOOKUP($A172,[1]Hugst!$R$5:$W$9,MATCH(ROUNDUP((S$1)/10,0)*10,[1]Hugst!$R$4:$W$4,0))))</f>
        <v>70.364044356477635</v>
      </c>
      <c r="T172">
        <f ca="1">IF($C172-T$1&lt;År1,0,S171*(1-VLOOKUP($A172,[1]Hugst!$R$5:$W$9,MATCH(ROUNDUP((T$1)/10,0)*10,[1]Hugst!$R$4:$W$4,0))))</f>
        <v>70.522430295208849</v>
      </c>
      <c r="U172">
        <f ca="1">IF($C172-U$1&lt;År1,0,T171*(1-VLOOKUP($A172,[1]Hugst!$R$5:$W$9,MATCH(ROUNDUP((U$1)/10,0)*10,[1]Hugst!$R$4:$W$4,0))))</f>
        <v>70.681612143180047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55000000000000004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90.425300378352233</v>
      </c>
      <c r="G173">
        <f ca="1">IF($C173-G$1&lt;År1,0,F172*(1-VLOOKUP($A173,[1]Hugst!$R$5:$W$9,MATCH(ROUNDUP((G$1)/10,0)*10,[1]Hugst!$R$4:$W$4,0))))</f>
        <v>90.572952520930073</v>
      </c>
      <c r="H173">
        <f ca="1">IF($C173-H$1&lt;År1,0,G172*(1-VLOOKUP($A173,[1]Hugst!$R$5:$W$9,MATCH(ROUNDUP((H$1)/10,0)*10,[1]Hugst!$R$4:$W$4,0))))</f>
        <v>90.721346634072461</v>
      </c>
      <c r="I173">
        <f ca="1">IF($C173-I$1&lt;År1,0,H172*(1-VLOOKUP($A173,[1]Hugst!$R$5:$W$9,MATCH(ROUNDUP((I$1)/10,0)*10,[1]Hugst!$R$4:$W$4,0))))</f>
        <v>90.870486446276232</v>
      </c>
      <c r="J173">
        <f ca="1">IF($C173-J$1&lt;År1,0,I172*(1-VLOOKUP($A173,[1]Hugst!$R$5:$W$9,MATCH(ROUNDUP((J$1)/10,0)*10,[1]Hugst!$R$4:$W$4,0))))</f>
        <v>91.02037570477313</v>
      </c>
      <c r="K173">
        <f ca="1">IF($C173-K$1&lt;År1,0,J172*(1-VLOOKUP($A173,[1]Hugst!$R$5:$W$9,MATCH(ROUNDUP((K$1)/10,0)*10,[1]Hugst!$R$4:$W$4,0))))</f>
        <v>91.171018175622692</v>
      </c>
      <c r="L173">
        <f ca="1">IF($C173-L$1&lt;År1,0,K172*(1-VLOOKUP($A173,[1]Hugst!$R$5:$W$9,MATCH(ROUNDUP((L$1)/10,0)*10,[1]Hugst!$R$4:$W$4,0))))</f>
        <v>69.125136187275132</v>
      </c>
      <c r="M173">
        <f ca="1">IF($C173-M$1&lt;År1,0,L172*(1-VLOOKUP($A173,[1]Hugst!$R$5:$W$9,MATCH(ROUNDUP((M$1)/10,0)*10,[1]Hugst!$R$4:$W$4,0))))</f>
        <v>69.277296456813701</v>
      </c>
      <c r="N173">
        <f ca="1">IF($C173-N$1&lt;År1,0,M172*(1-VLOOKUP($A173,[1]Hugst!$R$5:$W$9,MATCH(ROUNDUP((N$1)/10,0)*10,[1]Hugst!$R$4:$W$4,0))))</f>
        <v>69.430221350823388</v>
      </c>
      <c r="O173">
        <f ca="1">IF($C173-O$1&lt;År1,0,N172*(1-VLOOKUP($A173,[1]Hugst!$R$5:$W$9,MATCH(ROUNDUP((O$1)/10,0)*10,[1]Hugst!$R$4:$W$4,0))))</f>
        <v>69.583914711636112</v>
      </c>
      <c r="P173">
        <f ca="1">IF($C173-P$1&lt;År1,0,O172*(1-VLOOKUP($A173,[1]Hugst!$R$5:$W$9,MATCH(ROUNDUP((P$1)/10,0)*10,[1]Hugst!$R$4:$W$4,0))))</f>
        <v>69.73838040089737</v>
      </c>
      <c r="Q173">
        <f ca="1">IF($C173-Q$1&lt;År1,0,P172*(1-VLOOKUP($A173,[1]Hugst!$R$5:$W$9,MATCH(ROUNDUP((Q$1)/10,0)*10,[1]Hugst!$R$4:$W$4,0))))</f>
        <v>69.893622299649508</v>
      </c>
      <c r="R173">
        <f ca="1">IF($C173-R$1&lt;År1,0,Q172*(1-VLOOKUP($A173,[1]Hugst!$R$5:$W$9,MATCH(ROUNDUP((R$1)/10,0)*10,[1]Hugst!$R$4:$W$4,0))))</f>
        <v>70.049644308447569</v>
      </c>
      <c r="S173">
        <f ca="1">IF($C173-S$1&lt;År1,0,R172*(1-VLOOKUP($A173,[1]Hugst!$R$5:$W$9,MATCH(ROUNDUP((S$1)/10,0)*10,[1]Hugst!$R$4:$W$4,0))))</f>
        <v>70.206450347439187</v>
      </c>
      <c r="T173">
        <f ca="1">IF($C173-T$1&lt;År1,0,S172*(1-VLOOKUP($A173,[1]Hugst!$R$5:$W$9,MATCH(ROUNDUP((T$1)/10,0)*10,[1]Hugst!$R$4:$W$4,0))))</f>
        <v>70.364044356477635</v>
      </c>
      <c r="U173">
        <f ca="1">IF($C173-U$1&lt;År1,0,T172*(1-VLOOKUP($A173,[1]Hugst!$R$5:$W$9,MATCH(ROUNDUP((U$1)/10,0)*10,[1]Hugst!$R$4:$W$4,0))))</f>
        <v>70.522430295208849</v>
      </c>
      <c r="V173">
        <f ca="1">IF($C173-V$1&lt;År1,0,U172*(1-VLOOKUP($A173,[1]Hugst!$R$5:$W$9,MATCH(ROUNDUP((V$1)/10,0)*10,[1]Hugst!$R$4:$W$4,0))))</f>
        <v>70.681612143180047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55000000000000004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90.278386496488167</v>
      </c>
      <c r="G174">
        <f ca="1">IF($C174-G$1&lt;År1,0,F173*(1-VLOOKUP($A174,[1]Hugst!$R$5:$W$9,MATCH(ROUNDUP((G$1)/10,0)*10,[1]Hugst!$R$4:$W$4,0))))</f>
        <v>90.425300378352233</v>
      </c>
      <c r="H174">
        <f ca="1">IF($C174-H$1&lt;År1,0,G173*(1-VLOOKUP($A174,[1]Hugst!$R$5:$W$9,MATCH(ROUNDUP((H$1)/10,0)*10,[1]Hugst!$R$4:$W$4,0))))</f>
        <v>90.572952520930073</v>
      </c>
      <c r="I174">
        <f ca="1">IF($C174-I$1&lt;År1,0,H173*(1-VLOOKUP($A174,[1]Hugst!$R$5:$W$9,MATCH(ROUNDUP((I$1)/10,0)*10,[1]Hugst!$R$4:$W$4,0))))</f>
        <v>90.721346634072461</v>
      </c>
      <c r="J174">
        <f ca="1">IF($C174-J$1&lt;År1,0,I173*(1-VLOOKUP($A174,[1]Hugst!$R$5:$W$9,MATCH(ROUNDUP((J$1)/10,0)*10,[1]Hugst!$R$4:$W$4,0))))</f>
        <v>90.870486446276232</v>
      </c>
      <c r="K174">
        <f ca="1">IF($C174-K$1&lt;År1,0,J173*(1-VLOOKUP($A174,[1]Hugst!$R$5:$W$9,MATCH(ROUNDUP((K$1)/10,0)*10,[1]Hugst!$R$4:$W$4,0))))</f>
        <v>91.02037570477313</v>
      </c>
      <c r="L174">
        <f ca="1">IF($C174-L$1&lt;År1,0,K173*(1-VLOOKUP($A174,[1]Hugst!$R$5:$W$9,MATCH(ROUNDUP((L$1)/10,0)*10,[1]Hugst!$R$4:$W$4,0))))</f>
        <v>91.171018175622692</v>
      </c>
      <c r="M174">
        <f ca="1">IF($C174-M$1&lt;År1,0,L173*(1-VLOOKUP($A174,[1]Hugst!$R$5:$W$9,MATCH(ROUNDUP((M$1)/10,0)*10,[1]Hugst!$R$4:$W$4,0))))</f>
        <v>69.125136187275132</v>
      </c>
      <c r="N174">
        <f ca="1">IF($C174-N$1&lt;År1,0,M173*(1-VLOOKUP($A174,[1]Hugst!$R$5:$W$9,MATCH(ROUNDUP((N$1)/10,0)*10,[1]Hugst!$R$4:$W$4,0))))</f>
        <v>69.277296456813701</v>
      </c>
      <c r="O174">
        <f ca="1">IF($C174-O$1&lt;År1,0,N173*(1-VLOOKUP($A174,[1]Hugst!$R$5:$W$9,MATCH(ROUNDUP((O$1)/10,0)*10,[1]Hugst!$R$4:$W$4,0))))</f>
        <v>69.430221350823388</v>
      </c>
      <c r="P174">
        <f ca="1">IF($C174-P$1&lt;År1,0,O173*(1-VLOOKUP($A174,[1]Hugst!$R$5:$W$9,MATCH(ROUNDUP((P$1)/10,0)*10,[1]Hugst!$R$4:$W$4,0))))</f>
        <v>69.583914711636112</v>
      </c>
      <c r="Q174">
        <f ca="1">IF($C174-Q$1&lt;År1,0,P173*(1-VLOOKUP($A174,[1]Hugst!$R$5:$W$9,MATCH(ROUNDUP((Q$1)/10,0)*10,[1]Hugst!$R$4:$W$4,0))))</f>
        <v>69.73838040089737</v>
      </c>
      <c r="R174">
        <f ca="1">IF($C174-R$1&lt;År1,0,Q173*(1-VLOOKUP($A174,[1]Hugst!$R$5:$W$9,MATCH(ROUNDUP((R$1)/10,0)*10,[1]Hugst!$R$4:$W$4,0))))</f>
        <v>69.893622299649508</v>
      </c>
      <c r="S174">
        <f ca="1">IF($C174-S$1&lt;År1,0,R173*(1-VLOOKUP($A174,[1]Hugst!$R$5:$W$9,MATCH(ROUNDUP((S$1)/10,0)*10,[1]Hugst!$R$4:$W$4,0))))</f>
        <v>70.049644308447569</v>
      </c>
      <c r="T174">
        <f ca="1">IF($C174-T$1&lt;År1,0,S173*(1-VLOOKUP($A174,[1]Hugst!$R$5:$W$9,MATCH(ROUNDUP((T$1)/10,0)*10,[1]Hugst!$R$4:$W$4,0))))</f>
        <v>70.206450347439187</v>
      </c>
      <c r="U174">
        <f ca="1">IF($C174-U$1&lt;År1,0,T173*(1-VLOOKUP($A174,[1]Hugst!$R$5:$W$9,MATCH(ROUNDUP((U$1)/10,0)*10,[1]Hugst!$R$4:$W$4,0))))</f>
        <v>70.364044356477635</v>
      </c>
      <c r="V174">
        <f ca="1">IF($C174-V$1&lt;År1,0,U173*(1-VLOOKUP($A174,[1]Hugst!$R$5:$W$9,MATCH(ROUNDUP((V$1)/10,0)*10,[1]Hugst!$R$4:$W$4,0))))</f>
        <v>70.522430295208849</v>
      </c>
      <c r="W174">
        <f ca="1">IF($C174-W$1&lt;År1,0,V173*(1-VLOOKUP($A174,[1]Hugst!$R$5:$W$9,MATCH(ROUNDUP((W$1)/10,0)*10,[1]Hugst!$R$4:$W$4,0))))</f>
        <v>70.681612143180047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55000000000000004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90.132207184033689</v>
      </c>
      <c r="G175">
        <f ca="1">IF($C175-G$1&lt;År1,0,F174*(1-VLOOKUP($A175,[1]Hugst!$R$5:$W$9,MATCH(ROUNDUP((G$1)/10,0)*10,[1]Hugst!$R$4:$W$4,0))))</f>
        <v>90.278386496488167</v>
      </c>
      <c r="H175">
        <f ca="1">IF($C175-H$1&lt;År1,0,G174*(1-VLOOKUP($A175,[1]Hugst!$R$5:$W$9,MATCH(ROUNDUP((H$1)/10,0)*10,[1]Hugst!$R$4:$W$4,0))))</f>
        <v>90.425300378352233</v>
      </c>
      <c r="I175">
        <f ca="1">IF($C175-I$1&lt;År1,0,H174*(1-VLOOKUP($A175,[1]Hugst!$R$5:$W$9,MATCH(ROUNDUP((I$1)/10,0)*10,[1]Hugst!$R$4:$W$4,0))))</f>
        <v>90.572952520930073</v>
      </c>
      <c r="J175">
        <f ca="1">IF($C175-J$1&lt;År1,0,I174*(1-VLOOKUP($A175,[1]Hugst!$R$5:$W$9,MATCH(ROUNDUP((J$1)/10,0)*10,[1]Hugst!$R$4:$W$4,0))))</f>
        <v>90.721346634072461</v>
      </c>
      <c r="K175">
        <f ca="1">IF($C175-K$1&lt;År1,0,J174*(1-VLOOKUP($A175,[1]Hugst!$R$5:$W$9,MATCH(ROUNDUP((K$1)/10,0)*10,[1]Hugst!$R$4:$W$4,0))))</f>
        <v>90.870486446276232</v>
      </c>
      <c r="L175">
        <f ca="1">IF($C175-L$1&lt;År1,0,K174*(1-VLOOKUP($A175,[1]Hugst!$R$5:$W$9,MATCH(ROUNDUP((L$1)/10,0)*10,[1]Hugst!$R$4:$W$4,0))))</f>
        <v>91.02037570477313</v>
      </c>
      <c r="M175">
        <f ca="1">IF($C175-M$1&lt;År1,0,L174*(1-VLOOKUP($A175,[1]Hugst!$R$5:$W$9,MATCH(ROUNDUP((M$1)/10,0)*10,[1]Hugst!$R$4:$W$4,0))))</f>
        <v>91.171018175622692</v>
      </c>
      <c r="N175">
        <f ca="1">IF($C175-N$1&lt;År1,0,M174*(1-VLOOKUP($A175,[1]Hugst!$R$5:$W$9,MATCH(ROUNDUP((N$1)/10,0)*10,[1]Hugst!$R$4:$W$4,0))))</f>
        <v>69.125136187275132</v>
      </c>
      <c r="O175">
        <f ca="1">IF($C175-O$1&lt;År1,0,N174*(1-VLOOKUP($A175,[1]Hugst!$R$5:$W$9,MATCH(ROUNDUP((O$1)/10,0)*10,[1]Hugst!$R$4:$W$4,0))))</f>
        <v>69.277296456813701</v>
      </c>
      <c r="P175">
        <f ca="1">IF($C175-P$1&lt;År1,0,O174*(1-VLOOKUP($A175,[1]Hugst!$R$5:$W$9,MATCH(ROUNDUP((P$1)/10,0)*10,[1]Hugst!$R$4:$W$4,0))))</f>
        <v>69.430221350823388</v>
      </c>
      <c r="Q175">
        <f ca="1">IF($C175-Q$1&lt;År1,0,P174*(1-VLOOKUP($A175,[1]Hugst!$R$5:$W$9,MATCH(ROUNDUP((Q$1)/10,0)*10,[1]Hugst!$R$4:$W$4,0))))</f>
        <v>69.583914711636112</v>
      </c>
      <c r="R175">
        <f ca="1">IF($C175-R$1&lt;År1,0,Q174*(1-VLOOKUP($A175,[1]Hugst!$R$5:$W$9,MATCH(ROUNDUP((R$1)/10,0)*10,[1]Hugst!$R$4:$W$4,0))))</f>
        <v>69.73838040089737</v>
      </c>
      <c r="S175">
        <f ca="1">IF($C175-S$1&lt;År1,0,R174*(1-VLOOKUP($A175,[1]Hugst!$R$5:$W$9,MATCH(ROUNDUP((S$1)/10,0)*10,[1]Hugst!$R$4:$W$4,0))))</f>
        <v>69.893622299649508</v>
      </c>
      <c r="T175">
        <f ca="1">IF($C175-T$1&lt;År1,0,S174*(1-VLOOKUP($A175,[1]Hugst!$R$5:$W$9,MATCH(ROUNDUP((T$1)/10,0)*10,[1]Hugst!$R$4:$W$4,0))))</f>
        <v>70.049644308447569</v>
      </c>
      <c r="U175">
        <f ca="1">IF($C175-U$1&lt;År1,0,T174*(1-VLOOKUP($A175,[1]Hugst!$R$5:$W$9,MATCH(ROUNDUP((U$1)/10,0)*10,[1]Hugst!$R$4:$W$4,0))))</f>
        <v>70.206450347439187</v>
      </c>
      <c r="V175">
        <f ca="1">IF($C175-V$1&lt;År1,0,U174*(1-VLOOKUP($A175,[1]Hugst!$R$5:$W$9,MATCH(ROUNDUP((V$1)/10,0)*10,[1]Hugst!$R$4:$W$4,0))))</f>
        <v>70.364044356477635</v>
      </c>
      <c r="W175">
        <f ca="1">IF($C175-W$1&lt;År1,0,V174*(1-VLOOKUP($A175,[1]Hugst!$R$5:$W$9,MATCH(ROUNDUP((W$1)/10,0)*10,[1]Hugst!$R$4:$W$4,0))))</f>
        <v>70.522430295208849</v>
      </c>
      <c r="X175">
        <f ca="1">IF($C175-X$1&lt;År1,0,W174*(1-VLOOKUP($A175,[1]Hugst!$R$5:$W$9,MATCH(ROUNDUP((X$1)/10,0)*10,[1]Hugst!$R$4:$W$4,0))))</f>
        <v>70.681612143180047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55000000000000004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89.98675876813985</v>
      </c>
      <c r="G176">
        <f ca="1">IF($C176-G$1&lt;År1,0,F175*(1-VLOOKUP($A176,[1]Hugst!$R$5:$W$9,MATCH(ROUNDUP((G$1)/10,0)*10,[1]Hugst!$R$4:$W$4,0))))</f>
        <v>90.132207184033689</v>
      </c>
      <c r="H176">
        <f ca="1">IF($C176-H$1&lt;År1,0,G175*(1-VLOOKUP($A176,[1]Hugst!$R$5:$W$9,MATCH(ROUNDUP((H$1)/10,0)*10,[1]Hugst!$R$4:$W$4,0))))</f>
        <v>90.278386496488167</v>
      </c>
      <c r="I176">
        <f ca="1">IF($C176-I$1&lt;År1,0,H175*(1-VLOOKUP($A176,[1]Hugst!$R$5:$W$9,MATCH(ROUNDUP((I$1)/10,0)*10,[1]Hugst!$R$4:$W$4,0))))</f>
        <v>90.425300378352233</v>
      </c>
      <c r="J176">
        <f ca="1">IF($C176-J$1&lt;År1,0,I175*(1-VLOOKUP($A176,[1]Hugst!$R$5:$W$9,MATCH(ROUNDUP((J$1)/10,0)*10,[1]Hugst!$R$4:$W$4,0))))</f>
        <v>90.572952520930073</v>
      </c>
      <c r="K176">
        <f ca="1">IF($C176-K$1&lt;År1,0,J175*(1-VLOOKUP($A176,[1]Hugst!$R$5:$W$9,MATCH(ROUNDUP((K$1)/10,0)*10,[1]Hugst!$R$4:$W$4,0))))</f>
        <v>90.721346634072461</v>
      </c>
      <c r="L176">
        <f ca="1">IF($C176-L$1&lt;År1,0,K175*(1-VLOOKUP($A176,[1]Hugst!$R$5:$W$9,MATCH(ROUNDUP((L$1)/10,0)*10,[1]Hugst!$R$4:$W$4,0))))</f>
        <v>90.870486446276232</v>
      </c>
      <c r="M176">
        <f ca="1">IF($C176-M$1&lt;År1,0,L175*(1-VLOOKUP($A176,[1]Hugst!$R$5:$W$9,MATCH(ROUNDUP((M$1)/10,0)*10,[1]Hugst!$R$4:$W$4,0))))</f>
        <v>91.02037570477313</v>
      </c>
      <c r="N176">
        <f ca="1">IF($C176-N$1&lt;År1,0,M175*(1-VLOOKUP($A176,[1]Hugst!$R$5:$W$9,MATCH(ROUNDUP((N$1)/10,0)*10,[1]Hugst!$R$4:$W$4,0))))</f>
        <v>91.171018175622692</v>
      </c>
      <c r="O176">
        <f ca="1">IF($C176-O$1&lt;År1,0,N175*(1-VLOOKUP($A176,[1]Hugst!$R$5:$W$9,MATCH(ROUNDUP((O$1)/10,0)*10,[1]Hugst!$R$4:$W$4,0))))</f>
        <v>69.125136187275132</v>
      </c>
      <c r="P176">
        <f ca="1">IF($C176-P$1&lt;År1,0,O175*(1-VLOOKUP($A176,[1]Hugst!$R$5:$W$9,MATCH(ROUNDUP((P$1)/10,0)*10,[1]Hugst!$R$4:$W$4,0))))</f>
        <v>69.277296456813701</v>
      </c>
      <c r="Q176">
        <f ca="1">IF($C176-Q$1&lt;År1,0,P175*(1-VLOOKUP($A176,[1]Hugst!$R$5:$W$9,MATCH(ROUNDUP((Q$1)/10,0)*10,[1]Hugst!$R$4:$W$4,0))))</f>
        <v>69.430221350823388</v>
      </c>
      <c r="R176">
        <f ca="1">IF($C176-R$1&lt;År1,0,Q175*(1-VLOOKUP($A176,[1]Hugst!$R$5:$W$9,MATCH(ROUNDUP((R$1)/10,0)*10,[1]Hugst!$R$4:$W$4,0))))</f>
        <v>69.583914711636112</v>
      </c>
      <c r="S176">
        <f ca="1">IF($C176-S$1&lt;År1,0,R175*(1-VLOOKUP($A176,[1]Hugst!$R$5:$W$9,MATCH(ROUNDUP((S$1)/10,0)*10,[1]Hugst!$R$4:$W$4,0))))</f>
        <v>69.73838040089737</v>
      </c>
      <c r="T176">
        <f ca="1">IF($C176-T$1&lt;År1,0,S175*(1-VLOOKUP($A176,[1]Hugst!$R$5:$W$9,MATCH(ROUNDUP((T$1)/10,0)*10,[1]Hugst!$R$4:$W$4,0))))</f>
        <v>69.893622299649508</v>
      </c>
      <c r="U176">
        <f ca="1">IF($C176-U$1&lt;År1,0,T175*(1-VLOOKUP($A176,[1]Hugst!$R$5:$W$9,MATCH(ROUNDUP((U$1)/10,0)*10,[1]Hugst!$R$4:$W$4,0))))</f>
        <v>70.049644308447569</v>
      </c>
      <c r="V176">
        <f ca="1">IF($C176-V$1&lt;År1,0,U175*(1-VLOOKUP($A176,[1]Hugst!$R$5:$W$9,MATCH(ROUNDUP((V$1)/10,0)*10,[1]Hugst!$R$4:$W$4,0))))</f>
        <v>70.206450347439187</v>
      </c>
      <c r="W176">
        <f ca="1">IF($C176-W$1&lt;År1,0,V175*(1-VLOOKUP($A176,[1]Hugst!$R$5:$W$9,MATCH(ROUNDUP((W$1)/10,0)*10,[1]Hugst!$R$4:$W$4,0))))</f>
        <v>70.364044356477635</v>
      </c>
      <c r="X176">
        <f ca="1">IF($C176-X$1&lt;År1,0,W175*(1-VLOOKUP($A176,[1]Hugst!$R$5:$W$9,MATCH(ROUNDUP((X$1)/10,0)*10,[1]Hugst!$R$4:$W$4,0))))</f>
        <v>70.522430295208849</v>
      </c>
      <c r="Y176">
        <f ca="1">IF($C176-Y$1&lt;År1,0,X175*(1-VLOOKUP($A176,[1]Hugst!$R$5:$W$9,MATCH(ROUNDUP((Y$1)/10,0)*10,[1]Hugst!$R$4:$W$4,0))))</f>
        <v>70.681612143180047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55000000000000004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89.842037594326996</v>
      </c>
      <c r="G177">
        <f ca="1">IF($C177-G$1&lt;År1,0,F176*(1-VLOOKUP($A177,[1]Hugst!$R$5:$W$9,MATCH(ROUNDUP((G$1)/10,0)*10,[1]Hugst!$R$4:$W$4,0))))</f>
        <v>89.98675876813985</v>
      </c>
      <c r="H177">
        <f ca="1">IF($C177-H$1&lt;År1,0,G176*(1-VLOOKUP($A177,[1]Hugst!$R$5:$W$9,MATCH(ROUNDUP((H$1)/10,0)*10,[1]Hugst!$R$4:$W$4,0))))</f>
        <v>90.132207184033689</v>
      </c>
      <c r="I177">
        <f ca="1">IF($C177-I$1&lt;År1,0,H176*(1-VLOOKUP($A177,[1]Hugst!$R$5:$W$9,MATCH(ROUNDUP((I$1)/10,0)*10,[1]Hugst!$R$4:$W$4,0))))</f>
        <v>90.278386496488167</v>
      </c>
      <c r="J177">
        <f ca="1">IF($C177-J$1&lt;År1,0,I176*(1-VLOOKUP($A177,[1]Hugst!$R$5:$W$9,MATCH(ROUNDUP((J$1)/10,0)*10,[1]Hugst!$R$4:$W$4,0))))</f>
        <v>90.425300378352233</v>
      </c>
      <c r="K177">
        <f ca="1">IF($C177-K$1&lt;År1,0,J176*(1-VLOOKUP($A177,[1]Hugst!$R$5:$W$9,MATCH(ROUNDUP((K$1)/10,0)*10,[1]Hugst!$R$4:$W$4,0))))</f>
        <v>90.572952520930073</v>
      </c>
      <c r="L177">
        <f ca="1">IF($C177-L$1&lt;År1,0,K176*(1-VLOOKUP($A177,[1]Hugst!$R$5:$W$9,MATCH(ROUNDUP((L$1)/10,0)*10,[1]Hugst!$R$4:$W$4,0))))</f>
        <v>90.721346634072461</v>
      </c>
      <c r="M177">
        <f ca="1">IF($C177-M$1&lt;År1,0,L176*(1-VLOOKUP($A177,[1]Hugst!$R$5:$W$9,MATCH(ROUNDUP((M$1)/10,0)*10,[1]Hugst!$R$4:$W$4,0))))</f>
        <v>90.870486446276232</v>
      </c>
      <c r="N177">
        <f ca="1">IF($C177-N$1&lt;År1,0,M176*(1-VLOOKUP($A177,[1]Hugst!$R$5:$W$9,MATCH(ROUNDUP((N$1)/10,0)*10,[1]Hugst!$R$4:$W$4,0))))</f>
        <v>91.02037570477313</v>
      </c>
      <c r="O177">
        <f ca="1">IF($C177-O$1&lt;År1,0,N176*(1-VLOOKUP($A177,[1]Hugst!$R$5:$W$9,MATCH(ROUNDUP((O$1)/10,0)*10,[1]Hugst!$R$4:$W$4,0))))</f>
        <v>91.171018175622692</v>
      </c>
      <c r="P177">
        <f ca="1">IF($C177-P$1&lt;År1,0,O176*(1-VLOOKUP($A177,[1]Hugst!$R$5:$W$9,MATCH(ROUNDUP((P$1)/10,0)*10,[1]Hugst!$R$4:$W$4,0))))</f>
        <v>69.125136187275132</v>
      </c>
      <c r="Q177">
        <f ca="1">IF($C177-Q$1&lt;År1,0,P176*(1-VLOOKUP($A177,[1]Hugst!$R$5:$W$9,MATCH(ROUNDUP((Q$1)/10,0)*10,[1]Hugst!$R$4:$W$4,0))))</f>
        <v>69.277296456813701</v>
      </c>
      <c r="R177">
        <f ca="1">IF($C177-R$1&lt;År1,0,Q176*(1-VLOOKUP($A177,[1]Hugst!$R$5:$W$9,MATCH(ROUNDUP((R$1)/10,0)*10,[1]Hugst!$R$4:$W$4,0))))</f>
        <v>69.430221350823388</v>
      </c>
      <c r="S177">
        <f ca="1">IF($C177-S$1&lt;År1,0,R176*(1-VLOOKUP($A177,[1]Hugst!$R$5:$W$9,MATCH(ROUNDUP((S$1)/10,0)*10,[1]Hugst!$R$4:$W$4,0))))</f>
        <v>69.583914711636112</v>
      </c>
      <c r="T177">
        <f ca="1">IF($C177-T$1&lt;År1,0,S176*(1-VLOOKUP($A177,[1]Hugst!$R$5:$W$9,MATCH(ROUNDUP((T$1)/10,0)*10,[1]Hugst!$R$4:$W$4,0))))</f>
        <v>69.73838040089737</v>
      </c>
      <c r="U177">
        <f ca="1">IF($C177-U$1&lt;År1,0,T176*(1-VLOOKUP($A177,[1]Hugst!$R$5:$W$9,MATCH(ROUNDUP((U$1)/10,0)*10,[1]Hugst!$R$4:$W$4,0))))</f>
        <v>69.893622299649508</v>
      </c>
      <c r="V177">
        <f ca="1">IF($C177-V$1&lt;År1,0,U176*(1-VLOOKUP($A177,[1]Hugst!$R$5:$W$9,MATCH(ROUNDUP((V$1)/10,0)*10,[1]Hugst!$R$4:$W$4,0))))</f>
        <v>70.049644308447569</v>
      </c>
      <c r="W177">
        <f ca="1">IF($C177-W$1&lt;År1,0,V176*(1-VLOOKUP($A177,[1]Hugst!$R$5:$W$9,MATCH(ROUNDUP((W$1)/10,0)*10,[1]Hugst!$R$4:$W$4,0))))</f>
        <v>70.206450347439187</v>
      </c>
      <c r="X177">
        <f ca="1">IF($C177-X$1&lt;År1,0,W176*(1-VLOOKUP($A177,[1]Hugst!$R$5:$W$9,MATCH(ROUNDUP((X$1)/10,0)*10,[1]Hugst!$R$4:$W$4,0))))</f>
        <v>70.364044356477635</v>
      </c>
      <c r="Y177">
        <f ca="1">IF($C177-Y$1&lt;År1,0,X176*(1-VLOOKUP($A177,[1]Hugst!$R$5:$W$9,MATCH(ROUNDUP((Y$1)/10,0)*10,[1]Hugst!$R$4:$W$4,0))))</f>
        <v>70.522430295208849</v>
      </c>
      <c r="Z177">
        <f ca="1">IF($C177-Z$1&lt;År1,0,Y176*(1-VLOOKUP($A177,[1]Hugst!$R$5:$W$9,MATCH(ROUNDUP((Z$1)/10,0)*10,[1]Hugst!$R$4:$W$4,0))))</f>
        <v>70.681612143180047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55000000000000004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89.698040026383126</v>
      </c>
      <c r="G178">
        <f ca="1">IF($C178-G$1&lt;År1,0,F177*(1-VLOOKUP($A178,[1]Hugst!$R$5:$W$9,MATCH(ROUNDUP((G$1)/10,0)*10,[1]Hugst!$R$4:$W$4,0))))</f>
        <v>89.842037594326996</v>
      </c>
      <c r="H178">
        <f ca="1">IF($C178-H$1&lt;År1,0,G177*(1-VLOOKUP($A178,[1]Hugst!$R$5:$W$9,MATCH(ROUNDUP((H$1)/10,0)*10,[1]Hugst!$R$4:$W$4,0))))</f>
        <v>89.98675876813985</v>
      </c>
      <c r="I178">
        <f ca="1">IF($C178-I$1&lt;År1,0,H177*(1-VLOOKUP($A178,[1]Hugst!$R$5:$W$9,MATCH(ROUNDUP((I$1)/10,0)*10,[1]Hugst!$R$4:$W$4,0))))</f>
        <v>90.132207184033689</v>
      </c>
      <c r="J178">
        <f ca="1">IF($C178-J$1&lt;År1,0,I177*(1-VLOOKUP($A178,[1]Hugst!$R$5:$W$9,MATCH(ROUNDUP((J$1)/10,0)*10,[1]Hugst!$R$4:$W$4,0))))</f>
        <v>90.278386496488167</v>
      </c>
      <c r="K178">
        <f ca="1">IF($C178-K$1&lt;År1,0,J177*(1-VLOOKUP($A178,[1]Hugst!$R$5:$W$9,MATCH(ROUNDUP((K$1)/10,0)*10,[1]Hugst!$R$4:$W$4,0))))</f>
        <v>90.425300378352233</v>
      </c>
      <c r="L178">
        <f ca="1">IF($C178-L$1&lt;År1,0,K177*(1-VLOOKUP($A178,[1]Hugst!$R$5:$W$9,MATCH(ROUNDUP((L$1)/10,0)*10,[1]Hugst!$R$4:$W$4,0))))</f>
        <v>90.572952520930073</v>
      </c>
      <c r="M178">
        <f ca="1">IF($C178-M$1&lt;År1,0,L177*(1-VLOOKUP($A178,[1]Hugst!$R$5:$W$9,MATCH(ROUNDUP((M$1)/10,0)*10,[1]Hugst!$R$4:$W$4,0))))</f>
        <v>90.721346634072461</v>
      </c>
      <c r="N178">
        <f ca="1">IF($C178-N$1&lt;År1,0,M177*(1-VLOOKUP($A178,[1]Hugst!$R$5:$W$9,MATCH(ROUNDUP((N$1)/10,0)*10,[1]Hugst!$R$4:$W$4,0))))</f>
        <v>90.870486446276232</v>
      </c>
      <c r="O178">
        <f ca="1">IF($C178-O$1&lt;År1,0,N177*(1-VLOOKUP($A178,[1]Hugst!$R$5:$W$9,MATCH(ROUNDUP((O$1)/10,0)*10,[1]Hugst!$R$4:$W$4,0))))</f>
        <v>91.02037570477313</v>
      </c>
      <c r="P178">
        <f ca="1">IF($C178-P$1&lt;År1,0,O177*(1-VLOOKUP($A178,[1]Hugst!$R$5:$W$9,MATCH(ROUNDUP((P$1)/10,0)*10,[1]Hugst!$R$4:$W$4,0))))</f>
        <v>91.171018175622692</v>
      </c>
      <c r="Q178">
        <f ca="1">IF($C178-Q$1&lt;År1,0,P177*(1-VLOOKUP($A178,[1]Hugst!$R$5:$W$9,MATCH(ROUNDUP((Q$1)/10,0)*10,[1]Hugst!$R$4:$W$4,0))))</f>
        <v>69.125136187275132</v>
      </c>
      <c r="R178">
        <f ca="1">IF($C178-R$1&lt;År1,0,Q177*(1-VLOOKUP($A178,[1]Hugst!$R$5:$W$9,MATCH(ROUNDUP((R$1)/10,0)*10,[1]Hugst!$R$4:$W$4,0))))</f>
        <v>69.277296456813701</v>
      </c>
      <c r="S178">
        <f ca="1">IF($C178-S$1&lt;År1,0,R177*(1-VLOOKUP($A178,[1]Hugst!$R$5:$W$9,MATCH(ROUNDUP((S$1)/10,0)*10,[1]Hugst!$R$4:$W$4,0))))</f>
        <v>69.430221350823388</v>
      </c>
      <c r="T178">
        <f ca="1">IF($C178-T$1&lt;År1,0,S177*(1-VLOOKUP($A178,[1]Hugst!$R$5:$W$9,MATCH(ROUNDUP((T$1)/10,0)*10,[1]Hugst!$R$4:$W$4,0))))</f>
        <v>69.583914711636112</v>
      </c>
      <c r="U178">
        <f ca="1">IF($C178-U$1&lt;År1,0,T177*(1-VLOOKUP($A178,[1]Hugst!$R$5:$W$9,MATCH(ROUNDUP((U$1)/10,0)*10,[1]Hugst!$R$4:$W$4,0))))</f>
        <v>69.73838040089737</v>
      </c>
      <c r="V178">
        <f ca="1">IF($C178-V$1&lt;År1,0,U177*(1-VLOOKUP($A178,[1]Hugst!$R$5:$W$9,MATCH(ROUNDUP((V$1)/10,0)*10,[1]Hugst!$R$4:$W$4,0))))</f>
        <v>69.893622299649508</v>
      </c>
      <c r="W178">
        <f ca="1">IF($C178-W$1&lt;År1,0,V177*(1-VLOOKUP($A178,[1]Hugst!$R$5:$W$9,MATCH(ROUNDUP((W$1)/10,0)*10,[1]Hugst!$R$4:$W$4,0))))</f>
        <v>70.049644308447569</v>
      </c>
      <c r="X178">
        <f ca="1">IF($C178-X$1&lt;År1,0,W177*(1-VLOOKUP($A178,[1]Hugst!$R$5:$W$9,MATCH(ROUNDUP((X$1)/10,0)*10,[1]Hugst!$R$4:$W$4,0))))</f>
        <v>70.206450347439187</v>
      </c>
      <c r="Y178">
        <f ca="1">IF($C178-Y$1&lt;År1,0,X177*(1-VLOOKUP($A178,[1]Hugst!$R$5:$W$9,MATCH(ROUNDUP((Y$1)/10,0)*10,[1]Hugst!$R$4:$W$4,0))))</f>
        <v>70.364044356477635</v>
      </c>
      <c r="Z178">
        <f ca="1">IF($C178-Z$1&lt;År1,0,Y177*(1-VLOOKUP($A178,[1]Hugst!$R$5:$W$9,MATCH(ROUNDUP((Z$1)/10,0)*10,[1]Hugst!$R$4:$W$4,0))))</f>
        <v>70.522430295208849</v>
      </c>
      <c r="AA178">
        <f ca="1">IF($C178-AA$1&lt;År1,0,Z177*(1-VLOOKUP($A178,[1]Hugst!$R$5:$W$9,MATCH(ROUNDUP((AA$1)/10,0)*10,[1]Hugst!$R$4:$W$4,0))))</f>
        <v>70.681612143180047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55000000000000004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89.554762446278403</v>
      </c>
      <c r="G179">
        <f ca="1">IF($C179-G$1&lt;År1,0,F178*(1-VLOOKUP($A179,[1]Hugst!$R$5:$W$9,MATCH(ROUNDUP((G$1)/10,0)*10,[1]Hugst!$R$4:$W$4,0))))</f>
        <v>89.698040026383126</v>
      </c>
      <c r="H179">
        <f ca="1">IF($C179-H$1&lt;År1,0,G178*(1-VLOOKUP($A179,[1]Hugst!$R$5:$W$9,MATCH(ROUNDUP((H$1)/10,0)*10,[1]Hugst!$R$4:$W$4,0))))</f>
        <v>89.842037594326996</v>
      </c>
      <c r="I179">
        <f ca="1">IF($C179-I$1&lt;År1,0,H178*(1-VLOOKUP($A179,[1]Hugst!$R$5:$W$9,MATCH(ROUNDUP((I$1)/10,0)*10,[1]Hugst!$R$4:$W$4,0))))</f>
        <v>89.98675876813985</v>
      </c>
      <c r="J179">
        <f ca="1">IF($C179-J$1&lt;År1,0,I178*(1-VLOOKUP($A179,[1]Hugst!$R$5:$W$9,MATCH(ROUNDUP((J$1)/10,0)*10,[1]Hugst!$R$4:$W$4,0))))</f>
        <v>90.132207184033689</v>
      </c>
      <c r="K179">
        <f ca="1">IF($C179-K$1&lt;År1,0,J178*(1-VLOOKUP($A179,[1]Hugst!$R$5:$W$9,MATCH(ROUNDUP((K$1)/10,0)*10,[1]Hugst!$R$4:$W$4,0))))</f>
        <v>90.278386496488167</v>
      </c>
      <c r="L179">
        <f ca="1">IF($C179-L$1&lt;År1,0,K178*(1-VLOOKUP($A179,[1]Hugst!$R$5:$W$9,MATCH(ROUNDUP((L$1)/10,0)*10,[1]Hugst!$R$4:$W$4,0))))</f>
        <v>90.425300378352233</v>
      </c>
      <c r="M179">
        <f ca="1">IF($C179-M$1&lt;År1,0,L178*(1-VLOOKUP($A179,[1]Hugst!$R$5:$W$9,MATCH(ROUNDUP((M$1)/10,0)*10,[1]Hugst!$R$4:$W$4,0))))</f>
        <v>90.572952520930073</v>
      </c>
      <c r="N179">
        <f ca="1">IF($C179-N$1&lt;År1,0,M178*(1-VLOOKUP($A179,[1]Hugst!$R$5:$W$9,MATCH(ROUNDUP((N$1)/10,0)*10,[1]Hugst!$R$4:$W$4,0))))</f>
        <v>90.721346634072461</v>
      </c>
      <c r="O179">
        <f ca="1">IF($C179-O$1&lt;År1,0,N178*(1-VLOOKUP($A179,[1]Hugst!$R$5:$W$9,MATCH(ROUNDUP((O$1)/10,0)*10,[1]Hugst!$R$4:$W$4,0))))</f>
        <v>90.870486446276232</v>
      </c>
      <c r="P179">
        <f ca="1">IF($C179-P$1&lt;År1,0,O178*(1-VLOOKUP($A179,[1]Hugst!$R$5:$W$9,MATCH(ROUNDUP((P$1)/10,0)*10,[1]Hugst!$R$4:$W$4,0))))</f>
        <v>91.02037570477313</v>
      </c>
      <c r="Q179">
        <f ca="1">IF($C179-Q$1&lt;År1,0,P178*(1-VLOOKUP($A179,[1]Hugst!$R$5:$W$9,MATCH(ROUNDUP((Q$1)/10,0)*10,[1]Hugst!$R$4:$W$4,0))))</f>
        <v>91.171018175622692</v>
      </c>
      <c r="R179">
        <f ca="1">IF($C179-R$1&lt;År1,0,Q178*(1-VLOOKUP($A179,[1]Hugst!$R$5:$W$9,MATCH(ROUNDUP((R$1)/10,0)*10,[1]Hugst!$R$4:$W$4,0))))</f>
        <v>69.125136187275132</v>
      </c>
      <c r="S179">
        <f ca="1">IF($C179-S$1&lt;År1,0,R178*(1-VLOOKUP($A179,[1]Hugst!$R$5:$W$9,MATCH(ROUNDUP((S$1)/10,0)*10,[1]Hugst!$R$4:$W$4,0))))</f>
        <v>69.277296456813701</v>
      </c>
      <c r="T179">
        <f ca="1">IF($C179-T$1&lt;År1,0,S178*(1-VLOOKUP($A179,[1]Hugst!$R$5:$W$9,MATCH(ROUNDUP((T$1)/10,0)*10,[1]Hugst!$R$4:$W$4,0))))</f>
        <v>69.430221350823388</v>
      </c>
      <c r="U179">
        <f ca="1">IF($C179-U$1&lt;År1,0,T178*(1-VLOOKUP($A179,[1]Hugst!$R$5:$W$9,MATCH(ROUNDUP((U$1)/10,0)*10,[1]Hugst!$R$4:$W$4,0))))</f>
        <v>69.583914711636112</v>
      </c>
      <c r="V179">
        <f ca="1">IF($C179-V$1&lt;År1,0,U178*(1-VLOOKUP($A179,[1]Hugst!$R$5:$W$9,MATCH(ROUNDUP((V$1)/10,0)*10,[1]Hugst!$R$4:$W$4,0))))</f>
        <v>69.73838040089737</v>
      </c>
      <c r="W179">
        <f ca="1">IF($C179-W$1&lt;År1,0,V178*(1-VLOOKUP($A179,[1]Hugst!$R$5:$W$9,MATCH(ROUNDUP((W$1)/10,0)*10,[1]Hugst!$R$4:$W$4,0))))</f>
        <v>69.893622299649508</v>
      </c>
      <c r="X179">
        <f ca="1">IF($C179-X$1&lt;År1,0,W178*(1-VLOOKUP($A179,[1]Hugst!$R$5:$W$9,MATCH(ROUNDUP((X$1)/10,0)*10,[1]Hugst!$R$4:$W$4,0))))</f>
        <v>70.049644308447569</v>
      </c>
      <c r="Y179">
        <f ca="1">IF($C179-Y$1&lt;År1,0,X178*(1-VLOOKUP($A179,[1]Hugst!$R$5:$W$9,MATCH(ROUNDUP((Y$1)/10,0)*10,[1]Hugst!$R$4:$W$4,0))))</f>
        <v>70.206450347439187</v>
      </c>
      <c r="Z179">
        <f ca="1">IF($C179-Z$1&lt;År1,0,Y178*(1-VLOOKUP($A179,[1]Hugst!$R$5:$W$9,MATCH(ROUNDUP((Z$1)/10,0)*10,[1]Hugst!$R$4:$W$4,0))))</f>
        <v>70.364044356477635</v>
      </c>
      <c r="AA179">
        <f ca="1">IF($C179-AA$1&lt;År1,0,Z178*(1-VLOOKUP($A179,[1]Hugst!$R$5:$W$9,MATCH(ROUNDUP((AA$1)/10,0)*10,[1]Hugst!$R$4:$W$4,0))))</f>
        <v>70.522430295208849</v>
      </c>
      <c r="AB179">
        <f ca="1">IF($C179-AB$1&lt;År1,0,AA178*(1-VLOOKUP($A179,[1]Hugst!$R$5:$W$9,MATCH(ROUNDUP((AB$1)/10,0)*10,[1]Hugst!$R$4:$W$4,0))))</f>
        <v>70.681612143180047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55000000000000004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89.41220125407466</v>
      </c>
      <c r="G180">
        <f ca="1">IF($C180-G$1&lt;År1,0,F179*(1-VLOOKUP($A180,[1]Hugst!$R$5:$W$9,MATCH(ROUNDUP((G$1)/10,0)*10,[1]Hugst!$R$4:$W$4,0))))</f>
        <v>89.554762446278403</v>
      </c>
      <c r="H180">
        <f ca="1">IF($C180-H$1&lt;År1,0,G179*(1-VLOOKUP($A180,[1]Hugst!$R$5:$W$9,MATCH(ROUNDUP((H$1)/10,0)*10,[1]Hugst!$R$4:$W$4,0))))</f>
        <v>89.698040026383126</v>
      </c>
      <c r="I180">
        <f ca="1">IF($C180-I$1&lt;År1,0,H179*(1-VLOOKUP($A180,[1]Hugst!$R$5:$W$9,MATCH(ROUNDUP((I$1)/10,0)*10,[1]Hugst!$R$4:$W$4,0))))</f>
        <v>89.842037594326996</v>
      </c>
      <c r="J180">
        <f ca="1">IF($C180-J$1&lt;År1,0,I179*(1-VLOOKUP($A180,[1]Hugst!$R$5:$W$9,MATCH(ROUNDUP((J$1)/10,0)*10,[1]Hugst!$R$4:$W$4,0))))</f>
        <v>89.98675876813985</v>
      </c>
      <c r="K180">
        <f ca="1">IF($C180-K$1&lt;År1,0,J179*(1-VLOOKUP($A180,[1]Hugst!$R$5:$W$9,MATCH(ROUNDUP((K$1)/10,0)*10,[1]Hugst!$R$4:$W$4,0))))</f>
        <v>90.132207184033689</v>
      </c>
      <c r="L180">
        <f ca="1">IF($C180-L$1&lt;År1,0,K179*(1-VLOOKUP($A180,[1]Hugst!$R$5:$W$9,MATCH(ROUNDUP((L$1)/10,0)*10,[1]Hugst!$R$4:$W$4,0))))</f>
        <v>90.278386496488167</v>
      </c>
      <c r="M180">
        <f ca="1">IF($C180-M$1&lt;År1,0,L179*(1-VLOOKUP($A180,[1]Hugst!$R$5:$W$9,MATCH(ROUNDUP((M$1)/10,0)*10,[1]Hugst!$R$4:$W$4,0))))</f>
        <v>90.425300378352233</v>
      </c>
      <c r="N180">
        <f ca="1">IF($C180-N$1&lt;År1,0,M179*(1-VLOOKUP($A180,[1]Hugst!$R$5:$W$9,MATCH(ROUNDUP((N$1)/10,0)*10,[1]Hugst!$R$4:$W$4,0))))</f>
        <v>90.572952520930073</v>
      </c>
      <c r="O180">
        <f ca="1">IF($C180-O$1&lt;År1,0,N179*(1-VLOOKUP($A180,[1]Hugst!$R$5:$W$9,MATCH(ROUNDUP((O$1)/10,0)*10,[1]Hugst!$R$4:$W$4,0))))</f>
        <v>90.721346634072461</v>
      </c>
      <c r="P180">
        <f ca="1">IF($C180-P$1&lt;År1,0,O179*(1-VLOOKUP($A180,[1]Hugst!$R$5:$W$9,MATCH(ROUNDUP((P$1)/10,0)*10,[1]Hugst!$R$4:$W$4,0))))</f>
        <v>90.870486446276232</v>
      </c>
      <c r="Q180">
        <f ca="1">IF($C180-Q$1&lt;År1,0,P179*(1-VLOOKUP($A180,[1]Hugst!$R$5:$W$9,MATCH(ROUNDUP((Q$1)/10,0)*10,[1]Hugst!$R$4:$W$4,0))))</f>
        <v>91.02037570477313</v>
      </c>
      <c r="R180">
        <f ca="1">IF($C180-R$1&lt;År1,0,Q179*(1-VLOOKUP($A180,[1]Hugst!$R$5:$W$9,MATCH(ROUNDUP((R$1)/10,0)*10,[1]Hugst!$R$4:$W$4,0))))</f>
        <v>91.171018175622692</v>
      </c>
      <c r="S180">
        <f ca="1">IF($C180-S$1&lt;År1,0,R179*(1-VLOOKUP($A180,[1]Hugst!$R$5:$W$9,MATCH(ROUNDUP((S$1)/10,0)*10,[1]Hugst!$R$4:$W$4,0))))</f>
        <v>69.125136187275132</v>
      </c>
      <c r="T180">
        <f ca="1">IF($C180-T$1&lt;År1,0,S179*(1-VLOOKUP($A180,[1]Hugst!$R$5:$W$9,MATCH(ROUNDUP((T$1)/10,0)*10,[1]Hugst!$R$4:$W$4,0))))</f>
        <v>69.277296456813701</v>
      </c>
      <c r="U180">
        <f ca="1">IF($C180-U$1&lt;År1,0,T179*(1-VLOOKUP($A180,[1]Hugst!$R$5:$W$9,MATCH(ROUNDUP((U$1)/10,0)*10,[1]Hugst!$R$4:$W$4,0))))</f>
        <v>69.430221350823388</v>
      </c>
      <c r="V180">
        <f ca="1">IF($C180-V$1&lt;År1,0,U179*(1-VLOOKUP($A180,[1]Hugst!$R$5:$W$9,MATCH(ROUNDUP((V$1)/10,0)*10,[1]Hugst!$R$4:$W$4,0))))</f>
        <v>69.583914711636112</v>
      </c>
      <c r="W180">
        <f ca="1">IF($C180-W$1&lt;År1,0,V179*(1-VLOOKUP($A180,[1]Hugst!$R$5:$W$9,MATCH(ROUNDUP((W$1)/10,0)*10,[1]Hugst!$R$4:$W$4,0))))</f>
        <v>69.73838040089737</v>
      </c>
      <c r="X180">
        <f ca="1">IF($C180-X$1&lt;År1,0,W179*(1-VLOOKUP($A180,[1]Hugst!$R$5:$W$9,MATCH(ROUNDUP((X$1)/10,0)*10,[1]Hugst!$R$4:$W$4,0))))</f>
        <v>69.893622299649508</v>
      </c>
      <c r="Y180">
        <f ca="1">IF($C180-Y$1&lt;År1,0,X179*(1-VLOOKUP($A180,[1]Hugst!$R$5:$W$9,MATCH(ROUNDUP((Y$1)/10,0)*10,[1]Hugst!$R$4:$W$4,0))))</f>
        <v>70.049644308447569</v>
      </c>
      <c r="Z180">
        <f ca="1">IF($C180-Z$1&lt;År1,0,Y179*(1-VLOOKUP($A180,[1]Hugst!$R$5:$W$9,MATCH(ROUNDUP((Z$1)/10,0)*10,[1]Hugst!$R$4:$W$4,0))))</f>
        <v>70.206450347439187</v>
      </c>
      <c r="AA180">
        <f ca="1">IF($C180-AA$1&lt;År1,0,Z179*(1-VLOOKUP($A180,[1]Hugst!$R$5:$W$9,MATCH(ROUNDUP((AA$1)/10,0)*10,[1]Hugst!$R$4:$W$4,0))))</f>
        <v>70.364044356477635</v>
      </c>
      <c r="AB180">
        <f ca="1">IF($C180-AB$1&lt;År1,0,AA179*(1-VLOOKUP($A180,[1]Hugst!$R$5:$W$9,MATCH(ROUNDUP((AB$1)/10,0)*10,[1]Hugst!$R$4:$W$4,0))))</f>
        <v>70.522430295208849</v>
      </c>
      <c r="AC180">
        <f ca="1">IF($C180-AC$1&lt;År1,0,AB179*(1-VLOOKUP($A180,[1]Hugst!$R$5:$W$9,MATCH(ROUNDUP((AC$1)/10,0)*10,[1]Hugst!$R$4:$W$4,0))))</f>
        <v>70.681612143180047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55000000000000004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89.27035286783115</v>
      </c>
      <c r="G181">
        <f ca="1">IF($C181-G$1&lt;År1,0,F180*(1-VLOOKUP($A181,[1]Hugst!$R$5:$W$9,MATCH(ROUNDUP((G$1)/10,0)*10,[1]Hugst!$R$4:$W$4,0))))</f>
        <v>89.41220125407466</v>
      </c>
      <c r="H181">
        <f ca="1">IF($C181-H$1&lt;År1,0,G180*(1-VLOOKUP($A181,[1]Hugst!$R$5:$W$9,MATCH(ROUNDUP((H$1)/10,0)*10,[1]Hugst!$R$4:$W$4,0))))</f>
        <v>89.554762446278403</v>
      </c>
      <c r="I181">
        <f ca="1">IF($C181-I$1&lt;År1,0,H180*(1-VLOOKUP($A181,[1]Hugst!$R$5:$W$9,MATCH(ROUNDUP((I$1)/10,0)*10,[1]Hugst!$R$4:$W$4,0))))</f>
        <v>89.698040026383126</v>
      </c>
      <c r="J181">
        <f ca="1">IF($C181-J$1&lt;År1,0,I180*(1-VLOOKUP($A181,[1]Hugst!$R$5:$W$9,MATCH(ROUNDUP((J$1)/10,0)*10,[1]Hugst!$R$4:$W$4,0))))</f>
        <v>89.842037594326996</v>
      </c>
      <c r="K181">
        <f ca="1">IF($C181-K$1&lt;År1,0,J180*(1-VLOOKUP($A181,[1]Hugst!$R$5:$W$9,MATCH(ROUNDUP((K$1)/10,0)*10,[1]Hugst!$R$4:$W$4,0))))</f>
        <v>89.98675876813985</v>
      </c>
      <c r="L181">
        <f ca="1">IF($C181-L$1&lt;År1,0,K180*(1-VLOOKUP($A181,[1]Hugst!$R$5:$W$9,MATCH(ROUNDUP((L$1)/10,0)*10,[1]Hugst!$R$4:$W$4,0))))</f>
        <v>90.132207184033689</v>
      </c>
      <c r="M181">
        <f ca="1">IF($C181-M$1&lt;År1,0,L180*(1-VLOOKUP($A181,[1]Hugst!$R$5:$W$9,MATCH(ROUNDUP((M$1)/10,0)*10,[1]Hugst!$R$4:$W$4,0))))</f>
        <v>90.278386496488167</v>
      </c>
      <c r="N181">
        <f ca="1">IF($C181-N$1&lt;År1,0,M180*(1-VLOOKUP($A181,[1]Hugst!$R$5:$W$9,MATCH(ROUNDUP((N$1)/10,0)*10,[1]Hugst!$R$4:$W$4,0))))</f>
        <v>90.425300378352233</v>
      </c>
      <c r="O181">
        <f ca="1">IF($C181-O$1&lt;År1,0,N180*(1-VLOOKUP($A181,[1]Hugst!$R$5:$W$9,MATCH(ROUNDUP((O$1)/10,0)*10,[1]Hugst!$R$4:$W$4,0))))</f>
        <v>90.572952520930073</v>
      </c>
      <c r="P181">
        <f ca="1">IF($C181-P$1&lt;År1,0,O180*(1-VLOOKUP($A181,[1]Hugst!$R$5:$W$9,MATCH(ROUNDUP((P$1)/10,0)*10,[1]Hugst!$R$4:$W$4,0))))</f>
        <v>90.721346634072461</v>
      </c>
      <c r="Q181">
        <f ca="1">IF($C181-Q$1&lt;År1,0,P180*(1-VLOOKUP($A181,[1]Hugst!$R$5:$W$9,MATCH(ROUNDUP((Q$1)/10,0)*10,[1]Hugst!$R$4:$W$4,0))))</f>
        <v>90.870486446276232</v>
      </c>
      <c r="R181">
        <f ca="1">IF($C181-R$1&lt;År1,0,Q180*(1-VLOOKUP($A181,[1]Hugst!$R$5:$W$9,MATCH(ROUNDUP((R$1)/10,0)*10,[1]Hugst!$R$4:$W$4,0))))</f>
        <v>91.02037570477313</v>
      </c>
      <c r="S181">
        <f ca="1">IF($C181-S$1&lt;År1,0,R180*(1-VLOOKUP($A181,[1]Hugst!$R$5:$W$9,MATCH(ROUNDUP((S$1)/10,0)*10,[1]Hugst!$R$4:$W$4,0))))</f>
        <v>91.171018175622692</v>
      </c>
      <c r="T181">
        <f ca="1">IF($C181-T$1&lt;År1,0,S180*(1-VLOOKUP($A181,[1]Hugst!$R$5:$W$9,MATCH(ROUNDUP((T$1)/10,0)*10,[1]Hugst!$R$4:$W$4,0))))</f>
        <v>69.125136187275132</v>
      </c>
      <c r="U181">
        <f ca="1">IF($C181-U$1&lt;År1,0,T180*(1-VLOOKUP($A181,[1]Hugst!$R$5:$W$9,MATCH(ROUNDUP((U$1)/10,0)*10,[1]Hugst!$R$4:$W$4,0))))</f>
        <v>69.277296456813701</v>
      </c>
      <c r="V181">
        <f ca="1">IF($C181-V$1&lt;År1,0,U180*(1-VLOOKUP($A181,[1]Hugst!$R$5:$W$9,MATCH(ROUNDUP((V$1)/10,0)*10,[1]Hugst!$R$4:$W$4,0))))</f>
        <v>69.430221350823388</v>
      </c>
      <c r="W181">
        <f ca="1">IF($C181-W$1&lt;År1,0,V180*(1-VLOOKUP($A181,[1]Hugst!$R$5:$W$9,MATCH(ROUNDUP((W$1)/10,0)*10,[1]Hugst!$R$4:$W$4,0))))</f>
        <v>69.583914711636112</v>
      </c>
      <c r="X181">
        <f ca="1">IF($C181-X$1&lt;År1,0,W180*(1-VLOOKUP($A181,[1]Hugst!$R$5:$W$9,MATCH(ROUNDUP((X$1)/10,0)*10,[1]Hugst!$R$4:$W$4,0))))</f>
        <v>69.73838040089737</v>
      </c>
      <c r="Y181">
        <f ca="1">IF($C181-Y$1&lt;År1,0,X180*(1-VLOOKUP($A181,[1]Hugst!$R$5:$W$9,MATCH(ROUNDUP((Y$1)/10,0)*10,[1]Hugst!$R$4:$W$4,0))))</f>
        <v>69.893622299649508</v>
      </c>
      <c r="Z181">
        <f ca="1">IF($C181-Z$1&lt;År1,0,Y180*(1-VLOOKUP($A181,[1]Hugst!$R$5:$W$9,MATCH(ROUNDUP((Z$1)/10,0)*10,[1]Hugst!$R$4:$W$4,0))))</f>
        <v>70.049644308447569</v>
      </c>
      <c r="AA181">
        <f ca="1">IF($C181-AA$1&lt;År1,0,Z180*(1-VLOOKUP($A181,[1]Hugst!$R$5:$W$9,MATCH(ROUNDUP((AA$1)/10,0)*10,[1]Hugst!$R$4:$W$4,0))))</f>
        <v>70.206450347439187</v>
      </c>
      <c r="AB181">
        <f ca="1">IF($C181-AB$1&lt;År1,0,AA180*(1-VLOOKUP($A181,[1]Hugst!$R$5:$W$9,MATCH(ROUNDUP((AB$1)/10,0)*10,[1]Hugst!$R$4:$W$4,0))))</f>
        <v>70.364044356477635</v>
      </c>
      <c r="AC181">
        <f ca="1">IF($C181-AC$1&lt;År1,0,AB180*(1-VLOOKUP($A181,[1]Hugst!$R$5:$W$9,MATCH(ROUNDUP((AC$1)/10,0)*10,[1]Hugst!$R$4:$W$4,0))))</f>
        <v>70.522430295208849</v>
      </c>
      <c r="AD181">
        <f ca="1">IF($C181-AD$1&lt;År1,0,AC180*(1-VLOOKUP($A181,[1]Hugst!$R$5:$W$9,MATCH(ROUNDUP((AD$1)/10,0)*10,[1]Hugst!$R$4:$W$4,0))))</f>
        <v>70.681612143180047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55000000000000004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89.12921372351974</v>
      </c>
      <c r="G182">
        <f ca="1">IF($C182-G$1&lt;År1,0,F181*(1-VLOOKUP($A182,[1]Hugst!$R$5:$W$9,MATCH(ROUNDUP((G$1)/10,0)*10,[1]Hugst!$R$4:$W$4,0))))</f>
        <v>89.27035286783115</v>
      </c>
      <c r="H182">
        <f ca="1">IF($C182-H$1&lt;År1,0,G181*(1-VLOOKUP($A182,[1]Hugst!$R$5:$W$9,MATCH(ROUNDUP((H$1)/10,0)*10,[1]Hugst!$R$4:$W$4,0))))</f>
        <v>89.41220125407466</v>
      </c>
      <c r="I182">
        <f ca="1">IF($C182-I$1&lt;År1,0,H181*(1-VLOOKUP($A182,[1]Hugst!$R$5:$W$9,MATCH(ROUNDUP((I$1)/10,0)*10,[1]Hugst!$R$4:$W$4,0))))</f>
        <v>89.554762446278403</v>
      </c>
      <c r="J182">
        <f ca="1">IF($C182-J$1&lt;År1,0,I181*(1-VLOOKUP($A182,[1]Hugst!$R$5:$W$9,MATCH(ROUNDUP((J$1)/10,0)*10,[1]Hugst!$R$4:$W$4,0))))</f>
        <v>89.698040026383126</v>
      </c>
      <c r="K182">
        <f ca="1">IF($C182-K$1&lt;År1,0,J181*(1-VLOOKUP($A182,[1]Hugst!$R$5:$W$9,MATCH(ROUNDUP((K$1)/10,0)*10,[1]Hugst!$R$4:$W$4,0))))</f>
        <v>89.842037594326996</v>
      </c>
      <c r="L182">
        <f ca="1">IF($C182-L$1&lt;År1,0,K181*(1-VLOOKUP($A182,[1]Hugst!$R$5:$W$9,MATCH(ROUNDUP((L$1)/10,0)*10,[1]Hugst!$R$4:$W$4,0))))</f>
        <v>89.98675876813985</v>
      </c>
      <c r="M182">
        <f ca="1">IF($C182-M$1&lt;År1,0,L181*(1-VLOOKUP($A182,[1]Hugst!$R$5:$W$9,MATCH(ROUNDUP((M$1)/10,0)*10,[1]Hugst!$R$4:$W$4,0))))</f>
        <v>90.132207184033689</v>
      </c>
      <c r="N182">
        <f ca="1">IF($C182-N$1&lt;År1,0,M181*(1-VLOOKUP($A182,[1]Hugst!$R$5:$W$9,MATCH(ROUNDUP((N$1)/10,0)*10,[1]Hugst!$R$4:$W$4,0))))</f>
        <v>90.278386496488167</v>
      </c>
      <c r="O182">
        <f ca="1">IF($C182-O$1&lt;År1,0,N181*(1-VLOOKUP($A182,[1]Hugst!$R$5:$W$9,MATCH(ROUNDUP((O$1)/10,0)*10,[1]Hugst!$R$4:$W$4,0))))</f>
        <v>90.425300378352233</v>
      </c>
      <c r="P182">
        <f ca="1">IF($C182-P$1&lt;År1,0,O181*(1-VLOOKUP($A182,[1]Hugst!$R$5:$W$9,MATCH(ROUNDUP((P$1)/10,0)*10,[1]Hugst!$R$4:$W$4,0))))</f>
        <v>90.572952520930073</v>
      </c>
      <c r="Q182">
        <f ca="1">IF($C182-Q$1&lt;År1,0,P181*(1-VLOOKUP($A182,[1]Hugst!$R$5:$W$9,MATCH(ROUNDUP((Q$1)/10,0)*10,[1]Hugst!$R$4:$W$4,0))))</f>
        <v>90.721346634072461</v>
      </c>
      <c r="R182">
        <f ca="1">IF($C182-R$1&lt;År1,0,Q181*(1-VLOOKUP($A182,[1]Hugst!$R$5:$W$9,MATCH(ROUNDUP((R$1)/10,0)*10,[1]Hugst!$R$4:$W$4,0))))</f>
        <v>90.870486446276232</v>
      </c>
      <c r="S182">
        <f ca="1">IF($C182-S$1&lt;År1,0,R181*(1-VLOOKUP($A182,[1]Hugst!$R$5:$W$9,MATCH(ROUNDUP((S$1)/10,0)*10,[1]Hugst!$R$4:$W$4,0))))</f>
        <v>91.02037570477313</v>
      </c>
      <c r="T182">
        <f ca="1">IF($C182-T$1&lt;År1,0,S181*(1-VLOOKUP($A182,[1]Hugst!$R$5:$W$9,MATCH(ROUNDUP((T$1)/10,0)*10,[1]Hugst!$R$4:$W$4,0))))</f>
        <v>91.171018175622692</v>
      </c>
      <c r="U182">
        <f ca="1">IF($C182-U$1&lt;År1,0,T181*(1-VLOOKUP($A182,[1]Hugst!$R$5:$W$9,MATCH(ROUNDUP((U$1)/10,0)*10,[1]Hugst!$R$4:$W$4,0))))</f>
        <v>69.125136187275132</v>
      </c>
      <c r="V182">
        <f ca="1">IF($C182-V$1&lt;År1,0,U181*(1-VLOOKUP($A182,[1]Hugst!$R$5:$W$9,MATCH(ROUNDUP((V$1)/10,0)*10,[1]Hugst!$R$4:$W$4,0))))</f>
        <v>69.277296456813701</v>
      </c>
      <c r="W182">
        <f ca="1">IF($C182-W$1&lt;År1,0,V181*(1-VLOOKUP($A182,[1]Hugst!$R$5:$W$9,MATCH(ROUNDUP((W$1)/10,0)*10,[1]Hugst!$R$4:$W$4,0))))</f>
        <v>69.430221350823388</v>
      </c>
      <c r="X182">
        <f ca="1">IF($C182-X$1&lt;År1,0,W181*(1-VLOOKUP($A182,[1]Hugst!$R$5:$W$9,MATCH(ROUNDUP((X$1)/10,0)*10,[1]Hugst!$R$4:$W$4,0))))</f>
        <v>69.583914711636112</v>
      </c>
      <c r="Y182">
        <f ca="1">IF($C182-Y$1&lt;År1,0,X181*(1-VLOOKUP($A182,[1]Hugst!$R$5:$W$9,MATCH(ROUNDUP((Y$1)/10,0)*10,[1]Hugst!$R$4:$W$4,0))))</f>
        <v>69.73838040089737</v>
      </c>
      <c r="Z182">
        <f ca="1">IF($C182-Z$1&lt;År1,0,Y181*(1-VLOOKUP($A182,[1]Hugst!$R$5:$W$9,MATCH(ROUNDUP((Z$1)/10,0)*10,[1]Hugst!$R$4:$W$4,0))))</f>
        <v>69.893622299649508</v>
      </c>
      <c r="AA182">
        <f ca="1">IF($C182-AA$1&lt;År1,0,Z181*(1-VLOOKUP($A182,[1]Hugst!$R$5:$W$9,MATCH(ROUNDUP((AA$1)/10,0)*10,[1]Hugst!$R$4:$W$4,0))))</f>
        <v>70.049644308447569</v>
      </c>
      <c r="AB182">
        <f ca="1">IF($C182-AB$1&lt;År1,0,AA181*(1-VLOOKUP($A182,[1]Hugst!$R$5:$W$9,MATCH(ROUNDUP((AB$1)/10,0)*10,[1]Hugst!$R$4:$W$4,0))))</f>
        <v>70.206450347439187</v>
      </c>
      <c r="AC182">
        <f ca="1">IF($C182-AC$1&lt;År1,0,AB181*(1-VLOOKUP($A182,[1]Hugst!$R$5:$W$9,MATCH(ROUNDUP((AC$1)/10,0)*10,[1]Hugst!$R$4:$W$4,0))))</f>
        <v>70.364044356477635</v>
      </c>
      <c r="AD182">
        <f ca="1">IF($C182-AD$1&lt;År1,0,AC181*(1-VLOOKUP($A182,[1]Hugst!$R$5:$W$9,MATCH(ROUNDUP((AD$1)/10,0)*10,[1]Hugst!$R$4:$W$4,0))))</f>
        <v>70.522430295208849</v>
      </c>
      <c r="AE182">
        <f ca="1">IF($C182-AE$1&lt;År1,0,AD181*(1-VLOOKUP($A182,[1]Hugst!$R$5:$W$9,MATCH(ROUNDUP((AE$1)/10,0)*10,[1]Hugst!$R$4:$W$4,0))))</f>
        <v>70.681612143180047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55000000000000004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88.988780274930321</v>
      </c>
      <c r="G183">
        <f ca="1">IF($C183-G$1&lt;År1,0,F182*(1-VLOOKUP($A183,[1]Hugst!$R$5:$W$9,MATCH(ROUNDUP((G$1)/10,0)*10,[1]Hugst!$R$4:$W$4,0))))</f>
        <v>89.12921372351974</v>
      </c>
      <c r="H183">
        <f ca="1">IF($C183-H$1&lt;År1,0,G182*(1-VLOOKUP($A183,[1]Hugst!$R$5:$W$9,MATCH(ROUNDUP((H$1)/10,0)*10,[1]Hugst!$R$4:$W$4,0))))</f>
        <v>89.27035286783115</v>
      </c>
      <c r="I183">
        <f ca="1">IF($C183-I$1&lt;År1,0,H182*(1-VLOOKUP($A183,[1]Hugst!$R$5:$W$9,MATCH(ROUNDUP((I$1)/10,0)*10,[1]Hugst!$R$4:$W$4,0))))</f>
        <v>89.41220125407466</v>
      </c>
      <c r="J183">
        <f ca="1">IF($C183-J$1&lt;År1,0,I182*(1-VLOOKUP($A183,[1]Hugst!$R$5:$W$9,MATCH(ROUNDUP((J$1)/10,0)*10,[1]Hugst!$R$4:$W$4,0))))</f>
        <v>89.554762446278403</v>
      </c>
      <c r="K183">
        <f ca="1">IF($C183-K$1&lt;År1,0,J182*(1-VLOOKUP($A183,[1]Hugst!$R$5:$W$9,MATCH(ROUNDUP((K$1)/10,0)*10,[1]Hugst!$R$4:$W$4,0))))</f>
        <v>89.698040026383126</v>
      </c>
      <c r="L183">
        <f ca="1">IF($C183-L$1&lt;År1,0,K182*(1-VLOOKUP($A183,[1]Hugst!$R$5:$W$9,MATCH(ROUNDUP((L$1)/10,0)*10,[1]Hugst!$R$4:$W$4,0))))</f>
        <v>89.842037594326996</v>
      </c>
      <c r="M183">
        <f ca="1">IF($C183-M$1&lt;År1,0,L182*(1-VLOOKUP($A183,[1]Hugst!$R$5:$W$9,MATCH(ROUNDUP((M$1)/10,0)*10,[1]Hugst!$R$4:$W$4,0))))</f>
        <v>89.98675876813985</v>
      </c>
      <c r="N183">
        <f ca="1">IF($C183-N$1&lt;År1,0,M182*(1-VLOOKUP($A183,[1]Hugst!$R$5:$W$9,MATCH(ROUNDUP((N$1)/10,0)*10,[1]Hugst!$R$4:$W$4,0))))</f>
        <v>90.132207184033689</v>
      </c>
      <c r="O183">
        <f ca="1">IF($C183-O$1&lt;År1,0,N182*(1-VLOOKUP($A183,[1]Hugst!$R$5:$W$9,MATCH(ROUNDUP((O$1)/10,0)*10,[1]Hugst!$R$4:$W$4,0))))</f>
        <v>90.278386496488167</v>
      </c>
      <c r="P183">
        <f ca="1">IF($C183-P$1&lt;År1,0,O182*(1-VLOOKUP($A183,[1]Hugst!$R$5:$W$9,MATCH(ROUNDUP((P$1)/10,0)*10,[1]Hugst!$R$4:$W$4,0))))</f>
        <v>90.425300378352233</v>
      </c>
      <c r="Q183">
        <f ca="1">IF($C183-Q$1&lt;År1,0,P182*(1-VLOOKUP($A183,[1]Hugst!$R$5:$W$9,MATCH(ROUNDUP((Q$1)/10,0)*10,[1]Hugst!$R$4:$W$4,0))))</f>
        <v>90.572952520930073</v>
      </c>
      <c r="R183">
        <f ca="1">IF($C183-R$1&lt;År1,0,Q182*(1-VLOOKUP($A183,[1]Hugst!$R$5:$W$9,MATCH(ROUNDUP((R$1)/10,0)*10,[1]Hugst!$R$4:$W$4,0))))</f>
        <v>90.721346634072461</v>
      </c>
      <c r="S183">
        <f ca="1">IF($C183-S$1&lt;År1,0,R182*(1-VLOOKUP($A183,[1]Hugst!$R$5:$W$9,MATCH(ROUNDUP((S$1)/10,0)*10,[1]Hugst!$R$4:$W$4,0))))</f>
        <v>90.870486446276232</v>
      </c>
      <c r="T183">
        <f ca="1">IF($C183-T$1&lt;År1,0,S182*(1-VLOOKUP($A183,[1]Hugst!$R$5:$W$9,MATCH(ROUNDUP((T$1)/10,0)*10,[1]Hugst!$R$4:$W$4,0))))</f>
        <v>91.02037570477313</v>
      </c>
      <c r="U183">
        <f ca="1">IF($C183-U$1&lt;År1,0,T182*(1-VLOOKUP($A183,[1]Hugst!$R$5:$W$9,MATCH(ROUNDUP((U$1)/10,0)*10,[1]Hugst!$R$4:$W$4,0))))</f>
        <v>91.171018175622692</v>
      </c>
      <c r="V183">
        <f ca="1">IF($C183-V$1&lt;År1,0,U182*(1-VLOOKUP($A183,[1]Hugst!$R$5:$W$9,MATCH(ROUNDUP((V$1)/10,0)*10,[1]Hugst!$R$4:$W$4,0))))</f>
        <v>69.125136187275132</v>
      </c>
      <c r="W183">
        <f ca="1">IF($C183-W$1&lt;År1,0,V182*(1-VLOOKUP($A183,[1]Hugst!$R$5:$W$9,MATCH(ROUNDUP((W$1)/10,0)*10,[1]Hugst!$R$4:$W$4,0))))</f>
        <v>69.277296456813701</v>
      </c>
      <c r="X183">
        <f ca="1">IF($C183-X$1&lt;År1,0,W182*(1-VLOOKUP($A183,[1]Hugst!$R$5:$W$9,MATCH(ROUNDUP((X$1)/10,0)*10,[1]Hugst!$R$4:$W$4,0))))</f>
        <v>69.430221350823388</v>
      </c>
      <c r="Y183">
        <f ca="1">IF($C183-Y$1&lt;År1,0,X182*(1-VLOOKUP($A183,[1]Hugst!$R$5:$W$9,MATCH(ROUNDUP((Y$1)/10,0)*10,[1]Hugst!$R$4:$W$4,0))))</f>
        <v>69.583914711636112</v>
      </c>
      <c r="Z183">
        <f ca="1">IF($C183-Z$1&lt;År1,0,Y182*(1-VLOOKUP($A183,[1]Hugst!$R$5:$W$9,MATCH(ROUNDUP((Z$1)/10,0)*10,[1]Hugst!$R$4:$W$4,0))))</f>
        <v>69.73838040089737</v>
      </c>
      <c r="AA183">
        <f ca="1">IF($C183-AA$1&lt;År1,0,Z182*(1-VLOOKUP($A183,[1]Hugst!$R$5:$W$9,MATCH(ROUNDUP((AA$1)/10,0)*10,[1]Hugst!$R$4:$W$4,0))))</f>
        <v>69.893622299649508</v>
      </c>
      <c r="AB183">
        <f ca="1">IF($C183-AB$1&lt;År1,0,AA182*(1-VLOOKUP($A183,[1]Hugst!$R$5:$W$9,MATCH(ROUNDUP((AB$1)/10,0)*10,[1]Hugst!$R$4:$W$4,0))))</f>
        <v>70.049644308447569</v>
      </c>
      <c r="AC183">
        <f ca="1">IF($C183-AC$1&lt;År1,0,AB182*(1-VLOOKUP($A183,[1]Hugst!$R$5:$W$9,MATCH(ROUNDUP((AC$1)/10,0)*10,[1]Hugst!$R$4:$W$4,0))))</f>
        <v>70.206450347439187</v>
      </c>
      <c r="AD183">
        <f ca="1">IF($C183-AD$1&lt;År1,0,AC182*(1-VLOOKUP($A183,[1]Hugst!$R$5:$W$9,MATCH(ROUNDUP((AD$1)/10,0)*10,[1]Hugst!$R$4:$W$4,0))))</f>
        <v>70.364044356477635</v>
      </c>
      <c r="AE183">
        <f ca="1">IF($C183-AE$1&lt;År1,0,AD182*(1-VLOOKUP($A183,[1]Hugst!$R$5:$W$9,MATCH(ROUNDUP((AE$1)/10,0)*10,[1]Hugst!$R$4:$W$4,0))))</f>
        <v>70.522430295208849</v>
      </c>
      <c r="AF183">
        <f ca="1">IF($C183-AF$1&lt;År1,0,AE182*(1-VLOOKUP($A183,[1]Hugst!$R$5:$W$9,MATCH(ROUNDUP((AF$1)/10,0)*10,[1]Hugst!$R$4:$W$4,0))))</f>
        <v>70.681612143180047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55000000000000004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88.849048993581221</v>
      </c>
      <c r="G184">
        <f ca="1">IF($C184-G$1&lt;År1,0,F183*(1-VLOOKUP($A184,[1]Hugst!$R$5:$W$9,MATCH(ROUNDUP((G$1)/10,0)*10,[1]Hugst!$R$4:$W$4,0))))</f>
        <v>88.988780274930321</v>
      </c>
      <c r="H184">
        <f ca="1">IF($C184-H$1&lt;År1,0,G183*(1-VLOOKUP($A184,[1]Hugst!$R$5:$W$9,MATCH(ROUNDUP((H$1)/10,0)*10,[1]Hugst!$R$4:$W$4,0))))</f>
        <v>89.12921372351974</v>
      </c>
      <c r="I184">
        <f ca="1">IF($C184-I$1&lt;År1,0,H183*(1-VLOOKUP($A184,[1]Hugst!$R$5:$W$9,MATCH(ROUNDUP((I$1)/10,0)*10,[1]Hugst!$R$4:$W$4,0))))</f>
        <v>89.27035286783115</v>
      </c>
      <c r="J184">
        <f ca="1">IF($C184-J$1&lt;År1,0,I183*(1-VLOOKUP($A184,[1]Hugst!$R$5:$W$9,MATCH(ROUNDUP((J$1)/10,0)*10,[1]Hugst!$R$4:$W$4,0))))</f>
        <v>89.41220125407466</v>
      </c>
      <c r="K184">
        <f ca="1">IF($C184-K$1&lt;År1,0,J183*(1-VLOOKUP($A184,[1]Hugst!$R$5:$W$9,MATCH(ROUNDUP((K$1)/10,0)*10,[1]Hugst!$R$4:$W$4,0))))</f>
        <v>89.554762446278403</v>
      </c>
      <c r="L184">
        <f ca="1">IF($C184-L$1&lt;År1,0,K183*(1-VLOOKUP($A184,[1]Hugst!$R$5:$W$9,MATCH(ROUNDUP((L$1)/10,0)*10,[1]Hugst!$R$4:$W$4,0))))</f>
        <v>89.698040026383126</v>
      </c>
      <c r="M184">
        <f ca="1">IF($C184-M$1&lt;År1,0,L183*(1-VLOOKUP($A184,[1]Hugst!$R$5:$W$9,MATCH(ROUNDUP((M$1)/10,0)*10,[1]Hugst!$R$4:$W$4,0))))</f>
        <v>89.842037594326996</v>
      </c>
      <c r="N184">
        <f ca="1">IF($C184-N$1&lt;År1,0,M183*(1-VLOOKUP($A184,[1]Hugst!$R$5:$W$9,MATCH(ROUNDUP((N$1)/10,0)*10,[1]Hugst!$R$4:$W$4,0))))</f>
        <v>89.98675876813985</v>
      </c>
      <c r="O184">
        <f ca="1">IF($C184-O$1&lt;År1,0,N183*(1-VLOOKUP($A184,[1]Hugst!$R$5:$W$9,MATCH(ROUNDUP((O$1)/10,0)*10,[1]Hugst!$R$4:$W$4,0))))</f>
        <v>90.132207184033689</v>
      </c>
      <c r="P184">
        <f ca="1">IF($C184-P$1&lt;År1,0,O183*(1-VLOOKUP($A184,[1]Hugst!$R$5:$W$9,MATCH(ROUNDUP((P$1)/10,0)*10,[1]Hugst!$R$4:$W$4,0))))</f>
        <v>90.278386496488167</v>
      </c>
      <c r="Q184">
        <f ca="1">IF($C184-Q$1&lt;År1,0,P183*(1-VLOOKUP($A184,[1]Hugst!$R$5:$W$9,MATCH(ROUNDUP((Q$1)/10,0)*10,[1]Hugst!$R$4:$W$4,0))))</f>
        <v>90.425300378352233</v>
      </c>
      <c r="R184">
        <f ca="1">IF($C184-R$1&lt;År1,0,Q183*(1-VLOOKUP($A184,[1]Hugst!$R$5:$W$9,MATCH(ROUNDUP((R$1)/10,0)*10,[1]Hugst!$R$4:$W$4,0))))</f>
        <v>90.572952520930073</v>
      </c>
      <c r="S184">
        <f ca="1">IF($C184-S$1&lt;År1,0,R183*(1-VLOOKUP($A184,[1]Hugst!$R$5:$W$9,MATCH(ROUNDUP((S$1)/10,0)*10,[1]Hugst!$R$4:$W$4,0))))</f>
        <v>90.721346634072461</v>
      </c>
      <c r="T184">
        <f ca="1">IF($C184-T$1&lt;År1,0,S183*(1-VLOOKUP($A184,[1]Hugst!$R$5:$W$9,MATCH(ROUNDUP((T$1)/10,0)*10,[1]Hugst!$R$4:$W$4,0))))</f>
        <v>90.870486446276232</v>
      </c>
      <c r="U184">
        <f ca="1">IF($C184-U$1&lt;År1,0,T183*(1-VLOOKUP($A184,[1]Hugst!$R$5:$W$9,MATCH(ROUNDUP((U$1)/10,0)*10,[1]Hugst!$R$4:$W$4,0))))</f>
        <v>91.02037570477313</v>
      </c>
      <c r="V184">
        <f ca="1">IF($C184-V$1&lt;År1,0,U183*(1-VLOOKUP($A184,[1]Hugst!$R$5:$W$9,MATCH(ROUNDUP((V$1)/10,0)*10,[1]Hugst!$R$4:$W$4,0))))</f>
        <v>91.171018175622692</v>
      </c>
      <c r="W184">
        <f ca="1">IF($C184-W$1&lt;År1,0,V183*(1-VLOOKUP($A184,[1]Hugst!$R$5:$W$9,MATCH(ROUNDUP((W$1)/10,0)*10,[1]Hugst!$R$4:$W$4,0))))</f>
        <v>69.125136187275132</v>
      </c>
      <c r="X184">
        <f ca="1">IF($C184-X$1&lt;År1,0,W183*(1-VLOOKUP($A184,[1]Hugst!$R$5:$W$9,MATCH(ROUNDUP((X$1)/10,0)*10,[1]Hugst!$R$4:$W$4,0))))</f>
        <v>69.277296456813701</v>
      </c>
      <c r="Y184">
        <f ca="1">IF($C184-Y$1&lt;År1,0,X183*(1-VLOOKUP($A184,[1]Hugst!$R$5:$W$9,MATCH(ROUNDUP((Y$1)/10,0)*10,[1]Hugst!$R$4:$W$4,0))))</f>
        <v>69.430221350823388</v>
      </c>
      <c r="Z184">
        <f ca="1">IF($C184-Z$1&lt;År1,0,Y183*(1-VLOOKUP($A184,[1]Hugst!$R$5:$W$9,MATCH(ROUNDUP((Z$1)/10,0)*10,[1]Hugst!$R$4:$W$4,0))))</f>
        <v>69.583914711636112</v>
      </c>
      <c r="AA184">
        <f ca="1">IF($C184-AA$1&lt;År1,0,Z183*(1-VLOOKUP($A184,[1]Hugst!$R$5:$W$9,MATCH(ROUNDUP((AA$1)/10,0)*10,[1]Hugst!$R$4:$W$4,0))))</f>
        <v>69.73838040089737</v>
      </c>
      <c r="AB184">
        <f ca="1">IF($C184-AB$1&lt;År1,0,AA183*(1-VLOOKUP($A184,[1]Hugst!$R$5:$W$9,MATCH(ROUNDUP((AB$1)/10,0)*10,[1]Hugst!$R$4:$W$4,0))))</f>
        <v>69.893622299649508</v>
      </c>
      <c r="AC184">
        <f ca="1">IF($C184-AC$1&lt;År1,0,AB183*(1-VLOOKUP($A184,[1]Hugst!$R$5:$W$9,MATCH(ROUNDUP((AC$1)/10,0)*10,[1]Hugst!$R$4:$W$4,0))))</f>
        <v>70.049644308447569</v>
      </c>
      <c r="AD184">
        <f ca="1">IF($C184-AD$1&lt;År1,0,AC183*(1-VLOOKUP($A184,[1]Hugst!$R$5:$W$9,MATCH(ROUNDUP((AD$1)/10,0)*10,[1]Hugst!$R$4:$W$4,0))))</f>
        <v>70.206450347439187</v>
      </c>
      <c r="AE184">
        <f ca="1">IF($C184-AE$1&lt;År1,0,AD183*(1-VLOOKUP($A184,[1]Hugst!$R$5:$W$9,MATCH(ROUNDUP((AE$1)/10,0)*10,[1]Hugst!$R$4:$W$4,0))))</f>
        <v>70.364044356477635</v>
      </c>
      <c r="AF184">
        <f ca="1">IF($C184-AF$1&lt;År1,0,AE183*(1-VLOOKUP($A184,[1]Hugst!$R$5:$W$9,MATCH(ROUNDUP((AF$1)/10,0)*10,[1]Hugst!$R$4:$W$4,0))))</f>
        <v>70.522430295208849</v>
      </c>
      <c r="AG184">
        <f ca="1">IF($C184-AG$1&lt;År1,0,AF183*(1-VLOOKUP($A184,[1]Hugst!$R$5:$W$9,MATCH(ROUNDUP((AG$1)/10,0)*10,[1]Hugst!$R$4:$W$4,0))))</f>
        <v>70.681612143180047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55000000000000004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88.710016368641448</v>
      </c>
      <c r="G185">
        <f ca="1">IF($C185-G$1&lt;År1,0,F184*(1-VLOOKUP($A185,[1]Hugst!$R$5:$W$9,MATCH(ROUNDUP((G$1)/10,0)*10,[1]Hugst!$R$4:$W$4,0))))</f>
        <v>88.849048993581221</v>
      </c>
      <c r="H185">
        <f ca="1">IF($C185-H$1&lt;År1,0,G184*(1-VLOOKUP($A185,[1]Hugst!$R$5:$W$9,MATCH(ROUNDUP((H$1)/10,0)*10,[1]Hugst!$R$4:$W$4,0))))</f>
        <v>88.988780274930321</v>
      </c>
      <c r="I185">
        <f ca="1">IF($C185-I$1&lt;År1,0,H184*(1-VLOOKUP($A185,[1]Hugst!$R$5:$W$9,MATCH(ROUNDUP((I$1)/10,0)*10,[1]Hugst!$R$4:$W$4,0))))</f>
        <v>89.12921372351974</v>
      </c>
      <c r="J185">
        <f ca="1">IF($C185-J$1&lt;År1,0,I184*(1-VLOOKUP($A185,[1]Hugst!$R$5:$W$9,MATCH(ROUNDUP((J$1)/10,0)*10,[1]Hugst!$R$4:$W$4,0))))</f>
        <v>89.27035286783115</v>
      </c>
      <c r="K185">
        <f ca="1">IF($C185-K$1&lt;År1,0,J184*(1-VLOOKUP($A185,[1]Hugst!$R$5:$W$9,MATCH(ROUNDUP((K$1)/10,0)*10,[1]Hugst!$R$4:$W$4,0))))</f>
        <v>89.41220125407466</v>
      </c>
      <c r="L185">
        <f ca="1">IF($C185-L$1&lt;År1,0,K184*(1-VLOOKUP($A185,[1]Hugst!$R$5:$W$9,MATCH(ROUNDUP((L$1)/10,0)*10,[1]Hugst!$R$4:$W$4,0))))</f>
        <v>89.554762446278403</v>
      </c>
      <c r="M185">
        <f ca="1">IF($C185-M$1&lt;År1,0,L184*(1-VLOOKUP($A185,[1]Hugst!$R$5:$W$9,MATCH(ROUNDUP((M$1)/10,0)*10,[1]Hugst!$R$4:$W$4,0))))</f>
        <v>89.698040026383126</v>
      </c>
      <c r="N185">
        <f ca="1">IF($C185-N$1&lt;År1,0,M184*(1-VLOOKUP($A185,[1]Hugst!$R$5:$W$9,MATCH(ROUNDUP((N$1)/10,0)*10,[1]Hugst!$R$4:$W$4,0))))</f>
        <v>89.842037594326996</v>
      </c>
      <c r="O185">
        <f ca="1">IF($C185-O$1&lt;År1,0,N184*(1-VLOOKUP($A185,[1]Hugst!$R$5:$W$9,MATCH(ROUNDUP((O$1)/10,0)*10,[1]Hugst!$R$4:$W$4,0))))</f>
        <v>89.98675876813985</v>
      </c>
      <c r="P185">
        <f ca="1">IF($C185-P$1&lt;År1,0,O184*(1-VLOOKUP($A185,[1]Hugst!$R$5:$W$9,MATCH(ROUNDUP((P$1)/10,0)*10,[1]Hugst!$R$4:$W$4,0))))</f>
        <v>90.132207184033689</v>
      </c>
      <c r="Q185">
        <f ca="1">IF($C185-Q$1&lt;År1,0,P184*(1-VLOOKUP($A185,[1]Hugst!$R$5:$W$9,MATCH(ROUNDUP((Q$1)/10,0)*10,[1]Hugst!$R$4:$W$4,0))))</f>
        <v>90.278386496488167</v>
      </c>
      <c r="R185">
        <f ca="1">IF($C185-R$1&lt;År1,0,Q184*(1-VLOOKUP($A185,[1]Hugst!$R$5:$W$9,MATCH(ROUNDUP((R$1)/10,0)*10,[1]Hugst!$R$4:$W$4,0))))</f>
        <v>90.425300378352233</v>
      </c>
      <c r="S185">
        <f ca="1">IF($C185-S$1&lt;År1,0,R184*(1-VLOOKUP($A185,[1]Hugst!$R$5:$W$9,MATCH(ROUNDUP((S$1)/10,0)*10,[1]Hugst!$R$4:$W$4,0))))</f>
        <v>90.572952520930073</v>
      </c>
      <c r="T185">
        <f ca="1">IF($C185-T$1&lt;År1,0,S184*(1-VLOOKUP($A185,[1]Hugst!$R$5:$W$9,MATCH(ROUNDUP((T$1)/10,0)*10,[1]Hugst!$R$4:$W$4,0))))</f>
        <v>90.721346634072461</v>
      </c>
      <c r="U185">
        <f ca="1">IF($C185-U$1&lt;År1,0,T184*(1-VLOOKUP($A185,[1]Hugst!$R$5:$W$9,MATCH(ROUNDUP((U$1)/10,0)*10,[1]Hugst!$R$4:$W$4,0))))</f>
        <v>90.870486446276232</v>
      </c>
      <c r="V185">
        <f ca="1">IF($C185-V$1&lt;År1,0,U184*(1-VLOOKUP($A185,[1]Hugst!$R$5:$W$9,MATCH(ROUNDUP((V$1)/10,0)*10,[1]Hugst!$R$4:$W$4,0))))</f>
        <v>91.02037570477313</v>
      </c>
      <c r="W185">
        <f ca="1">IF($C185-W$1&lt;År1,0,V184*(1-VLOOKUP($A185,[1]Hugst!$R$5:$W$9,MATCH(ROUNDUP((W$1)/10,0)*10,[1]Hugst!$R$4:$W$4,0))))</f>
        <v>91.171018175622692</v>
      </c>
      <c r="X185">
        <f ca="1">IF($C185-X$1&lt;År1,0,W184*(1-VLOOKUP($A185,[1]Hugst!$R$5:$W$9,MATCH(ROUNDUP((X$1)/10,0)*10,[1]Hugst!$R$4:$W$4,0))))</f>
        <v>69.125136187275132</v>
      </c>
      <c r="Y185">
        <f ca="1">IF($C185-Y$1&lt;År1,0,X184*(1-VLOOKUP($A185,[1]Hugst!$R$5:$W$9,MATCH(ROUNDUP((Y$1)/10,0)*10,[1]Hugst!$R$4:$W$4,0))))</f>
        <v>69.277296456813701</v>
      </c>
      <c r="Z185">
        <f ca="1">IF($C185-Z$1&lt;År1,0,Y184*(1-VLOOKUP($A185,[1]Hugst!$R$5:$W$9,MATCH(ROUNDUP((Z$1)/10,0)*10,[1]Hugst!$R$4:$W$4,0))))</f>
        <v>69.430221350823388</v>
      </c>
      <c r="AA185">
        <f ca="1">IF($C185-AA$1&lt;År1,0,Z184*(1-VLOOKUP($A185,[1]Hugst!$R$5:$W$9,MATCH(ROUNDUP((AA$1)/10,0)*10,[1]Hugst!$R$4:$W$4,0))))</f>
        <v>69.583914711636112</v>
      </c>
      <c r="AB185">
        <f ca="1">IF($C185-AB$1&lt;År1,0,AA184*(1-VLOOKUP($A185,[1]Hugst!$R$5:$W$9,MATCH(ROUNDUP((AB$1)/10,0)*10,[1]Hugst!$R$4:$W$4,0))))</f>
        <v>69.73838040089737</v>
      </c>
      <c r="AC185">
        <f ca="1">IF($C185-AC$1&lt;År1,0,AB184*(1-VLOOKUP($A185,[1]Hugst!$R$5:$W$9,MATCH(ROUNDUP((AC$1)/10,0)*10,[1]Hugst!$R$4:$W$4,0))))</f>
        <v>69.893622299649508</v>
      </c>
      <c r="AD185">
        <f ca="1">IF($C185-AD$1&lt;År1,0,AC184*(1-VLOOKUP($A185,[1]Hugst!$R$5:$W$9,MATCH(ROUNDUP((AD$1)/10,0)*10,[1]Hugst!$R$4:$W$4,0))))</f>
        <v>70.049644308447569</v>
      </c>
      <c r="AE185">
        <f ca="1">IF($C185-AE$1&lt;År1,0,AD184*(1-VLOOKUP($A185,[1]Hugst!$R$5:$W$9,MATCH(ROUNDUP((AE$1)/10,0)*10,[1]Hugst!$R$4:$W$4,0))))</f>
        <v>70.206450347439187</v>
      </c>
      <c r="AF185">
        <f ca="1">IF($C185-AF$1&lt;År1,0,AE184*(1-VLOOKUP($A185,[1]Hugst!$R$5:$W$9,MATCH(ROUNDUP((AF$1)/10,0)*10,[1]Hugst!$R$4:$W$4,0))))</f>
        <v>70.364044356477635</v>
      </c>
      <c r="AG185">
        <f ca="1">IF($C185-AG$1&lt;År1,0,AF184*(1-VLOOKUP($A185,[1]Hugst!$R$5:$W$9,MATCH(ROUNDUP((AG$1)/10,0)*10,[1]Hugst!$R$4:$W$4,0))))</f>
        <v>70.522430295208849</v>
      </c>
      <c r="AH185">
        <f ca="1">IF($C185-AH$1&lt;År1,0,AG184*(1-VLOOKUP($A185,[1]Hugst!$R$5:$W$9,MATCH(ROUNDUP((AH$1)/10,0)*10,[1]Hugst!$R$4:$W$4,0))))</f>
        <v>70.681612143180047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55000000000000004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88.571678906826662</v>
      </c>
      <c r="G186">
        <f ca="1">IF($C186-G$1&lt;År1,0,F185*(1-VLOOKUP($A186,[1]Hugst!$R$5:$W$9,MATCH(ROUNDUP((G$1)/10,0)*10,[1]Hugst!$R$4:$W$4,0))))</f>
        <v>88.710016368641448</v>
      </c>
      <c r="H186">
        <f ca="1">IF($C186-H$1&lt;År1,0,G185*(1-VLOOKUP($A186,[1]Hugst!$R$5:$W$9,MATCH(ROUNDUP((H$1)/10,0)*10,[1]Hugst!$R$4:$W$4,0))))</f>
        <v>88.849048993581221</v>
      </c>
      <c r="I186">
        <f ca="1">IF($C186-I$1&lt;År1,0,H185*(1-VLOOKUP($A186,[1]Hugst!$R$5:$W$9,MATCH(ROUNDUP((I$1)/10,0)*10,[1]Hugst!$R$4:$W$4,0))))</f>
        <v>88.988780274930321</v>
      </c>
      <c r="J186">
        <f ca="1">IF($C186-J$1&lt;År1,0,I185*(1-VLOOKUP($A186,[1]Hugst!$R$5:$W$9,MATCH(ROUNDUP((J$1)/10,0)*10,[1]Hugst!$R$4:$W$4,0))))</f>
        <v>89.12921372351974</v>
      </c>
      <c r="K186">
        <f ca="1">IF($C186-K$1&lt;År1,0,J185*(1-VLOOKUP($A186,[1]Hugst!$R$5:$W$9,MATCH(ROUNDUP((K$1)/10,0)*10,[1]Hugst!$R$4:$W$4,0))))</f>
        <v>89.27035286783115</v>
      </c>
      <c r="L186">
        <f ca="1">IF($C186-L$1&lt;År1,0,K185*(1-VLOOKUP($A186,[1]Hugst!$R$5:$W$9,MATCH(ROUNDUP((L$1)/10,0)*10,[1]Hugst!$R$4:$W$4,0))))</f>
        <v>89.41220125407466</v>
      </c>
      <c r="M186">
        <f ca="1">IF($C186-M$1&lt;År1,0,L185*(1-VLOOKUP($A186,[1]Hugst!$R$5:$W$9,MATCH(ROUNDUP((M$1)/10,0)*10,[1]Hugst!$R$4:$W$4,0))))</f>
        <v>89.554762446278403</v>
      </c>
      <c r="N186">
        <f ca="1">IF($C186-N$1&lt;År1,0,M185*(1-VLOOKUP($A186,[1]Hugst!$R$5:$W$9,MATCH(ROUNDUP((N$1)/10,0)*10,[1]Hugst!$R$4:$W$4,0))))</f>
        <v>89.698040026383126</v>
      </c>
      <c r="O186">
        <f ca="1">IF($C186-O$1&lt;År1,0,N185*(1-VLOOKUP($A186,[1]Hugst!$R$5:$W$9,MATCH(ROUNDUP((O$1)/10,0)*10,[1]Hugst!$R$4:$W$4,0))))</f>
        <v>89.842037594326996</v>
      </c>
      <c r="P186">
        <f ca="1">IF($C186-P$1&lt;År1,0,O185*(1-VLOOKUP($A186,[1]Hugst!$R$5:$W$9,MATCH(ROUNDUP((P$1)/10,0)*10,[1]Hugst!$R$4:$W$4,0))))</f>
        <v>89.98675876813985</v>
      </c>
      <c r="Q186">
        <f ca="1">IF($C186-Q$1&lt;År1,0,P185*(1-VLOOKUP($A186,[1]Hugst!$R$5:$W$9,MATCH(ROUNDUP((Q$1)/10,0)*10,[1]Hugst!$R$4:$W$4,0))))</f>
        <v>90.132207184033689</v>
      </c>
      <c r="R186">
        <f ca="1">IF($C186-R$1&lt;År1,0,Q185*(1-VLOOKUP($A186,[1]Hugst!$R$5:$W$9,MATCH(ROUNDUP((R$1)/10,0)*10,[1]Hugst!$R$4:$W$4,0))))</f>
        <v>90.278386496488167</v>
      </c>
      <c r="S186">
        <f ca="1">IF($C186-S$1&lt;År1,0,R185*(1-VLOOKUP($A186,[1]Hugst!$R$5:$W$9,MATCH(ROUNDUP((S$1)/10,0)*10,[1]Hugst!$R$4:$W$4,0))))</f>
        <v>90.425300378352233</v>
      </c>
      <c r="T186">
        <f ca="1">IF($C186-T$1&lt;År1,0,S185*(1-VLOOKUP($A186,[1]Hugst!$R$5:$W$9,MATCH(ROUNDUP((T$1)/10,0)*10,[1]Hugst!$R$4:$W$4,0))))</f>
        <v>90.572952520930073</v>
      </c>
      <c r="U186">
        <f ca="1">IF($C186-U$1&lt;År1,0,T185*(1-VLOOKUP($A186,[1]Hugst!$R$5:$W$9,MATCH(ROUNDUP((U$1)/10,0)*10,[1]Hugst!$R$4:$W$4,0))))</f>
        <v>90.721346634072461</v>
      </c>
      <c r="V186">
        <f ca="1">IF($C186-V$1&lt;År1,0,U185*(1-VLOOKUP($A186,[1]Hugst!$R$5:$W$9,MATCH(ROUNDUP((V$1)/10,0)*10,[1]Hugst!$R$4:$W$4,0))))</f>
        <v>90.870486446276232</v>
      </c>
      <c r="W186">
        <f ca="1">IF($C186-W$1&lt;År1,0,V185*(1-VLOOKUP($A186,[1]Hugst!$R$5:$W$9,MATCH(ROUNDUP((W$1)/10,0)*10,[1]Hugst!$R$4:$W$4,0))))</f>
        <v>91.02037570477313</v>
      </c>
      <c r="X186">
        <f ca="1">IF($C186-X$1&lt;År1,0,W185*(1-VLOOKUP($A186,[1]Hugst!$R$5:$W$9,MATCH(ROUNDUP((X$1)/10,0)*10,[1]Hugst!$R$4:$W$4,0))))</f>
        <v>91.171018175622692</v>
      </c>
      <c r="Y186">
        <f ca="1">IF($C186-Y$1&lt;År1,0,X185*(1-VLOOKUP($A186,[1]Hugst!$R$5:$W$9,MATCH(ROUNDUP((Y$1)/10,0)*10,[1]Hugst!$R$4:$W$4,0))))</f>
        <v>69.125136187275132</v>
      </c>
      <c r="Z186">
        <f ca="1">IF($C186-Z$1&lt;År1,0,Y185*(1-VLOOKUP($A186,[1]Hugst!$R$5:$W$9,MATCH(ROUNDUP((Z$1)/10,0)*10,[1]Hugst!$R$4:$W$4,0))))</f>
        <v>69.277296456813701</v>
      </c>
      <c r="AA186">
        <f ca="1">IF($C186-AA$1&lt;År1,0,Z185*(1-VLOOKUP($A186,[1]Hugst!$R$5:$W$9,MATCH(ROUNDUP((AA$1)/10,0)*10,[1]Hugst!$R$4:$W$4,0))))</f>
        <v>69.430221350823388</v>
      </c>
      <c r="AB186">
        <f ca="1">IF($C186-AB$1&lt;År1,0,AA185*(1-VLOOKUP($A186,[1]Hugst!$R$5:$W$9,MATCH(ROUNDUP((AB$1)/10,0)*10,[1]Hugst!$R$4:$W$4,0))))</f>
        <v>69.583914711636112</v>
      </c>
      <c r="AC186">
        <f ca="1">IF($C186-AC$1&lt;År1,0,AB185*(1-VLOOKUP($A186,[1]Hugst!$R$5:$W$9,MATCH(ROUNDUP((AC$1)/10,0)*10,[1]Hugst!$R$4:$W$4,0))))</f>
        <v>69.73838040089737</v>
      </c>
      <c r="AD186">
        <f ca="1">IF($C186-AD$1&lt;År1,0,AC185*(1-VLOOKUP($A186,[1]Hugst!$R$5:$W$9,MATCH(ROUNDUP((AD$1)/10,0)*10,[1]Hugst!$R$4:$W$4,0))))</f>
        <v>69.893622299649508</v>
      </c>
      <c r="AE186">
        <f ca="1">IF($C186-AE$1&lt;År1,0,AD185*(1-VLOOKUP($A186,[1]Hugst!$R$5:$W$9,MATCH(ROUNDUP((AE$1)/10,0)*10,[1]Hugst!$R$4:$W$4,0))))</f>
        <v>70.049644308447569</v>
      </c>
      <c r="AF186">
        <f ca="1">IF($C186-AF$1&lt;År1,0,AE185*(1-VLOOKUP($A186,[1]Hugst!$R$5:$W$9,MATCH(ROUNDUP((AF$1)/10,0)*10,[1]Hugst!$R$4:$W$4,0))))</f>
        <v>70.206450347439187</v>
      </c>
      <c r="AG186">
        <f ca="1">IF($C186-AG$1&lt;År1,0,AF185*(1-VLOOKUP($A186,[1]Hugst!$R$5:$W$9,MATCH(ROUNDUP((AG$1)/10,0)*10,[1]Hugst!$R$4:$W$4,0))))</f>
        <v>70.364044356477635</v>
      </c>
      <c r="AH186">
        <f ca="1">IF($C186-AH$1&lt;År1,0,AG185*(1-VLOOKUP($A186,[1]Hugst!$R$5:$W$9,MATCH(ROUNDUP((AH$1)/10,0)*10,[1]Hugst!$R$4:$W$4,0))))</f>
        <v>70.522430295208849</v>
      </c>
      <c r="AI186">
        <f ca="1">IF($C186-AI$1&lt;År1,0,AH185*(1-VLOOKUP($A186,[1]Hugst!$R$5:$W$9,MATCH(ROUNDUP((AI$1)/10,0)*10,[1]Hugst!$R$4:$W$4,0))))</f>
        <v>70.681612143180047</v>
      </c>
      <c r="AJ186">
        <f>IF($C186-AJ$1&lt;År1,0,AI185*(1-VLOOKUP($A186,[1]Hugst!$R$5:$W$9,MATCH(ROUNDUP((AJ$1)/10,0)*10,[1]Hugst!$R$4:$W$4,0))))</f>
        <v>0</v>
      </c>
    </row>
    <row r="187" spans="1:36" x14ac:dyDescent="0.55000000000000004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0.12851202207866663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88.562545154398265</v>
      </c>
      <c r="G187">
        <f ca="1">IF($C187-G$1&lt;År1,0,F186*(1-VLOOKUP($A187,[1]Hugst!$R$5:$W$9,MATCH(ROUNDUP((G$1)/10,0)*10,[1]Hugst!$R$4:$W$4,0))))</f>
        <v>88.571678906826662</v>
      </c>
      <c r="H187">
        <f ca="1">IF($C187-H$1&lt;År1,0,G186*(1-VLOOKUP($A187,[1]Hugst!$R$5:$W$9,MATCH(ROUNDUP((H$1)/10,0)*10,[1]Hugst!$R$4:$W$4,0))))</f>
        <v>88.710016368641448</v>
      </c>
      <c r="I187">
        <f ca="1">IF($C187-I$1&lt;År1,0,H186*(1-VLOOKUP($A187,[1]Hugst!$R$5:$W$9,MATCH(ROUNDUP((I$1)/10,0)*10,[1]Hugst!$R$4:$W$4,0))))</f>
        <v>88.849048993581221</v>
      </c>
      <c r="J187">
        <f ca="1">IF($C187-J$1&lt;År1,0,I186*(1-VLOOKUP($A187,[1]Hugst!$R$5:$W$9,MATCH(ROUNDUP((J$1)/10,0)*10,[1]Hugst!$R$4:$W$4,0))))</f>
        <v>88.988780274930321</v>
      </c>
      <c r="K187">
        <f ca="1">IF($C187-K$1&lt;År1,0,J186*(1-VLOOKUP($A187,[1]Hugst!$R$5:$W$9,MATCH(ROUNDUP((K$1)/10,0)*10,[1]Hugst!$R$4:$W$4,0))))</f>
        <v>89.12921372351974</v>
      </c>
      <c r="L187">
        <f ca="1">IF($C187-L$1&lt;År1,0,K186*(1-VLOOKUP($A187,[1]Hugst!$R$5:$W$9,MATCH(ROUNDUP((L$1)/10,0)*10,[1]Hugst!$R$4:$W$4,0))))</f>
        <v>89.27035286783115</v>
      </c>
      <c r="M187">
        <f ca="1">IF($C187-M$1&lt;År1,0,L186*(1-VLOOKUP($A187,[1]Hugst!$R$5:$W$9,MATCH(ROUNDUP((M$1)/10,0)*10,[1]Hugst!$R$4:$W$4,0))))</f>
        <v>89.41220125407466</v>
      </c>
      <c r="N187">
        <f ca="1">IF($C187-N$1&lt;År1,0,M186*(1-VLOOKUP($A187,[1]Hugst!$R$5:$W$9,MATCH(ROUNDUP((N$1)/10,0)*10,[1]Hugst!$R$4:$W$4,0))))</f>
        <v>89.554762446278403</v>
      </c>
      <c r="O187">
        <f ca="1">IF($C187-O$1&lt;År1,0,N186*(1-VLOOKUP($A187,[1]Hugst!$R$5:$W$9,MATCH(ROUNDUP((O$1)/10,0)*10,[1]Hugst!$R$4:$W$4,0))))</f>
        <v>89.698040026383126</v>
      </c>
      <c r="P187">
        <f ca="1">IF($C187-P$1&lt;År1,0,O186*(1-VLOOKUP($A187,[1]Hugst!$R$5:$W$9,MATCH(ROUNDUP((P$1)/10,0)*10,[1]Hugst!$R$4:$W$4,0))))</f>
        <v>89.842037594326996</v>
      </c>
      <c r="Q187">
        <f ca="1">IF($C187-Q$1&lt;År1,0,P186*(1-VLOOKUP($A187,[1]Hugst!$R$5:$W$9,MATCH(ROUNDUP((Q$1)/10,0)*10,[1]Hugst!$R$4:$W$4,0))))</f>
        <v>89.98675876813985</v>
      </c>
      <c r="R187">
        <f ca="1">IF($C187-R$1&lt;År1,0,Q186*(1-VLOOKUP($A187,[1]Hugst!$R$5:$W$9,MATCH(ROUNDUP((R$1)/10,0)*10,[1]Hugst!$R$4:$W$4,0))))</f>
        <v>90.132207184033689</v>
      </c>
      <c r="S187">
        <f ca="1">IF($C187-S$1&lt;År1,0,R186*(1-VLOOKUP($A187,[1]Hugst!$R$5:$W$9,MATCH(ROUNDUP((S$1)/10,0)*10,[1]Hugst!$R$4:$W$4,0))))</f>
        <v>90.278386496488167</v>
      </c>
      <c r="T187">
        <f ca="1">IF($C187-T$1&lt;År1,0,S186*(1-VLOOKUP($A187,[1]Hugst!$R$5:$W$9,MATCH(ROUNDUP((T$1)/10,0)*10,[1]Hugst!$R$4:$W$4,0))))</f>
        <v>90.425300378352233</v>
      </c>
      <c r="U187">
        <f ca="1">IF($C187-U$1&lt;År1,0,T186*(1-VLOOKUP($A187,[1]Hugst!$R$5:$W$9,MATCH(ROUNDUP((U$1)/10,0)*10,[1]Hugst!$R$4:$W$4,0))))</f>
        <v>90.572952520930073</v>
      </c>
      <c r="V187">
        <f ca="1">IF($C187-V$1&lt;År1,0,U186*(1-VLOOKUP($A187,[1]Hugst!$R$5:$W$9,MATCH(ROUNDUP((V$1)/10,0)*10,[1]Hugst!$R$4:$W$4,0))))</f>
        <v>90.721346634072461</v>
      </c>
      <c r="W187">
        <f ca="1">IF($C187-W$1&lt;År1,0,V186*(1-VLOOKUP($A187,[1]Hugst!$R$5:$W$9,MATCH(ROUNDUP((W$1)/10,0)*10,[1]Hugst!$R$4:$W$4,0))))</f>
        <v>90.870486446276232</v>
      </c>
      <c r="X187">
        <f ca="1">IF($C187-X$1&lt;År1,0,W186*(1-VLOOKUP($A187,[1]Hugst!$R$5:$W$9,MATCH(ROUNDUP((X$1)/10,0)*10,[1]Hugst!$R$4:$W$4,0))))</f>
        <v>91.02037570477313</v>
      </c>
      <c r="Y187">
        <f ca="1">IF($C187-Y$1&lt;År1,0,X186*(1-VLOOKUP($A187,[1]Hugst!$R$5:$W$9,MATCH(ROUNDUP((Y$1)/10,0)*10,[1]Hugst!$R$4:$W$4,0))))</f>
        <v>91.171018175622692</v>
      </c>
      <c r="Z187">
        <f ca="1">IF($C187-Z$1&lt;År1,0,Y186*(1-VLOOKUP($A187,[1]Hugst!$R$5:$W$9,MATCH(ROUNDUP((Z$1)/10,0)*10,[1]Hugst!$R$4:$W$4,0))))</f>
        <v>69.125136187275132</v>
      </c>
      <c r="AA187">
        <f ca="1">IF($C187-AA$1&lt;År1,0,Z186*(1-VLOOKUP($A187,[1]Hugst!$R$5:$W$9,MATCH(ROUNDUP((AA$1)/10,0)*10,[1]Hugst!$R$4:$W$4,0))))</f>
        <v>69.277296456813701</v>
      </c>
      <c r="AB187">
        <f ca="1">IF($C187-AB$1&lt;År1,0,AA186*(1-VLOOKUP($A187,[1]Hugst!$R$5:$W$9,MATCH(ROUNDUP((AB$1)/10,0)*10,[1]Hugst!$R$4:$W$4,0))))</f>
        <v>69.430221350823388</v>
      </c>
      <c r="AC187">
        <f ca="1">IF($C187-AC$1&lt;År1,0,AB186*(1-VLOOKUP($A187,[1]Hugst!$R$5:$W$9,MATCH(ROUNDUP((AC$1)/10,0)*10,[1]Hugst!$R$4:$W$4,0))))</f>
        <v>69.583914711636112</v>
      </c>
      <c r="AD187">
        <f ca="1">IF($C187-AD$1&lt;År1,0,AC186*(1-VLOOKUP($A187,[1]Hugst!$R$5:$W$9,MATCH(ROUNDUP((AD$1)/10,0)*10,[1]Hugst!$R$4:$W$4,0))))</f>
        <v>69.73838040089737</v>
      </c>
      <c r="AE187">
        <f ca="1">IF($C187-AE$1&lt;År1,0,AD186*(1-VLOOKUP($A187,[1]Hugst!$R$5:$W$9,MATCH(ROUNDUP((AE$1)/10,0)*10,[1]Hugst!$R$4:$W$4,0))))</f>
        <v>69.893622299649508</v>
      </c>
      <c r="AF187">
        <f ca="1">IF($C187-AF$1&lt;År1,0,AE186*(1-VLOOKUP($A187,[1]Hugst!$R$5:$W$9,MATCH(ROUNDUP((AF$1)/10,0)*10,[1]Hugst!$R$4:$W$4,0))))</f>
        <v>70.049644308447569</v>
      </c>
      <c r="AG187">
        <f ca="1">IF($C187-AG$1&lt;År1,0,AF186*(1-VLOOKUP($A187,[1]Hugst!$R$5:$W$9,MATCH(ROUNDUP((AG$1)/10,0)*10,[1]Hugst!$R$4:$W$4,0))))</f>
        <v>70.206450347439187</v>
      </c>
      <c r="AH187">
        <f ca="1">IF($C187-AH$1&lt;År1,0,AG186*(1-VLOOKUP($A187,[1]Hugst!$R$5:$W$9,MATCH(ROUNDUP((AH$1)/10,0)*10,[1]Hugst!$R$4:$W$4,0))))</f>
        <v>70.364044356477635</v>
      </c>
      <c r="AI187">
        <f ca="1">IF($C187-AI$1&lt;År1,0,AH186*(1-VLOOKUP($A187,[1]Hugst!$R$5:$W$9,MATCH(ROUNDUP((AI$1)/10,0)*10,[1]Hugst!$R$4:$W$4,0))))</f>
        <v>70.522430295208849</v>
      </c>
      <c r="AJ187">
        <f ca="1">IF($C187-AJ$1&lt;År1,0,AI186*(1-VLOOKUP($A187,[1]Hugst!$R$5:$W$9,MATCH(ROUNDUP((AJ$1)/10,0)*10,[1]Hugst!$R$4:$W$4,0))))</f>
        <v>70.553100121101537</v>
      </c>
    </row>
    <row r="188" spans="1:36" x14ac:dyDescent="0.55000000000000004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3280.8031422265312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55000000000000004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3275.9086663582484</v>
      </c>
      <c r="G189">
        <f ca="1">IF($C189-G$1&lt;År1,0,F188*(1-VLOOKUP($A189,[1]Hugst!$R$5:$W$9,MATCH(ROUNDUP((G$1)/10,0)*10,[1]Hugst!$R$4:$W$4,0))))</f>
        <v>3280.8031422265312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55000000000000004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3271.0386628693586</v>
      </c>
      <c r="G190">
        <f ca="1">IF($C190-G$1&lt;År1,0,F189*(1-VLOOKUP($A190,[1]Hugst!$R$5:$W$9,MATCH(ROUNDUP((G$1)/10,0)*10,[1]Hugst!$R$4:$W$4,0))))</f>
        <v>3275.9086663582484</v>
      </c>
      <c r="H190">
        <f ca="1">IF($C190-H$1&lt;År1,0,G189*(1-VLOOKUP($A190,[1]Hugst!$R$5:$W$9,MATCH(ROUNDUP((H$1)/10,0)*10,[1]Hugst!$R$4:$W$4,0))))</f>
        <v>3280.8031422265312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55000000000000004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3266.1930093978795</v>
      </c>
      <c r="G191">
        <f ca="1">IF($C191-G$1&lt;År1,0,F190*(1-VLOOKUP($A191,[1]Hugst!$R$5:$W$9,MATCH(ROUNDUP((G$1)/10,0)*10,[1]Hugst!$R$4:$W$4,0))))</f>
        <v>3271.0386628693586</v>
      </c>
      <c r="H191">
        <f ca="1">IF($C191-H$1&lt;År1,0,G190*(1-VLOOKUP($A191,[1]Hugst!$R$5:$W$9,MATCH(ROUNDUP((H$1)/10,0)*10,[1]Hugst!$R$4:$W$4,0))))</f>
        <v>3275.9086663582484</v>
      </c>
      <c r="I191">
        <f ca="1">IF($C191-I$1&lt;År1,0,H190*(1-VLOOKUP($A191,[1]Hugst!$R$5:$W$9,MATCH(ROUNDUP((I$1)/10,0)*10,[1]Hugst!$R$4:$W$4,0))))</f>
        <v>3280.8031422265312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55000000000000004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3261.3715841937615</v>
      </c>
      <c r="G192">
        <f ca="1">IF($C192-G$1&lt;År1,0,F191*(1-VLOOKUP($A192,[1]Hugst!$R$5:$W$9,MATCH(ROUNDUP((G$1)/10,0)*10,[1]Hugst!$R$4:$W$4,0))))</f>
        <v>3266.1930093978795</v>
      </c>
      <c r="H192">
        <f ca="1">IF($C192-H$1&lt;År1,0,G191*(1-VLOOKUP($A192,[1]Hugst!$R$5:$W$9,MATCH(ROUNDUP((H$1)/10,0)*10,[1]Hugst!$R$4:$W$4,0))))</f>
        <v>3271.0386628693586</v>
      </c>
      <c r="I192">
        <f ca="1">IF($C192-I$1&lt;År1,0,H191*(1-VLOOKUP($A192,[1]Hugst!$R$5:$W$9,MATCH(ROUNDUP((I$1)/10,0)*10,[1]Hugst!$R$4:$W$4,0))))</f>
        <v>3275.9086663582484</v>
      </c>
      <c r="J192">
        <f ca="1">IF($C192-J$1&lt;År1,0,I191*(1-VLOOKUP($A192,[1]Hugst!$R$5:$W$9,MATCH(ROUNDUP((J$1)/10,0)*10,[1]Hugst!$R$4:$W$4,0))))</f>
        <v>3280.8031422265312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55000000000000004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3256.574266115661</v>
      </c>
      <c r="G193">
        <f ca="1">IF($C193-G$1&lt;År1,0,F192*(1-VLOOKUP($A193,[1]Hugst!$R$5:$W$9,MATCH(ROUNDUP((G$1)/10,0)*10,[1]Hugst!$R$4:$W$4,0))))</f>
        <v>3261.3715841937615</v>
      </c>
      <c r="H193">
        <f ca="1">IF($C193-H$1&lt;År1,0,G192*(1-VLOOKUP($A193,[1]Hugst!$R$5:$W$9,MATCH(ROUNDUP((H$1)/10,0)*10,[1]Hugst!$R$4:$W$4,0))))</f>
        <v>3266.1930093978795</v>
      </c>
      <c r="I193">
        <f ca="1">IF($C193-I$1&lt;År1,0,H192*(1-VLOOKUP($A193,[1]Hugst!$R$5:$W$9,MATCH(ROUNDUP((I$1)/10,0)*10,[1]Hugst!$R$4:$W$4,0))))</f>
        <v>3271.0386628693586</v>
      </c>
      <c r="J193">
        <f ca="1">IF($C193-J$1&lt;År1,0,I192*(1-VLOOKUP($A193,[1]Hugst!$R$5:$W$9,MATCH(ROUNDUP((J$1)/10,0)*10,[1]Hugst!$R$4:$W$4,0))))</f>
        <v>3275.9086663582484</v>
      </c>
      <c r="K193">
        <f ca="1">IF($C193-K$1&lt;År1,0,J192*(1-VLOOKUP($A193,[1]Hugst!$R$5:$W$9,MATCH(ROUNDUP((K$1)/10,0)*10,[1]Hugst!$R$4:$W$4,0))))</f>
        <v>3280.8031422265312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55000000000000004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3251.8009346279605</v>
      </c>
      <c r="G194">
        <f ca="1">IF($C194-G$1&lt;År1,0,F193*(1-VLOOKUP($A194,[1]Hugst!$R$5:$W$9,MATCH(ROUNDUP((G$1)/10,0)*10,[1]Hugst!$R$4:$W$4,0))))</f>
        <v>3256.574266115661</v>
      </c>
      <c r="H194">
        <f ca="1">IF($C194-H$1&lt;År1,0,G193*(1-VLOOKUP($A194,[1]Hugst!$R$5:$W$9,MATCH(ROUNDUP((H$1)/10,0)*10,[1]Hugst!$R$4:$W$4,0))))</f>
        <v>3261.3715841937615</v>
      </c>
      <c r="I194">
        <f ca="1">IF($C194-I$1&lt;År1,0,H193*(1-VLOOKUP($A194,[1]Hugst!$R$5:$W$9,MATCH(ROUNDUP((I$1)/10,0)*10,[1]Hugst!$R$4:$W$4,0))))</f>
        <v>3266.1930093978795</v>
      </c>
      <c r="J194">
        <f ca="1">IF($C194-J$1&lt;År1,0,I193*(1-VLOOKUP($A194,[1]Hugst!$R$5:$W$9,MATCH(ROUNDUP((J$1)/10,0)*10,[1]Hugst!$R$4:$W$4,0))))</f>
        <v>3271.0386628693586</v>
      </c>
      <c r="K194">
        <f ca="1">IF($C194-K$1&lt;År1,0,J193*(1-VLOOKUP($A194,[1]Hugst!$R$5:$W$9,MATCH(ROUNDUP((K$1)/10,0)*10,[1]Hugst!$R$4:$W$4,0))))</f>
        <v>3275.9086663582484</v>
      </c>
      <c r="L194">
        <f ca="1">IF($C194-L$1&lt;År1,0,K193*(1-VLOOKUP($A194,[1]Hugst!$R$5:$W$9,MATCH(ROUNDUP((L$1)/10,0)*10,[1]Hugst!$R$4:$W$4,0))))</f>
        <v>3280.8031422265312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55000000000000004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3247.0514697977023</v>
      </c>
      <c r="G195">
        <f ca="1">IF($C195-G$1&lt;År1,0,F194*(1-VLOOKUP($A195,[1]Hugst!$R$5:$W$9,MATCH(ROUNDUP((G$1)/10,0)*10,[1]Hugst!$R$4:$W$4,0))))</f>
        <v>3251.8009346279605</v>
      </c>
      <c r="H195">
        <f ca="1">IF($C195-H$1&lt;År1,0,G194*(1-VLOOKUP($A195,[1]Hugst!$R$5:$W$9,MATCH(ROUNDUP((H$1)/10,0)*10,[1]Hugst!$R$4:$W$4,0))))</f>
        <v>3256.574266115661</v>
      </c>
      <c r="I195">
        <f ca="1">IF($C195-I$1&lt;År1,0,H194*(1-VLOOKUP($A195,[1]Hugst!$R$5:$W$9,MATCH(ROUNDUP((I$1)/10,0)*10,[1]Hugst!$R$4:$W$4,0))))</f>
        <v>3261.3715841937615</v>
      </c>
      <c r="J195">
        <f ca="1">IF($C195-J$1&lt;År1,0,I194*(1-VLOOKUP($A195,[1]Hugst!$R$5:$W$9,MATCH(ROUNDUP((J$1)/10,0)*10,[1]Hugst!$R$4:$W$4,0))))</f>
        <v>3266.1930093978795</v>
      </c>
      <c r="K195">
        <f ca="1">IF($C195-K$1&lt;År1,0,J194*(1-VLOOKUP($A195,[1]Hugst!$R$5:$W$9,MATCH(ROUNDUP((K$1)/10,0)*10,[1]Hugst!$R$4:$W$4,0))))</f>
        <v>3271.0386628693586</v>
      </c>
      <c r="L195">
        <f ca="1">IF($C195-L$1&lt;År1,0,K194*(1-VLOOKUP($A195,[1]Hugst!$R$5:$W$9,MATCH(ROUNDUP((L$1)/10,0)*10,[1]Hugst!$R$4:$W$4,0))))</f>
        <v>3275.9086663582484</v>
      </c>
      <c r="M195">
        <f ca="1">IF($C195-M$1&lt;År1,0,L194*(1-VLOOKUP($A195,[1]Hugst!$R$5:$W$9,MATCH(ROUNDUP((M$1)/10,0)*10,[1]Hugst!$R$4:$W$4,0))))</f>
        <v>3280.8031422265312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55000000000000004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3242.3257522916001</v>
      </c>
      <c r="G196">
        <f ca="1">IF($C196-G$1&lt;År1,0,F195*(1-VLOOKUP($A196,[1]Hugst!$R$5:$W$9,MATCH(ROUNDUP((G$1)/10,0)*10,[1]Hugst!$R$4:$W$4,0))))</f>
        <v>3247.0514697977023</v>
      </c>
      <c r="H196">
        <f ca="1">IF($C196-H$1&lt;År1,0,G195*(1-VLOOKUP($A196,[1]Hugst!$R$5:$W$9,MATCH(ROUNDUP((H$1)/10,0)*10,[1]Hugst!$R$4:$W$4,0))))</f>
        <v>3251.8009346279605</v>
      </c>
      <c r="I196">
        <f ca="1">IF($C196-I$1&lt;År1,0,H195*(1-VLOOKUP($A196,[1]Hugst!$R$5:$W$9,MATCH(ROUNDUP((I$1)/10,0)*10,[1]Hugst!$R$4:$W$4,0))))</f>
        <v>3256.574266115661</v>
      </c>
      <c r="J196">
        <f ca="1">IF($C196-J$1&lt;År1,0,I195*(1-VLOOKUP($A196,[1]Hugst!$R$5:$W$9,MATCH(ROUNDUP((J$1)/10,0)*10,[1]Hugst!$R$4:$W$4,0))))</f>
        <v>3261.3715841937615</v>
      </c>
      <c r="K196">
        <f ca="1">IF($C196-K$1&lt;År1,0,J195*(1-VLOOKUP($A196,[1]Hugst!$R$5:$W$9,MATCH(ROUNDUP((K$1)/10,0)*10,[1]Hugst!$R$4:$W$4,0))))</f>
        <v>3266.1930093978795</v>
      </c>
      <c r="L196">
        <f ca="1">IF($C196-L$1&lt;År1,0,K195*(1-VLOOKUP($A196,[1]Hugst!$R$5:$W$9,MATCH(ROUNDUP((L$1)/10,0)*10,[1]Hugst!$R$4:$W$4,0))))</f>
        <v>3271.0386628693586</v>
      </c>
      <c r="M196">
        <f ca="1">IF($C196-M$1&lt;År1,0,L195*(1-VLOOKUP($A196,[1]Hugst!$R$5:$W$9,MATCH(ROUNDUP((M$1)/10,0)*10,[1]Hugst!$R$4:$W$4,0))))</f>
        <v>3275.9086663582484</v>
      </c>
      <c r="N196">
        <f ca="1">IF($C196-N$1&lt;År1,0,M195*(1-VLOOKUP($A196,[1]Hugst!$R$5:$W$9,MATCH(ROUNDUP((N$1)/10,0)*10,[1]Hugst!$R$4:$W$4,0))))</f>
        <v>3280.8031422265312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55000000000000004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3237.6236633729714</v>
      </c>
      <c r="G197">
        <f ca="1">IF($C197-G$1&lt;År1,0,F196*(1-VLOOKUP($A197,[1]Hugst!$R$5:$W$9,MATCH(ROUNDUP((G$1)/10,0)*10,[1]Hugst!$R$4:$W$4,0))))</f>
        <v>3242.3257522916001</v>
      </c>
      <c r="H197">
        <f ca="1">IF($C197-H$1&lt;År1,0,G196*(1-VLOOKUP($A197,[1]Hugst!$R$5:$W$9,MATCH(ROUNDUP((H$1)/10,0)*10,[1]Hugst!$R$4:$W$4,0))))</f>
        <v>3247.0514697977023</v>
      </c>
      <c r="I197">
        <f ca="1">IF($C197-I$1&lt;År1,0,H196*(1-VLOOKUP($A197,[1]Hugst!$R$5:$W$9,MATCH(ROUNDUP((I$1)/10,0)*10,[1]Hugst!$R$4:$W$4,0))))</f>
        <v>3251.8009346279605</v>
      </c>
      <c r="J197">
        <f ca="1">IF($C197-J$1&lt;År1,0,I196*(1-VLOOKUP($A197,[1]Hugst!$R$5:$W$9,MATCH(ROUNDUP((J$1)/10,0)*10,[1]Hugst!$R$4:$W$4,0))))</f>
        <v>3256.574266115661</v>
      </c>
      <c r="K197">
        <f ca="1">IF($C197-K$1&lt;År1,0,J196*(1-VLOOKUP($A197,[1]Hugst!$R$5:$W$9,MATCH(ROUNDUP((K$1)/10,0)*10,[1]Hugst!$R$4:$W$4,0))))</f>
        <v>3261.3715841937615</v>
      </c>
      <c r="L197">
        <f ca="1">IF($C197-L$1&lt;År1,0,K196*(1-VLOOKUP($A197,[1]Hugst!$R$5:$W$9,MATCH(ROUNDUP((L$1)/10,0)*10,[1]Hugst!$R$4:$W$4,0))))</f>
        <v>3266.1930093978795</v>
      </c>
      <c r="M197">
        <f ca="1">IF($C197-M$1&lt;År1,0,L196*(1-VLOOKUP($A197,[1]Hugst!$R$5:$W$9,MATCH(ROUNDUP((M$1)/10,0)*10,[1]Hugst!$R$4:$W$4,0))))</f>
        <v>3271.0386628693586</v>
      </c>
      <c r="N197">
        <f ca="1">IF($C197-N$1&lt;År1,0,M196*(1-VLOOKUP($A197,[1]Hugst!$R$5:$W$9,MATCH(ROUNDUP((N$1)/10,0)*10,[1]Hugst!$R$4:$W$4,0))))</f>
        <v>3275.9086663582484</v>
      </c>
      <c r="O197">
        <f ca="1">IF($C197-O$1&lt;År1,0,N196*(1-VLOOKUP($A197,[1]Hugst!$R$5:$W$9,MATCH(ROUNDUP((O$1)/10,0)*10,[1]Hugst!$R$4:$W$4,0))))</f>
        <v>3280.8031422265312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55000000000000004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7.201762995129684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3240.146847894157</v>
      </c>
      <c r="G198">
        <f ca="1">IF($C198-G$1&lt;År1,0,F197*(1-VLOOKUP($A198,[1]Hugst!$R$5:$W$9,MATCH(ROUNDUP((G$1)/10,0)*10,[1]Hugst!$R$4:$W$4,0))))</f>
        <v>3237.6236633729714</v>
      </c>
      <c r="H198">
        <f ca="1">IF($C198-H$1&lt;År1,0,G197*(1-VLOOKUP($A198,[1]Hugst!$R$5:$W$9,MATCH(ROUNDUP((H$1)/10,0)*10,[1]Hugst!$R$4:$W$4,0))))</f>
        <v>3242.3257522916001</v>
      </c>
      <c r="I198">
        <f ca="1">IF($C198-I$1&lt;År1,0,H197*(1-VLOOKUP($A198,[1]Hugst!$R$5:$W$9,MATCH(ROUNDUP((I$1)/10,0)*10,[1]Hugst!$R$4:$W$4,0))))</f>
        <v>3247.0514697977023</v>
      </c>
      <c r="J198">
        <f ca="1">IF($C198-J$1&lt;År1,0,I197*(1-VLOOKUP($A198,[1]Hugst!$R$5:$W$9,MATCH(ROUNDUP((J$1)/10,0)*10,[1]Hugst!$R$4:$W$4,0))))</f>
        <v>3251.8009346279605</v>
      </c>
      <c r="K198">
        <f ca="1">IF($C198-K$1&lt;År1,0,J197*(1-VLOOKUP($A198,[1]Hugst!$R$5:$W$9,MATCH(ROUNDUP((K$1)/10,0)*10,[1]Hugst!$R$4:$W$4,0))))</f>
        <v>3256.574266115661</v>
      </c>
      <c r="L198">
        <f ca="1">IF($C198-L$1&lt;År1,0,K197*(1-VLOOKUP($A198,[1]Hugst!$R$5:$W$9,MATCH(ROUNDUP((L$1)/10,0)*10,[1]Hugst!$R$4:$W$4,0))))</f>
        <v>3261.3715841937615</v>
      </c>
      <c r="M198">
        <f ca="1">IF($C198-M$1&lt;År1,0,L197*(1-VLOOKUP($A198,[1]Hugst!$R$5:$W$9,MATCH(ROUNDUP((M$1)/10,0)*10,[1]Hugst!$R$4:$W$4,0))))</f>
        <v>3266.1930093978795</v>
      </c>
      <c r="N198">
        <f ca="1">IF($C198-N$1&lt;År1,0,M197*(1-VLOOKUP($A198,[1]Hugst!$R$5:$W$9,MATCH(ROUNDUP((N$1)/10,0)*10,[1]Hugst!$R$4:$W$4,0))))</f>
        <v>3271.0386628693586</v>
      </c>
      <c r="O198">
        <f ca="1">IF($C198-O$1&lt;År1,0,N197*(1-VLOOKUP($A198,[1]Hugst!$R$5:$W$9,MATCH(ROUNDUP((O$1)/10,0)*10,[1]Hugst!$R$4:$W$4,0))))</f>
        <v>3275.9086663582484</v>
      </c>
      <c r="P198">
        <f ca="1">IF($C198-P$1&lt;År1,0,O197*(1-VLOOKUP($A198,[1]Hugst!$R$5:$W$9,MATCH(ROUNDUP((P$1)/10,0)*10,[1]Hugst!$R$4:$W$4,0))))</f>
        <v>3273.6013792313997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55000000000000004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14.376973270809685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4558.042854630803</v>
      </c>
      <c r="G199">
        <f ca="1">IF($C199-G$1&lt;År1,0,F198*(1-VLOOKUP($A199,[1]Hugst!$R$5:$W$9,MATCH(ROUNDUP((G$1)/10,0)*10,[1]Hugst!$R$4:$W$4,0))))</f>
        <v>3240.146847894157</v>
      </c>
      <c r="H199">
        <f ca="1">IF($C199-H$1&lt;År1,0,G198*(1-VLOOKUP($A199,[1]Hugst!$R$5:$W$9,MATCH(ROUNDUP((H$1)/10,0)*10,[1]Hugst!$R$4:$W$4,0))))</f>
        <v>3237.6236633729714</v>
      </c>
      <c r="I199">
        <f ca="1">IF($C199-I$1&lt;År1,0,H198*(1-VLOOKUP($A199,[1]Hugst!$R$5:$W$9,MATCH(ROUNDUP((I$1)/10,0)*10,[1]Hugst!$R$4:$W$4,0))))</f>
        <v>3242.3257522916001</v>
      </c>
      <c r="J199">
        <f ca="1">IF($C199-J$1&lt;År1,0,I198*(1-VLOOKUP($A199,[1]Hugst!$R$5:$W$9,MATCH(ROUNDUP((J$1)/10,0)*10,[1]Hugst!$R$4:$W$4,0))))</f>
        <v>3247.0514697977023</v>
      </c>
      <c r="K199">
        <f ca="1">IF($C199-K$1&lt;År1,0,J198*(1-VLOOKUP($A199,[1]Hugst!$R$5:$W$9,MATCH(ROUNDUP((K$1)/10,0)*10,[1]Hugst!$R$4:$W$4,0))))</f>
        <v>3251.8009346279605</v>
      </c>
      <c r="L199">
        <f ca="1">IF($C199-L$1&lt;År1,0,K198*(1-VLOOKUP($A199,[1]Hugst!$R$5:$W$9,MATCH(ROUNDUP((L$1)/10,0)*10,[1]Hugst!$R$4:$W$4,0))))</f>
        <v>3256.574266115661</v>
      </c>
      <c r="M199">
        <f ca="1">IF($C199-M$1&lt;År1,0,L198*(1-VLOOKUP($A199,[1]Hugst!$R$5:$W$9,MATCH(ROUNDUP((M$1)/10,0)*10,[1]Hugst!$R$4:$W$4,0))))</f>
        <v>3261.3715841937615</v>
      </c>
      <c r="N199">
        <f ca="1">IF($C199-N$1&lt;År1,0,M198*(1-VLOOKUP($A199,[1]Hugst!$R$5:$W$9,MATCH(ROUNDUP((N$1)/10,0)*10,[1]Hugst!$R$4:$W$4,0))))</f>
        <v>3266.1930093978795</v>
      </c>
      <c r="O199">
        <f ca="1">IF($C199-O$1&lt;År1,0,N198*(1-VLOOKUP($A199,[1]Hugst!$R$5:$W$9,MATCH(ROUNDUP((O$1)/10,0)*10,[1]Hugst!$R$4:$W$4,0))))</f>
        <v>3271.0386628693586</v>
      </c>
      <c r="P199">
        <f ca="1">IF($C199-P$1&lt;År1,0,O198*(1-VLOOKUP($A199,[1]Hugst!$R$5:$W$9,MATCH(ROUNDUP((P$1)/10,0)*10,[1]Hugst!$R$4:$W$4,0))))</f>
        <v>3268.7176473345353</v>
      </c>
      <c r="Q199">
        <f ca="1">IF($C199-Q$1&lt;År1,0,P198*(1-VLOOKUP($A199,[1]Hugst!$R$5:$W$9,MATCH(ROUNDUP((Q$1)/10,0)*10,[1]Hugst!$R$4:$W$4,0))))</f>
        <v>3266.4154249843064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55000000000000004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21.525742833327968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4560.559714539655</v>
      </c>
      <c r="G200">
        <f ca="1">IF($C200-G$1&lt;År1,0,F199*(1-VLOOKUP($A200,[1]Hugst!$R$5:$W$9,MATCH(ROUNDUP((G$1)/10,0)*10,[1]Hugst!$R$4:$W$4,0))))</f>
        <v>4558.042854630803</v>
      </c>
      <c r="H200">
        <f ca="1">IF($C200-H$1&lt;År1,0,G199*(1-VLOOKUP($A200,[1]Hugst!$R$5:$W$9,MATCH(ROUNDUP((H$1)/10,0)*10,[1]Hugst!$R$4:$W$4,0))))</f>
        <v>3240.146847894157</v>
      </c>
      <c r="I200">
        <f ca="1">IF($C200-I$1&lt;År1,0,H199*(1-VLOOKUP($A200,[1]Hugst!$R$5:$W$9,MATCH(ROUNDUP((I$1)/10,0)*10,[1]Hugst!$R$4:$W$4,0))))</f>
        <v>3237.6236633729714</v>
      </c>
      <c r="J200">
        <f ca="1">IF($C200-J$1&lt;År1,0,I199*(1-VLOOKUP($A200,[1]Hugst!$R$5:$W$9,MATCH(ROUNDUP((J$1)/10,0)*10,[1]Hugst!$R$4:$W$4,0))))</f>
        <v>3242.3257522916001</v>
      </c>
      <c r="K200">
        <f ca="1">IF($C200-K$1&lt;År1,0,J199*(1-VLOOKUP($A200,[1]Hugst!$R$5:$W$9,MATCH(ROUNDUP((K$1)/10,0)*10,[1]Hugst!$R$4:$W$4,0))))</f>
        <v>3247.0514697977023</v>
      </c>
      <c r="L200">
        <f ca="1">IF($C200-L$1&lt;År1,0,K199*(1-VLOOKUP($A200,[1]Hugst!$R$5:$W$9,MATCH(ROUNDUP((L$1)/10,0)*10,[1]Hugst!$R$4:$W$4,0))))</f>
        <v>3251.8009346279605</v>
      </c>
      <c r="M200">
        <f ca="1">IF($C200-M$1&lt;År1,0,L199*(1-VLOOKUP($A200,[1]Hugst!$R$5:$W$9,MATCH(ROUNDUP((M$1)/10,0)*10,[1]Hugst!$R$4:$W$4,0))))</f>
        <v>3256.574266115661</v>
      </c>
      <c r="N200">
        <f ca="1">IF($C200-N$1&lt;År1,0,M199*(1-VLOOKUP($A200,[1]Hugst!$R$5:$W$9,MATCH(ROUNDUP((N$1)/10,0)*10,[1]Hugst!$R$4:$W$4,0))))</f>
        <v>3261.3715841937615</v>
      </c>
      <c r="O200">
        <f ca="1">IF($C200-O$1&lt;År1,0,N199*(1-VLOOKUP($A200,[1]Hugst!$R$5:$W$9,MATCH(ROUNDUP((O$1)/10,0)*10,[1]Hugst!$R$4:$W$4,0))))</f>
        <v>3266.1930093978795</v>
      </c>
      <c r="P200">
        <f ca="1">IF($C200-P$1&lt;År1,0,O199*(1-VLOOKUP($A200,[1]Hugst!$R$5:$W$9,MATCH(ROUNDUP((P$1)/10,0)*10,[1]Hugst!$R$4:$W$4,0))))</f>
        <v>3263.8583340972064</v>
      </c>
      <c r="Q200">
        <f ca="1">IF($C200-Q$1&lt;År1,0,P199*(1-VLOOKUP($A200,[1]Hugst!$R$5:$W$9,MATCH(ROUNDUP((Q$1)/10,0)*10,[1]Hugst!$R$4:$W$4,0))))</f>
        <v>3261.5424134745326</v>
      </c>
      <c r="R200">
        <f ca="1">IF($C200-R$1&lt;År1,0,Q199*(1-VLOOKUP($A200,[1]Hugst!$R$5:$W$9,MATCH(ROUNDUP((R$1)/10,0)*10,[1]Hugst!$R$4:$W$4,0))))</f>
        <v>3259.2452447831215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55000000000000004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28.648183174584119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4563.0734047754413</v>
      </c>
      <c r="G201">
        <f ca="1">IF($C201-G$1&lt;År1,0,F200*(1-VLOOKUP($A201,[1]Hugst!$R$5:$W$9,MATCH(ROUNDUP((G$1)/10,0)*10,[1]Hugst!$R$4:$W$4,0))))</f>
        <v>4560.559714539655</v>
      </c>
      <c r="H201">
        <f ca="1">IF($C201-H$1&lt;År1,0,G200*(1-VLOOKUP($A201,[1]Hugst!$R$5:$W$9,MATCH(ROUNDUP((H$1)/10,0)*10,[1]Hugst!$R$4:$W$4,0))))</f>
        <v>4558.042854630803</v>
      </c>
      <c r="I201">
        <f ca="1">IF($C201-I$1&lt;År1,0,H200*(1-VLOOKUP($A201,[1]Hugst!$R$5:$W$9,MATCH(ROUNDUP((I$1)/10,0)*10,[1]Hugst!$R$4:$W$4,0))))</f>
        <v>3240.146847894157</v>
      </c>
      <c r="J201">
        <f ca="1">IF($C201-J$1&lt;År1,0,I200*(1-VLOOKUP($A201,[1]Hugst!$R$5:$W$9,MATCH(ROUNDUP((J$1)/10,0)*10,[1]Hugst!$R$4:$W$4,0))))</f>
        <v>3237.6236633729714</v>
      </c>
      <c r="K201">
        <f ca="1">IF($C201-K$1&lt;År1,0,J200*(1-VLOOKUP($A201,[1]Hugst!$R$5:$W$9,MATCH(ROUNDUP((K$1)/10,0)*10,[1]Hugst!$R$4:$W$4,0))))</f>
        <v>3242.3257522916001</v>
      </c>
      <c r="L201">
        <f ca="1">IF($C201-L$1&lt;År1,0,K200*(1-VLOOKUP($A201,[1]Hugst!$R$5:$W$9,MATCH(ROUNDUP((L$1)/10,0)*10,[1]Hugst!$R$4:$W$4,0))))</f>
        <v>3247.0514697977023</v>
      </c>
      <c r="M201">
        <f ca="1">IF($C201-M$1&lt;År1,0,L200*(1-VLOOKUP($A201,[1]Hugst!$R$5:$W$9,MATCH(ROUNDUP((M$1)/10,0)*10,[1]Hugst!$R$4:$W$4,0))))</f>
        <v>3251.8009346279605</v>
      </c>
      <c r="N201">
        <f ca="1">IF($C201-N$1&lt;År1,0,M200*(1-VLOOKUP($A201,[1]Hugst!$R$5:$W$9,MATCH(ROUNDUP((N$1)/10,0)*10,[1]Hugst!$R$4:$W$4,0))))</f>
        <v>3256.574266115661</v>
      </c>
      <c r="O201">
        <f ca="1">IF($C201-O$1&lt;År1,0,N200*(1-VLOOKUP($A201,[1]Hugst!$R$5:$W$9,MATCH(ROUNDUP((O$1)/10,0)*10,[1]Hugst!$R$4:$W$4,0))))</f>
        <v>3261.3715841937615</v>
      </c>
      <c r="P201">
        <f ca="1">IF($C201-P$1&lt;År1,0,O200*(1-VLOOKUP($A201,[1]Hugst!$R$5:$W$9,MATCH(ROUNDUP((P$1)/10,0)*10,[1]Hugst!$R$4:$W$4,0))))</f>
        <v>3259.0233174260306</v>
      </c>
      <c r="Q201">
        <f ca="1">IF($C201-Q$1&lt;År1,0,P200*(1-VLOOKUP($A201,[1]Hugst!$R$5:$W$9,MATCH(ROUNDUP((Q$1)/10,0)*10,[1]Hugst!$R$4:$W$4,0))))</f>
        <v>3256.6937670223588</v>
      </c>
      <c r="R201">
        <f ca="1">IF($C201-R$1&lt;År1,0,Q200*(1-VLOOKUP($A201,[1]Hugst!$R$5:$W$9,MATCH(ROUNDUP((R$1)/10,0)*10,[1]Hugst!$R$4:$W$4,0))))</f>
        <v>3254.3829301278811</v>
      </c>
      <c r="S201">
        <f ca="1">IF($C201-S$1&lt;År1,0,R200*(1-VLOOKUP($A201,[1]Hugst!$R$5:$W$9,MATCH(ROUNDUP((S$1)/10,0)*10,[1]Hugst!$R$4:$W$4,0))))</f>
        <v>3252.0908040018903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55000000000000004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35.744405274381279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4565.5839205203265</v>
      </c>
      <c r="G202">
        <f ca="1">IF($C202-G$1&lt;År1,0,F201*(1-VLOOKUP($A202,[1]Hugst!$R$5:$W$9,MATCH(ROUNDUP((G$1)/10,0)*10,[1]Hugst!$R$4:$W$4,0))))</f>
        <v>4563.0734047754413</v>
      </c>
      <c r="H202">
        <f ca="1">IF($C202-H$1&lt;År1,0,G201*(1-VLOOKUP($A202,[1]Hugst!$R$5:$W$9,MATCH(ROUNDUP((H$1)/10,0)*10,[1]Hugst!$R$4:$W$4,0))))</f>
        <v>4560.559714539655</v>
      </c>
      <c r="I202">
        <f ca="1">IF($C202-I$1&lt;År1,0,H201*(1-VLOOKUP($A202,[1]Hugst!$R$5:$W$9,MATCH(ROUNDUP((I$1)/10,0)*10,[1]Hugst!$R$4:$W$4,0))))</f>
        <v>4558.042854630803</v>
      </c>
      <c r="J202">
        <f ca="1">IF($C202-J$1&lt;År1,0,I201*(1-VLOOKUP($A202,[1]Hugst!$R$5:$W$9,MATCH(ROUNDUP((J$1)/10,0)*10,[1]Hugst!$R$4:$W$4,0))))</f>
        <v>3240.146847894157</v>
      </c>
      <c r="K202">
        <f ca="1">IF($C202-K$1&lt;År1,0,J201*(1-VLOOKUP($A202,[1]Hugst!$R$5:$W$9,MATCH(ROUNDUP((K$1)/10,0)*10,[1]Hugst!$R$4:$W$4,0))))</f>
        <v>3237.6236633729714</v>
      </c>
      <c r="L202">
        <f ca="1">IF($C202-L$1&lt;År1,0,K201*(1-VLOOKUP($A202,[1]Hugst!$R$5:$W$9,MATCH(ROUNDUP((L$1)/10,0)*10,[1]Hugst!$R$4:$W$4,0))))</f>
        <v>3242.3257522916001</v>
      </c>
      <c r="M202">
        <f ca="1">IF($C202-M$1&lt;År1,0,L201*(1-VLOOKUP($A202,[1]Hugst!$R$5:$W$9,MATCH(ROUNDUP((M$1)/10,0)*10,[1]Hugst!$R$4:$W$4,0))))</f>
        <v>3247.0514697977023</v>
      </c>
      <c r="N202">
        <f ca="1">IF($C202-N$1&lt;År1,0,M201*(1-VLOOKUP($A202,[1]Hugst!$R$5:$W$9,MATCH(ROUNDUP((N$1)/10,0)*10,[1]Hugst!$R$4:$W$4,0))))</f>
        <v>3251.8009346279605</v>
      </c>
      <c r="O202">
        <f ca="1">IF($C202-O$1&lt;År1,0,N201*(1-VLOOKUP($A202,[1]Hugst!$R$5:$W$9,MATCH(ROUNDUP((O$1)/10,0)*10,[1]Hugst!$R$4:$W$4,0))))</f>
        <v>3256.574266115661</v>
      </c>
      <c r="P202">
        <f ca="1">IF($C202-P$1&lt;År1,0,O201*(1-VLOOKUP($A202,[1]Hugst!$R$5:$W$9,MATCH(ROUNDUP((P$1)/10,0)*10,[1]Hugst!$R$4:$W$4,0))))</f>
        <v>3254.2124758382142</v>
      </c>
      <c r="Q202">
        <f ca="1">IF($C202-Q$1&lt;År1,0,P201*(1-VLOOKUP($A202,[1]Hugst!$R$5:$W$9,MATCH(ROUNDUP((Q$1)/10,0)*10,[1]Hugst!$R$4:$W$4,0))))</f>
        <v>3251.8693638024124</v>
      </c>
      <c r="R202">
        <f ca="1">IF($C202-R$1&lt;År1,0,Q201*(1-VLOOKUP($A202,[1]Hugst!$R$5:$W$9,MATCH(ROUNDUP((R$1)/10,0)*10,[1]Hugst!$R$4:$W$4,0))))</f>
        <v>3249.5449270459681</v>
      </c>
      <c r="S202">
        <f ca="1">IF($C202-S$1&lt;År1,0,R201*(1-VLOOKUP($A202,[1]Hugst!$R$5:$W$9,MATCH(ROUNDUP((S$1)/10,0)*10,[1]Hugst!$R$4:$W$4,0))))</f>
        <v>3247.2391627202833</v>
      </c>
      <c r="T202">
        <f ca="1">IF($C202-T$1&lt;År1,0,S201*(1-VLOOKUP($A202,[1]Hugst!$R$5:$W$9,MATCH(ROUNDUP((T$1)/10,0)*10,[1]Hugst!$R$4:$W$4,0))))</f>
        <v>3244.9520680906667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55000000000000004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42.814519603052759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4568.0912570258733</v>
      </c>
      <c r="G203">
        <f ca="1">IF($C203-G$1&lt;År1,0,F202*(1-VLOOKUP($A203,[1]Hugst!$R$5:$W$9,MATCH(ROUNDUP((G$1)/10,0)*10,[1]Hugst!$R$4:$W$4,0))))</f>
        <v>4565.5839205203265</v>
      </c>
      <c r="H203">
        <f ca="1">IF($C203-H$1&lt;År1,0,G202*(1-VLOOKUP($A203,[1]Hugst!$R$5:$W$9,MATCH(ROUNDUP((H$1)/10,0)*10,[1]Hugst!$R$4:$W$4,0))))</f>
        <v>4563.0734047754413</v>
      </c>
      <c r="I203">
        <f ca="1">IF($C203-I$1&lt;År1,0,H202*(1-VLOOKUP($A203,[1]Hugst!$R$5:$W$9,MATCH(ROUNDUP((I$1)/10,0)*10,[1]Hugst!$R$4:$W$4,0))))</f>
        <v>4560.559714539655</v>
      </c>
      <c r="J203">
        <f ca="1">IF($C203-J$1&lt;År1,0,I202*(1-VLOOKUP($A203,[1]Hugst!$R$5:$W$9,MATCH(ROUNDUP((J$1)/10,0)*10,[1]Hugst!$R$4:$W$4,0))))</f>
        <v>4558.042854630803</v>
      </c>
      <c r="K203">
        <f ca="1">IF($C203-K$1&lt;År1,0,J202*(1-VLOOKUP($A203,[1]Hugst!$R$5:$W$9,MATCH(ROUNDUP((K$1)/10,0)*10,[1]Hugst!$R$4:$W$4,0))))</f>
        <v>3240.146847894157</v>
      </c>
      <c r="L203">
        <f ca="1">IF($C203-L$1&lt;År1,0,K202*(1-VLOOKUP($A203,[1]Hugst!$R$5:$W$9,MATCH(ROUNDUP((L$1)/10,0)*10,[1]Hugst!$R$4:$W$4,0))))</f>
        <v>3237.6236633729714</v>
      </c>
      <c r="M203">
        <f ca="1">IF($C203-M$1&lt;År1,0,L202*(1-VLOOKUP($A203,[1]Hugst!$R$5:$W$9,MATCH(ROUNDUP((M$1)/10,0)*10,[1]Hugst!$R$4:$W$4,0))))</f>
        <v>3242.3257522916001</v>
      </c>
      <c r="N203">
        <f ca="1">IF($C203-N$1&lt;År1,0,M202*(1-VLOOKUP($A203,[1]Hugst!$R$5:$W$9,MATCH(ROUNDUP((N$1)/10,0)*10,[1]Hugst!$R$4:$W$4,0))))</f>
        <v>3247.0514697977023</v>
      </c>
      <c r="O203">
        <f ca="1">IF($C203-O$1&lt;År1,0,N202*(1-VLOOKUP($A203,[1]Hugst!$R$5:$W$9,MATCH(ROUNDUP((O$1)/10,0)*10,[1]Hugst!$R$4:$W$4,0))))</f>
        <v>3251.8009346279605</v>
      </c>
      <c r="P203">
        <f ca="1">IF($C203-P$1&lt;År1,0,O202*(1-VLOOKUP($A203,[1]Hugst!$R$5:$W$9,MATCH(ROUNDUP((P$1)/10,0)*10,[1]Hugst!$R$4:$W$4,0))))</f>
        <v>3249.4256884583338</v>
      </c>
      <c r="Q203">
        <f ca="1">IF($C203-Q$1&lt;År1,0,P202*(1-VLOOKUP($A203,[1]Hugst!$R$5:$W$9,MATCH(ROUNDUP((Q$1)/10,0)*10,[1]Hugst!$R$4:$W$4,0))))</f>
        <v>3247.0690825985694</v>
      </c>
      <c r="R203">
        <f ca="1">IF($C203-R$1&lt;År1,0,Q202*(1-VLOOKUP($A203,[1]Hugst!$R$5:$W$9,MATCH(ROUNDUP((R$1)/10,0)*10,[1]Hugst!$R$4:$W$4,0))))</f>
        <v>3244.7311139794315</v>
      </c>
      <c r="S203">
        <f ca="1">IF($C203-S$1&lt;År1,0,R202*(1-VLOOKUP($A203,[1]Hugst!$R$5:$W$9,MATCH(ROUNDUP((S$1)/10,0)*10,[1]Hugst!$R$4:$W$4,0))))</f>
        <v>3242.4117796451355</v>
      </c>
      <c r="T203">
        <f ca="1">IF($C203-T$1&lt;År1,0,S202*(1-VLOOKUP($A203,[1]Hugst!$R$5:$W$9,MATCH(ROUNDUP((T$1)/10,0)*10,[1]Hugst!$R$4:$W$4,0))))</f>
        <v>3240.1110767533364</v>
      </c>
      <c r="U203">
        <f ca="1">IF($C203-U$1&lt;År1,0,T202*(1-VLOOKUP($A203,[1]Hugst!$R$5:$W$9,MATCH(ROUNDUP((U$1)/10,0)*10,[1]Hugst!$R$4:$W$4,0))))</f>
        <v>3237.8290025753458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55000000000000004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49.858636123834003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4570.5954096126206</v>
      </c>
      <c r="G204">
        <f ca="1">IF($C204-G$1&lt;År1,0,F203*(1-VLOOKUP($A204,[1]Hugst!$R$5:$W$9,MATCH(ROUNDUP((G$1)/10,0)*10,[1]Hugst!$R$4:$W$4,0))))</f>
        <v>4568.0912570258733</v>
      </c>
      <c r="H204">
        <f ca="1">IF($C204-H$1&lt;År1,0,G203*(1-VLOOKUP($A204,[1]Hugst!$R$5:$W$9,MATCH(ROUNDUP((H$1)/10,0)*10,[1]Hugst!$R$4:$W$4,0))))</f>
        <v>4565.5839205203265</v>
      </c>
      <c r="I204">
        <f ca="1">IF($C204-I$1&lt;År1,0,H203*(1-VLOOKUP($A204,[1]Hugst!$R$5:$W$9,MATCH(ROUNDUP((I$1)/10,0)*10,[1]Hugst!$R$4:$W$4,0))))</f>
        <v>4563.0734047754413</v>
      </c>
      <c r="J204">
        <f ca="1">IF($C204-J$1&lt;År1,0,I203*(1-VLOOKUP($A204,[1]Hugst!$R$5:$W$9,MATCH(ROUNDUP((J$1)/10,0)*10,[1]Hugst!$R$4:$W$4,0))))</f>
        <v>4560.559714539655</v>
      </c>
      <c r="K204">
        <f ca="1">IF($C204-K$1&lt;År1,0,J203*(1-VLOOKUP($A204,[1]Hugst!$R$5:$W$9,MATCH(ROUNDUP((K$1)/10,0)*10,[1]Hugst!$R$4:$W$4,0))))</f>
        <v>4558.042854630803</v>
      </c>
      <c r="L204">
        <f ca="1">IF($C204-L$1&lt;År1,0,K203*(1-VLOOKUP($A204,[1]Hugst!$R$5:$W$9,MATCH(ROUNDUP((L$1)/10,0)*10,[1]Hugst!$R$4:$W$4,0))))</f>
        <v>3240.146847894157</v>
      </c>
      <c r="M204">
        <f ca="1">IF($C204-M$1&lt;År1,0,L203*(1-VLOOKUP($A204,[1]Hugst!$R$5:$W$9,MATCH(ROUNDUP((M$1)/10,0)*10,[1]Hugst!$R$4:$W$4,0))))</f>
        <v>3237.6236633729714</v>
      </c>
      <c r="N204">
        <f ca="1">IF($C204-N$1&lt;År1,0,M203*(1-VLOOKUP($A204,[1]Hugst!$R$5:$W$9,MATCH(ROUNDUP((N$1)/10,0)*10,[1]Hugst!$R$4:$W$4,0))))</f>
        <v>3242.3257522916001</v>
      </c>
      <c r="O204">
        <f ca="1">IF($C204-O$1&lt;År1,0,N203*(1-VLOOKUP($A204,[1]Hugst!$R$5:$W$9,MATCH(ROUNDUP((O$1)/10,0)*10,[1]Hugst!$R$4:$W$4,0))))</f>
        <v>3247.0514697977023</v>
      </c>
      <c r="P204">
        <f ca="1">IF($C204-P$1&lt;År1,0,O203*(1-VLOOKUP($A204,[1]Hugst!$R$5:$W$9,MATCH(ROUNDUP((P$1)/10,0)*10,[1]Hugst!$R$4:$W$4,0))))</f>
        <v>3244.6628350153624</v>
      </c>
      <c r="Q204">
        <f ca="1">IF($C204-Q$1&lt;År1,0,P203*(1-VLOOKUP($A204,[1]Hugst!$R$5:$W$9,MATCH(ROUNDUP((Q$1)/10,0)*10,[1]Hugst!$R$4:$W$4,0))))</f>
        <v>3242.2928028007423</v>
      </c>
      <c r="R204">
        <f ca="1">IF($C204-R$1&lt;År1,0,Q203*(1-VLOOKUP($A204,[1]Hugst!$R$5:$W$9,MATCH(ROUNDUP((R$1)/10,0)*10,[1]Hugst!$R$4:$W$4,0))))</f>
        <v>3239.9413699782313</v>
      </c>
      <c r="S204">
        <f ca="1">IF($C204-S$1&lt;År1,0,R203*(1-VLOOKUP($A204,[1]Hugst!$R$5:$W$9,MATCH(ROUNDUP((S$1)/10,0)*10,[1]Hugst!$R$4:$W$4,0))))</f>
        <v>3237.6085334853301</v>
      </c>
      <c r="T204">
        <f ca="1">IF($C204-T$1&lt;År1,0,S203*(1-VLOOKUP($A204,[1]Hugst!$R$5:$W$9,MATCH(ROUNDUP((T$1)/10,0)*10,[1]Hugst!$R$4:$W$4,0))))</f>
        <v>3235.2942903727439</v>
      </c>
      <c r="U204">
        <f ca="1">IF($C204-U$1&lt;År1,0,T203*(1-VLOOKUP($A204,[1]Hugst!$R$5:$W$9,MATCH(ROUNDUP((U$1)/10,0)*10,[1]Hugst!$R$4:$W$4,0))))</f>
        <v>3232.9986378043659</v>
      </c>
      <c r="V204">
        <f ca="1">IF($C204-V$1&lt;År1,0,U203*(1-VLOOKUP($A204,[1]Hugst!$R$5:$W$9,MATCH(ROUNDUP((V$1)/10,0)*10,[1]Hugst!$R$4:$W$4,0))))</f>
        <v>3230.7215730574976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55000000000000004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56.876864295321866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4573.0963736697449</v>
      </c>
      <c r="G205">
        <f ca="1">IF($C205-G$1&lt;År1,0,F204*(1-VLOOKUP($A205,[1]Hugst!$R$5:$W$9,MATCH(ROUNDUP((G$1)/10,0)*10,[1]Hugst!$R$4:$W$4,0))))</f>
        <v>4570.5954096126206</v>
      </c>
      <c r="H205">
        <f ca="1">IF($C205-H$1&lt;År1,0,G204*(1-VLOOKUP($A205,[1]Hugst!$R$5:$W$9,MATCH(ROUNDUP((H$1)/10,0)*10,[1]Hugst!$R$4:$W$4,0))))</f>
        <v>4568.0912570258733</v>
      </c>
      <c r="I205">
        <f ca="1">IF($C205-I$1&lt;År1,0,H204*(1-VLOOKUP($A205,[1]Hugst!$R$5:$W$9,MATCH(ROUNDUP((I$1)/10,0)*10,[1]Hugst!$R$4:$W$4,0))))</f>
        <v>4565.5839205203265</v>
      </c>
      <c r="J205">
        <f ca="1">IF($C205-J$1&lt;År1,0,I204*(1-VLOOKUP($A205,[1]Hugst!$R$5:$W$9,MATCH(ROUNDUP((J$1)/10,0)*10,[1]Hugst!$R$4:$W$4,0))))</f>
        <v>4563.0734047754413</v>
      </c>
      <c r="K205">
        <f ca="1">IF($C205-K$1&lt;År1,0,J204*(1-VLOOKUP($A205,[1]Hugst!$R$5:$W$9,MATCH(ROUNDUP((K$1)/10,0)*10,[1]Hugst!$R$4:$W$4,0))))</f>
        <v>4560.559714539655</v>
      </c>
      <c r="L205">
        <f ca="1">IF($C205-L$1&lt;År1,0,K204*(1-VLOOKUP($A205,[1]Hugst!$R$5:$W$9,MATCH(ROUNDUP((L$1)/10,0)*10,[1]Hugst!$R$4:$W$4,0))))</f>
        <v>4558.042854630803</v>
      </c>
      <c r="M205">
        <f ca="1">IF($C205-M$1&lt;År1,0,L204*(1-VLOOKUP($A205,[1]Hugst!$R$5:$W$9,MATCH(ROUNDUP((M$1)/10,0)*10,[1]Hugst!$R$4:$W$4,0))))</f>
        <v>3240.146847894157</v>
      </c>
      <c r="N205">
        <f ca="1">IF($C205-N$1&lt;År1,0,M204*(1-VLOOKUP($A205,[1]Hugst!$R$5:$W$9,MATCH(ROUNDUP((N$1)/10,0)*10,[1]Hugst!$R$4:$W$4,0))))</f>
        <v>3237.6236633729714</v>
      </c>
      <c r="O205">
        <f ca="1">IF($C205-O$1&lt;År1,0,N204*(1-VLOOKUP($A205,[1]Hugst!$R$5:$W$9,MATCH(ROUNDUP((O$1)/10,0)*10,[1]Hugst!$R$4:$W$4,0))))</f>
        <v>3242.3257522916001</v>
      </c>
      <c r="P205">
        <f ca="1">IF($C205-P$1&lt;År1,0,O204*(1-VLOOKUP($A205,[1]Hugst!$R$5:$W$9,MATCH(ROUNDUP((P$1)/10,0)*10,[1]Hugst!$R$4:$W$4,0))))</f>
        <v>3239.9237958396097</v>
      </c>
      <c r="Q205">
        <f ca="1">IF($C205-Q$1&lt;År1,0,P204*(1-VLOOKUP($A205,[1]Hugst!$R$5:$W$9,MATCH(ROUNDUP((Q$1)/10,0)*10,[1]Hugst!$R$4:$W$4,0))))</f>
        <v>3237.5404044019142</v>
      </c>
      <c r="R205">
        <f ca="1">IF($C205-R$1&lt;År1,0,Q204*(1-VLOOKUP($A205,[1]Hugst!$R$5:$W$9,MATCH(ROUNDUP((R$1)/10,0)*10,[1]Hugst!$R$4:$W$4,0))))</f>
        <v>3235.1755746970334</v>
      </c>
      <c r="S205">
        <f ca="1">IF($C205-S$1&lt;År1,0,R204*(1-VLOOKUP($A205,[1]Hugst!$R$5:$W$9,MATCH(ROUNDUP((S$1)/10,0)*10,[1]Hugst!$R$4:$W$4,0))))</f>
        <v>3232.8293035563279</v>
      </c>
      <c r="T205">
        <f ca="1">IF($C205-T$1&lt;År1,0,S204*(1-VLOOKUP($A205,[1]Hugst!$R$5:$W$9,MATCH(ROUNDUP((T$1)/10,0)*10,[1]Hugst!$R$4:$W$4,0))))</f>
        <v>3230.5015879240209</v>
      </c>
      <c r="U205">
        <f ca="1">IF($C205-U$1&lt;År1,0,T204*(1-VLOOKUP($A205,[1]Hugst!$R$5:$W$9,MATCH(ROUNDUP((U$1)/10,0)*10,[1]Hugst!$R$4:$W$4,0))))</f>
        <v>3228.1924248572914</v>
      </c>
      <c r="V205">
        <f ca="1">IF($C205-V$1&lt;År1,0,U204*(1-VLOOKUP($A205,[1]Hugst!$R$5:$W$9,MATCH(ROUNDUP((V$1)/10,0)*10,[1]Hugst!$R$4:$W$4,0))))</f>
        <v>3225.9018115262588</v>
      </c>
      <c r="W205">
        <f ca="1">IF($C205-W$1&lt;År1,0,V204*(1-VLOOKUP($A205,[1]Hugst!$R$5:$W$9,MATCH(ROUNDUP((W$1)/10,0)*10,[1]Hugst!$R$4:$W$4,0))))</f>
        <v>3223.6297452142007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55000000000000004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63.869313073853846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4575.5941446545203</v>
      </c>
      <c r="G206">
        <f ca="1">IF($C206-G$1&lt;År1,0,F205*(1-VLOOKUP($A206,[1]Hugst!$R$5:$W$9,MATCH(ROUNDUP((G$1)/10,0)*10,[1]Hugst!$R$4:$W$4,0))))</f>
        <v>4573.0963736697449</v>
      </c>
      <c r="H206">
        <f ca="1">IF($C206-H$1&lt;År1,0,G205*(1-VLOOKUP($A206,[1]Hugst!$R$5:$W$9,MATCH(ROUNDUP((H$1)/10,0)*10,[1]Hugst!$R$4:$W$4,0))))</f>
        <v>4570.5954096126206</v>
      </c>
      <c r="I206">
        <f ca="1">IF($C206-I$1&lt;År1,0,H205*(1-VLOOKUP($A206,[1]Hugst!$R$5:$W$9,MATCH(ROUNDUP((I$1)/10,0)*10,[1]Hugst!$R$4:$W$4,0))))</f>
        <v>4568.0912570258733</v>
      </c>
      <c r="J206">
        <f ca="1">IF($C206-J$1&lt;År1,0,I205*(1-VLOOKUP($A206,[1]Hugst!$R$5:$W$9,MATCH(ROUNDUP((J$1)/10,0)*10,[1]Hugst!$R$4:$W$4,0))))</f>
        <v>4565.5839205203265</v>
      </c>
      <c r="K206">
        <f ca="1">IF($C206-K$1&lt;År1,0,J205*(1-VLOOKUP($A206,[1]Hugst!$R$5:$W$9,MATCH(ROUNDUP((K$1)/10,0)*10,[1]Hugst!$R$4:$W$4,0))))</f>
        <v>4563.0734047754413</v>
      </c>
      <c r="L206">
        <f ca="1">IF($C206-L$1&lt;År1,0,K205*(1-VLOOKUP($A206,[1]Hugst!$R$5:$W$9,MATCH(ROUNDUP((L$1)/10,0)*10,[1]Hugst!$R$4:$W$4,0))))</f>
        <v>4560.559714539655</v>
      </c>
      <c r="M206">
        <f ca="1">IF($C206-M$1&lt;År1,0,L205*(1-VLOOKUP($A206,[1]Hugst!$R$5:$W$9,MATCH(ROUNDUP((M$1)/10,0)*10,[1]Hugst!$R$4:$W$4,0))))</f>
        <v>4558.042854630803</v>
      </c>
      <c r="N206">
        <f ca="1">IF($C206-N$1&lt;År1,0,M205*(1-VLOOKUP($A206,[1]Hugst!$R$5:$W$9,MATCH(ROUNDUP((N$1)/10,0)*10,[1]Hugst!$R$4:$W$4,0))))</f>
        <v>3240.146847894157</v>
      </c>
      <c r="O206">
        <f ca="1">IF($C206-O$1&lt;År1,0,N205*(1-VLOOKUP($A206,[1]Hugst!$R$5:$W$9,MATCH(ROUNDUP((O$1)/10,0)*10,[1]Hugst!$R$4:$W$4,0))))</f>
        <v>3237.6236633729714</v>
      </c>
      <c r="P206">
        <f ca="1">IF($C206-P$1&lt;År1,0,O205*(1-VLOOKUP($A206,[1]Hugst!$R$5:$W$9,MATCH(ROUNDUP((P$1)/10,0)*10,[1]Hugst!$R$4:$W$4,0))))</f>
        <v>3235.2084518597403</v>
      </c>
      <c r="Q206">
        <f ca="1">IF($C206-Q$1&lt;År1,0,P205*(1-VLOOKUP($A206,[1]Hugst!$R$5:$W$9,MATCH(ROUNDUP((Q$1)/10,0)*10,[1]Hugst!$R$4:$W$4,0))))</f>
        <v>3232.8117679950838</v>
      </c>
      <c r="R206">
        <f ca="1">IF($C206-R$1&lt;År1,0,Q205*(1-VLOOKUP($A206,[1]Hugst!$R$5:$W$9,MATCH(ROUNDUP((R$1)/10,0)*10,[1]Hugst!$R$4:$W$4,0))))</f>
        <v>3230.4336083922512</v>
      </c>
      <c r="S206">
        <f ca="1">IF($C206-S$1&lt;År1,0,R205*(1-VLOOKUP($A206,[1]Hugst!$R$5:$W$9,MATCH(ROUNDUP((S$1)/10,0)*10,[1]Hugst!$R$4:$W$4,0))))</f>
        <v>3228.0739697769668</v>
      </c>
      <c r="T206">
        <f ca="1">IF($C206-T$1&lt;År1,0,S205*(1-VLOOKUP($A206,[1]Hugst!$R$5:$W$9,MATCH(ROUNDUP((T$1)/10,0)*10,[1]Hugst!$R$4:$W$4,0))))</f>
        <v>3225.7328489875458</v>
      </c>
      <c r="U206">
        <f ca="1">IF($C206-U$1&lt;År1,0,T205*(1-VLOOKUP($A206,[1]Hugst!$R$5:$W$9,MATCH(ROUNDUP((U$1)/10,0)*10,[1]Hugst!$R$4:$W$4,0))))</f>
        <v>3223.4102429749196</v>
      </c>
      <c r="V206">
        <f ca="1">IF($C206-V$1&lt;År1,0,U205*(1-VLOOKUP($A206,[1]Hugst!$R$5:$W$9,MATCH(ROUNDUP((V$1)/10,0)*10,[1]Hugst!$R$4:$W$4,0))))</f>
        <v>3221.1061488027267</v>
      </c>
      <c r="W206">
        <f ca="1">IF($C206-W$1&lt;År1,0,V205*(1-VLOOKUP($A206,[1]Hugst!$R$5:$W$9,MATCH(ROUNDUP((W$1)/10,0)*10,[1]Hugst!$R$4:$W$4,0))))</f>
        <v>3218.8205636472985</v>
      </c>
      <c r="X206">
        <f ca="1">IF($C206-X$1&lt;År1,0,W205*(1-VLOOKUP($A206,[1]Hugst!$R$5:$W$9,MATCH(ROUNDUP((X$1)/10,0)*10,[1]Hugst!$R$4:$W$4,0))))</f>
        <v>3216.553484797877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55000000000000004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70.836090915967361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4578.0887180917653</v>
      </c>
      <c r="G207">
        <f ca="1">IF($C207-G$1&lt;År1,0,F206*(1-VLOOKUP($A207,[1]Hugst!$R$5:$W$9,MATCH(ROUNDUP((G$1)/10,0)*10,[1]Hugst!$R$4:$W$4,0))))</f>
        <v>4575.5941446545203</v>
      </c>
      <c r="H207">
        <f ca="1">IF($C207-H$1&lt;År1,0,G206*(1-VLOOKUP($A207,[1]Hugst!$R$5:$W$9,MATCH(ROUNDUP((H$1)/10,0)*10,[1]Hugst!$R$4:$W$4,0))))</f>
        <v>4573.0963736697449</v>
      </c>
      <c r="I207">
        <f ca="1">IF($C207-I$1&lt;År1,0,H206*(1-VLOOKUP($A207,[1]Hugst!$R$5:$W$9,MATCH(ROUNDUP((I$1)/10,0)*10,[1]Hugst!$R$4:$W$4,0))))</f>
        <v>4570.5954096126206</v>
      </c>
      <c r="J207">
        <f ca="1">IF($C207-J$1&lt;År1,0,I206*(1-VLOOKUP($A207,[1]Hugst!$R$5:$W$9,MATCH(ROUNDUP((J$1)/10,0)*10,[1]Hugst!$R$4:$W$4,0))))</f>
        <v>4568.0912570258733</v>
      </c>
      <c r="K207">
        <f ca="1">IF($C207-K$1&lt;År1,0,J206*(1-VLOOKUP($A207,[1]Hugst!$R$5:$W$9,MATCH(ROUNDUP((K$1)/10,0)*10,[1]Hugst!$R$4:$W$4,0))))</f>
        <v>4565.5839205203265</v>
      </c>
      <c r="L207">
        <f ca="1">IF($C207-L$1&lt;År1,0,K206*(1-VLOOKUP($A207,[1]Hugst!$R$5:$W$9,MATCH(ROUNDUP((L$1)/10,0)*10,[1]Hugst!$R$4:$W$4,0))))</f>
        <v>4563.0734047754413</v>
      </c>
      <c r="M207">
        <f ca="1">IF($C207-M$1&lt;År1,0,L206*(1-VLOOKUP($A207,[1]Hugst!$R$5:$W$9,MATCH(ROUNDUP((M$1)/10,0)*10,[1]Hugst!$R$4:$W$4,0))))</f>
        <v>4560.559714539655</v>
      </c>
      <c r="N207">
        <f ca="1">IF($C207-N$1&lt;År1,0,M206*(1-VLOOKUP($A207,[1]Hugst!$R$5:$W$9,MATCH(ROUNDUP((N$1)/10,0)*10,[1]Hugst!$R$4:$W$4,0))))</f>
        <v>4558.042854630803</v>
      </c>
      <c r="O207">
        <f ca="1">IF($C207-O$1&lt;År1,0,N206*(1-VLOOKUP($A207,[1]Hugst!$R$5:$W$9,MATCH(ROUNDUP((O$1)/10,0)*10,[1]Hugst!$R$4:$W$4,0))))</f>
        <v>3240.146847894157</v>
      </c>
      <c r="P207">
        <f ca="1">IF($C207-P$1&lt;År1,0,O206*(1-VLOOKUP($A207,[1]Hugst!$R$5:$W$9,MATCH(ROUNDUP((P$1)/10,0)*10,[1]Hugst!$R$4:$W$4,0))))</f>
        <v>3230.5166845997137</v>
      </c>
      <c r="Q207">
        <f ca="1">IF($C207-Q$1&lt;År1,0,P206*(1-VLOOKUP($A207,[1]Hugst!$R$5:$W$9,MATCH(ROUNDUP((Q$1)/10,0)*10,[1]Hugst!$R$4:$W$4,0))))</f>
        <v>3228.1067747702923</v>
      </c>
      <c r="R207">
        <f ca="1">IF($C207-R$1&lt;År1,0,Q206*(1-VLOOKUP($A207,[1]Hugst!$R$5:$W$9,MATCH(ROUNDUP((R$1)/10,0)*10,[1]Hugst!$R$4:$W$4,0))))</f>
        <v>3225.7153519189969</v>
      </c>
      <c r="S207">
        <f ca="1">IF($C207-S$1&lt;År1,0,R206*(1-VLOOKUP($A207,[1]Hugst!$R$5:$W$9,MATCH(ROUNDUP((S$1)/10,0)*10,[1]Hugst!$R$4:$W$4,0))))</f>
        <v>3223.3424126665122</v>
      </c>
      <c r="T207">
        <f ca="1">IF($C207-T$1&lt;År1,0,S206*(1-VLOOKUP($A207,[1]Hugst!$R$5:$W$9,MATCH(ROUNDUP((T$1)/10,0)*10,[1]Hugst!$R$4:$W$4,0))))</f>
        <v>3220.9879537457491</v>
      </c>
      <c r="U207">
        <f ca="1">IF($C207-U$1&lt;År1,0,T206*(1-VLOOKUP($A207,[1]Hugst!$R$5:$W$9,MATCH(ROUNDUP((U$1)/10,0)*10,[1]Hugst!$R$4:$W$4,0))))</f>
        <v>3218.6519720019633</v>
      </c>
      <c r="V207">
        <f ca="1">IF($C207-V$1&lt;År1,0,U206*(1-VLOOKUP($A207,[1]Hugst!$R$5:$W$9,MATCH(ROUNDUP((V$1)/10,0)*10,[1]Hugst!$R$4:$W$4,0))))</f>
        <v>3216.3344643927794</v>
      </c>
      <c r="W207">
        <f ca="1">IF($C207-W$1&lt;År1,0,V206*(1-VLOOKUP($A207,[1]Hugst!$R$5:$W$9,MATCH(ROUNDUP((W$1)/10,0)*10,[1]Hugst!$R$4:$W$4,0))))</f>
        <v>3214.0354279882818</v>
      </c>
      <c r="X207">
        <f ca="1">IF($C207-X$1&lt;År1,0,W206*(1-VLOOKUP($A207,[1]Hugst!$R$5:$W$9,MATCH(ROUNDUP((X$1)/10,0)*10,[1]Hugst!$R$4:$W$4,0))))</f>
        <v>3211.7548599709994</v>
      </c>
      <c r="Y207">
        <f ca="1">IF($C207-Y$1&lt;År1,0,X206*(1-VLOOKUP($A207,[1]Hugst!$R$5:$W$9,MATCH(ROUNDUP((Y$1)/10,0)*10,[1]Hugst!$R$4:$W$4,0))))</f>
        <v>3209.4927576361256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55000000000000004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74.661902082356391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4577.4646858753858</v>
      </c>
      <c r="G208">
        <f ca="1">IF($C208-G$1&lt;År1,0,F207*(1-VLOOKUP($A208,[1]Hugst!$R$5:$W$9,MATCH(ROUNDUP((G$1)/10,0)*10,[1]Hugst!$R$4:$W$4,0))))</f>
        <v>4578.0887180917653</v>
      </c>
      <c r="H208">
        <f ca="1">IF($C208-H$1&lt;År1,0,G207*(1-VLOOKUP($A208,[1]Hugst!$R$5:$W$9,MATCH(ROUNDUP((H$1)/10,0)*10,[1]Hugst!$R$4:$W$4,0))))</f>
        <v>4575.5941446545203</v>
      </c>
      <c r="I208">
        <f ca="1">IF($C208-I$1&lt;År1,0,H207*(1-VLOOKUP($A208,[1]Hugst!$R$5:$W$9,MATCH(ROUNDUP((I$1)/10,0)*10,[1]Hugst!$R$4:$W$4,0))))</f>
        <v>4573.0963736697449</v>
      </c>
      <c r="J208">
        <f ca="1">IF($C208-J$1&lt;År1,0,I207*(1-VLOOKUP($A208,[1]Hugst!$R$5:$W$9,MATCH(ROUNDUP((J$1)/10,0)*10,[1]Hugst!$R$4:$W$4,0))))</f>
        <v>4570.5954096126206</v>
      </c>
      <c r="K208">
        <f ca="1">IF($C208-K$1&lt;År1,0,J207*(1-VLOOKUP($A208,[1]Hugst!$R$5:$W$9,MATCH(ROUNDUP((K$1)/10,0)*10,[1]Hugst!$R$4:$W$4,0))))</f>
        <v>4568.0912570258733</v>
      </c>
      <c r="L208">
        <f ca="1">IF($C208-L$1&lt;År1,0,K207*(1-VLOOKUP($A208,[1]Hugst!$R$5:$W$9,MATCH(ROUNDUP((L$1)/10,0)*10,[1]Hugst!$R$4:$W$4,0))))</f>
        <v>4565.5839205203265</v>
      </c>
      <c r="M208">
        <f ca="1">IF($C208-M$1&lt;År1,0,L207*(1-VLOOKUP($A208,[1]Hugst!$R$5:$W$9,MATCH(ROUNDUP((M$1)/10,0)*10,[1]Hugst!$R$4:$W$4,0))))</f>
        <v>4563.0734047754413</v>
      </c>
      <c r="N208">
        <f ca="1">IF($C208-N$1&lt;År1,0,M207*(1-VLOOKUP($A208,[1]Hugst!$R$5:$W$9,MATCH(ROUNDUP((N$1)/10,0)*10,[1]Hugst!$R$4:$W$4,0))))</f>
        <v>4560.559714539655</v>
      </c>
      <c r="O208">
        <f ca="1">IF($C208-O$1&lt;År1,0,N207*(1-VLOOKUP($A208,[1]Hugst!$R$5:$W$9,MATCH(ROUNDUP((O$1)/10,0)*10,[1]Hugst!$R$4:$W$4,0))))</f>
        <v>4558.042854630803</v>
      </c>
      <c r="P208">
        <f ca="1">IF($C208-P$1&lt;År1,0,O207*(1-VLOOKUP($A208,[1]Hugst!$R$5:$W$9,MATCH(ROUNDUP((P$1)/10,0)*10,[1]Hugst!$R$4:$W$4,0))))</f>
        <v>3233.0343304231696</v>
      </c>
      <c r="Q208">
        <f ca="1">IF($C208-Q$1&lt;År1,0,P207*(1-VLOOKUP($A208,[1]Hugst!$R$5:$W$9,MATCH(ROUNDUP((Q$1)/10,0)*10,[1]Hugst!$R$4:$W$4,0))))</f>
        <v>3223.4253065115681</v>
      </c>
      <c r="R208">
        <f ca="1">IF($C208-R$1&lt;År1,0,Q207*(1-VLOOKUP($A208,[1]Hugst!$R$5:$W$9,MATCH(ROUNDUP((R$1)/10,0)*10,[1]Hugst!$R$4:$W$4,0))))</f>
        <v>3221.0206867281136</v>
      </c>
      <c r="S208">
        <f ca="1">IF($C208-S$1&lt;År1,0,R207*(1-VLOOKUP($A208,[1]Hugst!$R$5:$W$9,MATCH(ROUNDUP((S$1)/10,0)*10,[1]Hugst!$R$4:$W$4,0))))</f>
        <v>3218.6345133416139</v>
      </c>
      <c r="T208">
        <f ca="1">IF($C208-T$1&lt;År1,0,S207*(1-VLOOKUP($A208,[1]Hugst!$R$5:$W$9,MATCH(ROUNDUP((T$1)/10,0)*10,[1]Hugst!$R$4:$W$4,0))))</f>
        <v>3216.2667829801712</v>
      </c>
      <c r="U208">
        <f ca="1">IF($C208-U$1&lt;År1,0,T207*(1-VLOOKUP($A208,[1]Hugst!$R$5:$W$9,MATCH(ROUNDUP((U$1)/10,0)*10,[1]Hugst!$R$4:$W$4,0))))</f>
        <v>3213.9174923838682</v>
      </c>
      <c r="V208">
        <f ca="1">IF($C208-V$1&lt;År1,0,U207*(1-VLOOKUP($A208,[1]Hugst!$R$5:$W$9,MATCH(ROUNDUP((V$1)/10,0)*10,[1]Hugst!$R$4:$W$4,0))))</f>
        <v>3211.5866384048859</v>
      </c>
      <c r="W208">
        <f ca="1">IF($C208-W$1&lt;År1,0,V207*(1-VLOOKUP($A208,[1]Hugst!$R$5:$W$9,MATCH(ROUNDUP((W$1)/10,0)*10,[1]Hugst!$R$4:$W$4,0))))</f>
        <v>3209.274218007527</v>
      </c>
      <c r="X208">
        <f ca="1">IF($C208-X$1&lt;År1,0,W207*(1-VLOOKUP($A208,[1]Hugst!$R$5:$W$9,MATCH(ROUNDUP((X$1)/10,0)*10,[1]Hugst!$R$4:$W$4,0))))</f>
        <v>3206.9802282683077</v>
      </c>
      <c r="Y208">
        <f ca="1">IF($C208-Y$1&lt;År1,0,X207*(1-VLOOKUP($A208,[1]Hugst!$R$5:$W$9,MATCH(ROUNDUP((Y$1)/10,0)*10,[1]Hugst!$R$4:$W$4,0))))</f>
        <v>3204.7046663759411</v>
      </c>
      <c r="Z208">
        <f ca="1">IF($C208-Z$1&lt;År1,0,Y207*(1-VLOOKUP($A208,[1]Hugst!$R$5:$W$9,MATCH(ROUNDUP((Z$1)/10,0)*10,[1]Hugst!$R$4:$W$4,0))))</f>
        <v>3205.578742078033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55000000000000004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81.380747440853156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4579.7559370680192</v>
      </c>
      <c r="G209">
        <f ca="1">IF($C209-G$1&lt;År1,0,F208*(1-VLOOKUP($A209,[1]Hugst!$R$5:$W$9,MATCH(ROUNDUP((G$1)/10,0)*10,[1]Hugst!$R$4:$W$4,0))))</f>
        <v>4577.4646858753858</v>
      </c>
      <c r="H209">
        <f ca="1">IF($C209-H$1&lt;År1,0,G208*(1-VLOOKUP($A209,[1]Hugst!$R$5:$W$9,MATCH(ROUNDUP((H$1)/10,0)*10,[1]Hugst!$R$4:$W$4,0))))</f>
        <v>4578.0887180917653</v>
      </c>
      <c r="I209">
        <f ca="1">IF($C209-I$1&lt;År1,0,H208*(1-VLOOKUP($A209,[1]Hugst!$R$5:$W$9,MATCH(ROUNDUP((I$1)/10,0)*10,[1]Hugst!$R$4:$W$4,0))))</f>
        <v>4575.5941446545203</v>
      </c>
      <c r="J209">
        <f ca="1">IF($C209-J$1&lt;År1,0,I208*(1-VLOOKUP($A209,[1]Hugst!$R$5:$W$9,MATCH(ROUNDUP((J$1)/10,0)*10,[1]Hugst!$R$4:$W$4,0))))</f>
        <v>4573.0963736697449</v>
      </c>
      <c r="K209">
        <f ca="1">IF($C209-K$1&lt;År1,0,J208*(1-VLOOKUP($A209,[1]Hugst!$R$5:$W$9,MATCH(ROUNDUP((K$1)/10,0)*10,[1]Hugst!$R$4:$W$4,0))))</f>
        <v>4570.5954096126206</v>
      </c>
      <c r="L209">
        <f ca="1">IF($C209-L$1&lt;År1,0,K208*(1-VLOOKUP($A209,[1]Hugst!$R$5:$W$9,MATCH(ROUNDUP((L$1)/10,0)*10,[1]Hugst!$R$4:$W$4,0))))</f>
        <v>4568.0912570258733</v>
      </c>
      <c r="M209">
        <f ca="1">IF($C209-M$1&lt;År1,0,L208*(1-VLOOKUP($A209,[1]Hugst!$R$5:$W$9,MATCH(ROUNDUP((M$1)/10,0)*10,[1]Hugst!$R$4:$W$4,0))))</f>
        <v>4565.5839205203265</v>
      </c>
      <c r="N209">
        <f ca="1">IF($C209-N$1&lt;År1,0,M208*(1-VLOOKUP($A209,[1]Hugst!$R$5:$W$9,MATCH(ROUNDUP((N$1)/10,0)*10,[1]Hugst!$R$4:$W$4,0))))</f>
        <v>4563.0734047754413</v>
      </c>
      <c r="O209">
        <f ca="1">IF($C209-O$1&lt;År1,0,N208*(1-VLOOKUP($A209,[1]Hugst!$R$5:$W$9,MATCH(ROUNDUP((O$1)/10,0)*10,[1]Hugst!$R$4:$W$4,0))))</f>
        <v>4560.559714539655</v>
      </c>
      <c r="P209">
        <f ca="1">IF($C209-P$1&lt;År1,0,O208*(1-VLOOKUP($A209,[1]Hugst!$R$5:$W$9,MATCH(ROUNDUP((P$1)/10,0)*10,[1]Hugst!$R$4:$W$4,0))))</f>
        <v>4548.0373947060034</v>
      </c>
      <c r="Q209">
        <f ca="1">IF($C209-Q$1&lt;År1,0,P208*(1-VLOOKUP($A209,[1]Hugst!$R$5:$W$9,MATCH(ROUNDUP((Q$1)/10,0)*10,[1]Hugst!$R$4:$W$4,0))))</f>
        <v>3225.9374257954114</v>
      </c>
      <c r="R209">
        <f ca="1">IF($C209-R$1&lt;År1,0,Q208*(1-VLOOKUP($A209,[1]Hugst!$R$5:$W$9,MATCH(ROUNDUP((R$1)/10,0)*10,[1]Hugst!$R$4:$W$4,0))))</f>
        <v>3216.3494948631283</v>
      </c>
      <c r="S209">
        <f ca="1">IF($C209-S$1&lt;År1,0,R208*(1-VLOOKUP($A209,[1]Hugst!$R$5:$W$9,MATCH(ROUNDUP((S$1)/10,0)*10,[1]Hugst!$R$4:$W$4,0))))</f>
        <v>3213.9501535133445</v>
      </c>
      <c r="T209">
        <f ca="1">IF($C209-T$1&lt;År1,0,S208*(1-VLOOKUP($A209,[1]Hugst!$R$5:$W$9,MATCH(ROUNDUP((T$1)/10,0)*10,[1]Hugst!$R$4:$W$4,0))))</f>
        <v>3211.569218068425</v>
      </c>
      <c r="U209">
        <f ca="1">IF($C209-U$1&lt;År1,0,T208*(1-VLOOKUP($A209,[1]Hugst!$R$5:$W$9,MATCH(ROUNDUP((U$1)/10,0)*10,[1]Hugst!$R$4:$W$4,0))))</f>
        <v>3209.2066851638733</v>
      </c>
      <c r="V209">
        <f ca="1">IF($C209-V$1&lt;År1,0,U208*(1-VLOOKUP($A209,[1]Hugst!$R$5:$W$9,MATCH(ROUNDUP((V$1)/10,0)*10,[1]Hugst!$R$4:$W$4,0))))</f>
        <v>3206.862551546928</v>
      </c>
      <c r="W209">
        <f ca="1">IF($C209-W$1&lt;År1,0,V208*(1-VLOOKUP($A209,[1]Hugst!$R$5:$W$9,MATCH(ROUNDUP((W$1)/10,0)*10,[1]Hugst!$R$4:$W$4,0))))</f>
        <v>3204.53681407668</v>
      </c>
      <c r="X209">
        <f ca="1">IF($C209-X$1&lt;År1,0,W208*(1-VLOOKUP($A209,[1]Hugst!$R$5:$W$9,MATCH(ROUNDUP((X$1)/10,0)*10,[1]Hugst!$R$4:$W$4,0))))</f>
        <v>3202.2294697240959</v>
      </c>
      <c r="Y209">
        <f ca="1">IF($C209-Y$1&lt;År1,0,X208*(1-VLOOKUP($A209,[1]Hugst!$R$5:$W$9,MATCH(ROUNDUP((Y$1)/10,0)*10,[1]Hugst!$R$4:$W$4,0))))</f>
        <v>3199.9405155721088</v>
      </c>
      <c r="Z209">
        <f ca="1">IF($C209-Z$1&lt;År1,0,Y208*(1-VLOOKUP($A209,[1]Hugst!$R$5:$W$9,MATCH(ROUNDUP((Z$1)/10,0)*10,[1]Hugst!$R$4:$W$4,0))))</f>
        <v>3200.7964899535314</v>
      </c>
      <c r="AA209">
        <f ca="1">IF($C209-AA$1&lt;År1,0,Z208*(1-VLOOKUP($A209,[1]Hugst!$R$5:$W$9,MATCH(ROUNDUP((AA$1)/10,0)*10,[1]Hugst!$R$4:$W$4,0))))</f>
        <v>3201.6694997096452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55000000000000004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88.098825079068774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4582.0685585111696</v>
      </c>
      <c r="G210">
        <f ca="1">IF($C210-G$1&lt;År1,0,F209*(1-VLOOKUP($A210,[1]Hugst!$R$5:$W$9,MATCH(ROUNDUP((G$1)/10,0)*10,[1]Hugst!$R$4:$W$4,0))))</f>
        <v>4579.7559370680192</v>
      </c>
      <c r="H210">
        <f ca="1">IF($C210-H$1&lt;År1,0,G209*(1-VLOOKUP($A210,[1]Hugst!$R$5:$W$9,MATCH(ROUNDUP((H$1)/10,0)*10,[1]Hugst!$R$4:$W$4,0))))</f>
        <v>4577.4646858753858</v>
      </c>
      <c r="I210">
        <f ca="1">IF($C210-I$1&lt;År1,0,H209*(1-VLOOKUP($A210,[1]Hugst!$R$5:$W$9,MATCH(ROUNDUP((I$1)/10,0)*10,[1]Hugst!$R$4:$W$4,0))))</f>
        <v>4578.0887180917653</v>
      </c>
      <c r="J210">
        <f ca="1">IF($C210-J$1&lt;År1,0,I209*(1-VLOOKUP($A210,[1]Hugst!$R$5:$W$9,MATCH(ROUNDUP((J$1)/10,0)*10,[1]Hugst!$R$4:$W$4,0))))</f>
        <v>4575.5941446545203</v>
      </c>
      <c r="K210">
        <f ca="1">IF($C210-K$1&lt;År1,0,J209*(1-VLOOKUP($A210,[1]Hugst!$R$5:$W$9,MATCH(ROUNDUP((K$1)/10,0)*10,[1]Hugst!$R$4:$W$4,0))))</f>
        <v>4573.0963736697449</v>
      </c>
      <c r="L210">
        <f ca="1">IF($C210-L$1&lt;År1,0,K209*(1-VLOOKUP($A210,[1]Hugst!$R$5:$W$9,MATCH(ROUNDUP((L$1)/10,0)*10,[1]Hugst!$R$4:$W$4,0))))</f>
        <v>4570.5954096126206</v>
      </c>
      <c r="M210">
        <f ca="1">IF($C210-M$1&lt;År1,0,L209*(1-VLOOKUP($A210,[1]Hugst!$R$5:$W$9,MATCH(ROUNDUP((M$1)/10,0)*10,[1]Hugst!$R$4:$W$4,0))))</f>
        <v>4568.0912570258733</v>
      </c>
      <c r="N210">
        <f ca="1">IF($C210-N$1&lt;År1,0,M209*(1-VLOOKUP($A210,[1]Hugst!$R$5:$W$9,MATCH(ROUNDUP((N$1)/10,0)*10,[1]Hugst!$R$4:$W$4,0))))</f>
        <v>4565.5839205203265</v>
      </c>
      <c r="O210">
        <f ca="1">IF($C210-O$1&lt;År1,0,N209*(1-VLOOKUP($A210,[1]Hugst!$R$5:$W$9,MATCH(ROUNDUP((O$1)/10,0)*10,[1]Hugst!$R$4:$W$4,0))))</f>
        <v>4563.0734047754413</v>
      </c>
      <c r="P210">
        <f ca="1">IF($C210-P$1&lt;År1,0,O209*(1-VLOOKUP($A210,[1]Hugst!$R$5:$W$9,MATCH(ROUNDUP((P$1)/10,0)*10,[1]Hugst!$R$4:$W$4,0))))</f>
        <v>4550.5487298004218</v>
      </c>
      <c r="Q210">
        <f ca="1">IF($C210-Q$1&lt;År1,0,P209*(1-VLOOKUP($A210,[1]Hugst!$R$5:$W$9,MATCH(ROUNDUP((Q$1)/10,0)*10,[1]Hugst!$R$4:$W$4,0))))</f>
        <v>4538.0538979859166</v>
      </c>
      <c r="R210">
        <f ca="1">IF($C210-R$1&lt;År1,0,Q209*(1-VLOOKUP($A210,[1]Hugst!$R$5:$W$9,MATCH(ROUNDUP((R$1)/10,0)*10,[1]Hugst!$R$4:$W$4,0))))</f>
        <v>3218.8560997387872</v>
      </c>
      <c r="S210">
        <f ca="1">IF($C210-S$1&lt;År1,0,R209*(1-VLOOKUP($A210,[1]Hugst!$R$5:$W$9,MATCH(ROUNDUP((S$1)/10,0)*10,[1]Hugst!$R$4:$W$4,0))))</f>
        <v>3209.2892154841602</v>
      </c>
      <c r="T210">
        <f ca="1">IF($C210-T$1&lt;År1,0,S209*(1-VLOOKUP($A210,[1]Hugst!$R$5:$W$9,MATCH(ROUNDUP((T$1)/10,0)*10,[1]Hugst!$R$4:$W$4,0))))</f>
        <v>3206.8951409812421</v>
      </c>
      <c r="U210">
        <f ca="1">IF($C210-U$1&lt;År1,0,T209*(1-VLOOKUP($A210,[1]Hugst!$R$5:$W$9,MATCH(ROUNDUP((U$1)/10,0)*10,[1]Hugst!$R$4:$W$4,0))))</f>
        <v>3204.5194319799821</v>
      </c>
      <c r="V210">
        <f ca="1">IF($C210-V$1&lt;År1,0,U209*(1-VLOOKUP($A210,[1]Hugst!$R$5:$W$9,MATCH(ROUNDUP((V$1)/10,0)*10,[1]Hugst!$R$4:$W$4,0))))</f>
        <v>3202.1620851232697</v>
      </c>
      <c r="W210">
        <f ca="1">IF($C210-W$1&lt;År1,0,V209*(1-VLOOKUP($A210,[1]Hugst!$R$5:$W$9,MATCH(ROUNDUP((W$1)/10,0)*10,[1]Hugst!$R$4:$W$4,0))))</f>
        <v>3199.8230971654834</v>
      </c>
      <c r="X210">
        <f ca="1">IF($C210-X$1&lt;År1,0,W209*(1-VLOOKUP($A210,[1]Hugst!$R$5:$W$9,MATCH(ROUNDUP((X$1)/10,0)*10,[1]Hugst!$R$4:$W$4,0))))</f>
        <v>3197.5024649726092</v>
      </c>
      <c r="Y210">
        <f ca="1">IF($C210-Y$1&lt;År1,0,X209*(1-VLOOKUP($A210,[1]Hugst!$R$5:$W$9,MATCH(ROUNDUP((Y$1)/10,0)*10,[1]Hugst!$R$4:$W$4,0))))</f>
        <v>3195.2001855222625</v>
      </c>
      <c r="Z210">
        <f ca="1">IF($C210-Z$1&lt;År1,0,Y209*(1-VLOOKUP($A210,[1]Hugst!$R$5:$W$9,MATCH(ROUNDUP((Z$1)/10,0)*10,[1]Hugst!$R$4:$W$4,0))))</f>
        <v>3196.0381490897039</v>
      </c>
      <c r="AA210">
        <f ca="1">IF($C210-AA$1&lt;År1,0,Z209*(1-VLOOKUP($A210,[1]Hugst!$R$5:$W$9,MATCH(ROUNDUP((AA$1)/10,0)*10,[1]Hugst!$R$4:$W$4,0))))</f>
        <v>3196.8930795999295</v>
      </c>
      <c r="AB210">
        <f ca="1">IF($C210-AB$1&lt;År1,0,AA209*(1-VLOOKUP($A210,[1]Hugst!$R$5:$W$9,MATCH(ROUNDUP((AB$1)/10,0)*10,[1]Hugst!$R$4:$W$4,0))))</f>
        <v>3197.7650247099991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55000000000000004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94.81609617236245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4584.4024006903801</v>
      </c>
      <c r="G211">
        <f ca="1">IF($C211-G$1&lt;År1,0,F210*(1-VLOOKUP($A211,[1]Hugst!$R$5:$W$9,MATCH(ROUNDUP((G$1)/10,0)*10,[1]Hugst!$R$4:$W$4,0))))</f>
        <v>4582.0685585111696</v>
      </c>
      <c r="H211">
        <f ca="1">IF($C211-H$1&lt;År1,0,G210*(1-VLOOKUP($A211,[1]Hugst!$R$5:$W$9,MATCH(ROUNDUP((H$1)/10,0)*10,[1]Hugst!$R$4:$W$4,0))))</f>
        <v>4579.7559370680192</v>
      </c>
      <c r="I211">
        <f ca="1">IF($C211-I$1&lt;År1,0,H210*(1-VLOOKUP($A211,[1]Hugst!$R$5:$W$9,MATCH(ROUNDUP((I$1)/10,0)*10,[1]Hugst!$R$4:$W$4,0))))</f>
        <v>4577.4646858753858</v>
      </c>
      <c r="J211">
        <f ca="1">IF($C211-J$1&lt;År1,0,I210*(1-VLOOKUP($A211,[1]Hugst!$R$5:$W$9,MATCH(ROUNDUP((J$1)/10,0)*10,[1]Hugst!$R$4:$W$4,0))))</f>
        <v>4578.0887180917653</v>
      </c>
      <c r="K211">
        <f ca="1">IF($C211-K$1&lt;År1,0,J210*(1-VLOOKUP($A211,[1]Hugst!$R$5:$W$9,MATCH(ROUNDUP((K$1)/10,0)*10,[1]Hugst!$R$4:$W$4,0))))</f>
        <v>4575.5941446545203</v>
      </c>
      <c r="L211">
        <f ca="1">IF($C211-L$1&lt;År1,0,K210*(1-VLOOKUP($A211,[1]Hugst!$R$5:$W$9,MATCH(ROUNDUP((L$1)/10,0)*10,[1]Hugst!$R$4:$W$4,0))))</f>
        <v>4573.0963736697449</v>
      </c>
      <c r="M211">
        <f ca="1">IF($C211-M$1&lt;År1,0,L210*(1-VLOOKUP($A211,[1]Hugst!$R$5:$W$9,MATCH(ROUNDUP((M$1)/10,0)*10,[1]Hugst!$R$4:$W$4,0))))</f>
        <v>4570.5954096126206</v>
      </c>
      <c r="N211">
        <f ca="1">IF($C211-N$1&lt;År1,0,M210*(1-VLOOKUP($A211,[1]Hugst!$R$5:$W$9,MATCH(ROUNDUP((N$1)/10,0)*10,[1]Hugst!$R$4:$W$4,0))))</f>
        <v>4568.0912570258733</v>
      </c>
      <c r="O211">
        <f ca="1">IF($C211-O$1&lt;År1,0,N210*(1-VLOOKUP($A211,[1]Hugst!$R$5:$W$9,MATCH(ROUNDUP((O$1)/10,0)*10,[1]Hugst!$R$4:$W$4,0))))</f>
        <v>4565.5839205203265</v>
      </c>
      <c r="P211">
        <f ca="1">IF($C211-P$1&lt;År1,0,O210*(1-VLOOKUP($A211,[1]Hugst!$R$5:$W$9,MATCH(ROUNDUP((P$1)/10,0)*10,[1]Hugst!$R$4:$W$4,0))))</f>
        <v>4553.0569021795927</v>
      </c>
      <c r="Q211">
        <f ca="1">IF($C211-Q$1&lt;År1,0,P210*(1-VLOOKUP($A211,[1]Hugst!$R$5:$W$9,MATCH(ROUNDUP((Q$1)/10,0)*10,[1]Hugst!$R$4:$W$4,0))))</f>
        <v>4540.5597203935431</v>
      </c>
      <c r="R211">
        <f ca="1">IF($C211-R$1&lt;År1,0,Q210*(1-VLOOKUP($A211,[1]Hugst!$R$5:$W$9,MATCH(ROUNDUP((R$1)/10,0)*10,[1]Hugst!$R$4:$W$4,0))))</f>
        <v>4528.0923162586305</v>
      </c>
      <c r="S211">
        <f ca="1">IF($C211-S$1&lt;År1,0,R210*(1-VLOOKUP($A211,[1]Hugst!$R$5:$W$9,MATCH(ROUNDUP((S$1)/10,0)*10,[1]Hugst!$R$4:$W$4,0))))</f>
        <v>3211.7903180564335</v>
      </c>
      <c r="T211">
        <f ca="1">IF($C211-T$1&lt;År1,0,S210*(1-VLOOKUP($A211,[1]Hugst!$R$5:$W$9,MATCH(ROUNDUP((T$1)/10,0)*10,[1]Hugst!$R$4:$W$4,0))))</f>
        <v>3202.2444342794388</v>
      </c>
      <c r="U211">
        <f ca="1">IF($C211-U$1&lt;År1,0,T210*(1-VLOOKUP($A211,[1]Hugst!$R$5:$W$9,MATCH(ROUNDUP((U$1)/10,0)*10,[1]Hugst!$R$4:$W$4,0))))</f>
        <v>3199.8556150620147</v>
      </c>
      <c r="V211">
        <f ca="1">IF($C211-V$1&lt;År1,0,U210*(1-VLOOKUP($A211,[1]Hugst!$R$5:$W$9,MATCH(ROUNDUP((V$1)/10,0)*10,[1]Hugst!$R$4:$W$4,0))))</f>
        <v>3197.4851210317333</v>
      </c>
      <c r="W211">
        <f ca="1">IF($C211-W$1&lt;År1,0,V210*(1-VLOOKUP($A211,[1]Hugst!$R$5:$W$9,MATCH(ROUNDUP((W$1)/10,0)*10,[1]Hugst!$R$4:$W$4,0))))</f>
        <v>3195.1329488388528</v>
      </c>
      <c r="X211">
        <f ca="1">IF($C211-X$1&lt;År1,0,W210*(1-VLOOKUP($A211,[1]Hugst!$R$5:$W$9,MATCH(ROUNDUP((X$1)/10,0)*10,[1]Hugst!$R$4:$W$4,0))))</f>
        <v>3192.7990952448763</v>
      </c>
      <c r="Y211">
        <f ca="1">IF($C211-Y$1&lt;År1,0,X210*(1-VLOOKUP($A211,[1]Hugst!$R$5:$W$9,MATCH(ROUNDUP((Y$1)/10,0)*10,[1]Hugst!$R$4:$W$4,0))))</f>
        <v>3190.4835571226695</v>
      </c>
      <c r="Z211">
        <f ca="1">IF($C211-Z$1&lt;År1,0,Y210*(1-VLOOKUP($A211,[1]Hugst!$R$5:$W$9,MATCH(ROUNDUP((Z$1)/10,0)*10,[1]Hugst!$R$4:$W$4,0))))</f>
        <v>3191.3035999301624</v>
      </c>
      <c r="AA211">
        <f ca="1">IF($C211-AA$1&lt;År1,0,Z210*(1-VLOOKUP($A211,[1]Hugst!$R$5:$W$9,MATCH(ROUNDUP((AA$1)/10,0)*10,[1]Hugst!$R$4:$W$4,0))))</f>
        <v>3192.1405415908139</v>
      </c>
      <c r="AB211">
        <f ca="1">IF($C211-AB$1&lt;År1,0,AA210*(1-VLOOKUP($A211,[1]Hugst!$R$5:$W$9,MATCH(ROUNDUP((AB$1)/10,0)*10,[1]Hugst!$R$4:$W$4,0))))</f>
        <v>3192.9944295028563</v>
      </c>
      <c r="AC211">
        <f ca="1">IF($C211-AC$1&lt;År1,0,AB210*(1-VLOOKUP($A211,[1]Hugst!$R$5:$W$9,MATCH(ROUNDUP((AC$1)/10,0)*10,[1]Hugst!$R$4:$W$4,0))))</f>
        <v>3193.865311265231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55000000000000004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101.53252212773077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4586.7573148762513</v>
      </c>
      <c r="G212">
        <f ca="1">IF($C212-G$1&lt;År1,0,F211*(1-VLOOKUP($A212,[1]Hugst!$R$5:$W$9,MATCH(ROUNDUP((G$1)/10,0)*10,[1]Hugst!$R$4:$W$4,0))))</f>
        <v>4584.4024006903801</v>
      </c>
      <c r="H212">
        <f ca="1">IF($C212-H$1&lt;År1,0,G211*(1-VLOOKUP($A212,[1]Hugst!$R$5:$W$9,MATCH(ROUNDUP((H$1)/10,0)*10,[1]Hugst!$R$4:$W$4,0))))</f>
        <v>4582.0685585111696</v>
      </c>
      <c r="I212">
        <f ca="1">IF($C212-I$1&lt;År1,0,H211*(1-VLOOKUP($A212,[1]Hugst!$R$5:$W$9,MATCH(ROUNDUP((I$1)/10,0)*10,[1]Hugst!$R$4:$W$4,0))))</f>
        <v>4579.7559370680192</v>
      </c>
      <c r="J212">
        <f ca="1">IF($C212-J$1&lt;År1,0,I211*(1-VLOOKUP($A212,[1]Hugst!$R$5:$W$9,MATCH(ROUNDUP((J$1)/10,0)*10,[1]Hugst!$R$4:$W$4,0))))</f>
        <v>4577.4646858753858</v>
      </c>
      <c r="K212">
        <f ca="1">IF($C212-K$1&lt;År1,0,J211*(1-VLOOKUP($A212,[1]Hugst!$R$5:$W$9,MATCH(ROUNDUP((K$1)/10,0)*10,[1]Hugst!$R$4:$W$4,0))))</f>
        <v>4578.0887180917653</v>
      </c>
      <c r="L212">
        <f ca="1">IF($C212-L$1&lt;År1,0,K211*(1-VLOOKUP($A212,[1]Hugst!$R$5:$W$9,MATCH(ROUNDUP((L$1)/10,0)*10,[1]Hugst!$R$4:$W$4,0))))</f>
        <v>4575.5941446545203</v>
      </c>
      <c r="M212">
        <f ca="1">IF($C212-M$1&lt;År1,0,L211*(1-VLOOKUP($A212,[1]Hugst!$R$5:$W$9,MATCH(ROUNDUP((M$1)/10,0)*10,[1]Hugst!$R$4:$W$4,0))))</f>
        <v>4573.0963736697449</v>
      </c>
      <c r="N212">
        <f ca="1">IF($C212-N$1&lt;År1,0,M211*(1-VLOOKUP($A212,[1]Hugst!$R$5:$W$9,MATCH(ROUNDUP((N$1)/10,0)*10,[1]Hugst!$R$4:$W$4,0))))</f>
        <v>4570.5954096126206</v>
      </c>
      <c r="O212">
        <f ca="1">IF($C212-O$1&lt;År1,0,N211*(1-VLOOKUP($A212,[1]Hugst!$R$5:$W$9,MATCH(ROUNDUP((O$1)/10,0)*10,[1]Hugst!$R$4:$W$4,0))))</f>
        <v>4568.0912570258733</v>
      </c>
      <c r="P212">
        <f ca="1">IF($C212-P$1&lt;År1,0,O211*(1-VLOOKUP($A212,[1]Hugst!$R$5:$W$9,MATCH(ROUNDUP((P$1)/10,0)*10,[1]Hugst!$R$4:$W$4,0))))</f>
        <v>4555.5619070362573</v>
      </c>
      <c r="Q212">
        <f ca="1">IF($C212-Q$1&lt;År1,0,P211*(1-VLOOKUP($A212,[1]Hugst!$R$5:$W$9,MATCH(ROUNDUP((Q$1)/10,0)*10,[1]Hugst!$R$4:$W$4,0))))</f>
        <v>4543.0623870284671</v>
      </c>
      <c r="R212">
        <f ca="1">IF($C212-R$1&lt;År1,0,Q211*(1-VLOOKUP($A212,[1]Hugst!$R$5:$W$9,MATCH(ROUNDUP((R$1)/10,0)*10,[1]Hugst!$R$4:$W$4,0))))</f>
        <v>4530.592638080484</v>
      </c>
      <c r="S212">
        <f ca="1">IF($C212-S$1&lt;År1,0,R211*(1-VLOOKUP($A212,[1]Hugst!$R$5:$W$9,MATCH(ROUNDUP((S$1)/10,0)*10,[1]Hugst!$R$4:$W$4,0))))</f>
        <v>4518.1526014180627</v>
      </c>
      <c r="T212">
        <f ca="1">IF($C212-T$1&lt;År1,0,S211*(1-VLOOKUP($A212,[1]Hugst!$R$5:$W$9,MATCH(ROUNDUP((T$1)/10,0)*10,[1]Hugst!$R$4:$W$4,0))))</f>
        <v>3204.7400466265535</v>
      </c>
      <c r="U212">
        <f ca="1">IF($C212-U$1&lt;År1,0,T211*(1-VLOOKUP($A212,[1]Hugst!$R$5:$W$9,MATCH(ROUNDUP((U$1)/10,0)*10,[1]Hugst!$R$4:$W$4,0))))</f>
        <v>3195.2151172285817</v>
      </c>
      <c r="V212">
        <f ca="1">IF($C212-V$1&lt;År1,0,U211*(1-VLOOKUP($A212,[1]Hugst!$R$5:$W$9,MATCH(ROUNDUP((V$1)/10,0)*10,[1]Hugst!$R$4:$W$4,0))))</f>
        <v>3192.8315417606591</v>
      </c>
      <c r="W212">
        <f ca="1">IF($C212-W$1&lt;År1,0,V211*(1-VLOOKUP($A212,[1]Hugst!$R$5:$W$9,MATCH(ROUNDUP((W$1)/10,0)*10,[1]Hugst!$R$4:$W$4,0))))</f>
        <v>3190.4662512538589</v>
      </c>
      <c r="X212">
        <f ca="1">IF($C212-X$1&lt;År1,0,W211*(1-VLOOKUP($A212,[1]Hugst!$R$5:$W$9,MATCH(ROUNDUP((X$1)/10,0)*10,[1]Hugst!$R$4:$W$4,0))))</f>
        <v>3188.1192423657917</v>
      </c>
      <c r="Y212">
        <f ca="1">IF($C212-Y$1&lt;År1,0,X211*(1-VLOOKUP($A212,[1]Hugst!$R$5:$W$9,MATCH(ROUNDUP((Y$1)/10,0)*10,[1]Hugst!$R$4:$W$4,0))))</f>
        <v>3185.7905118650706</v>
      </c>
      <c r="Z212">
        <f ca="1">IF($C212-Z$1&lt;År1,0,Y211*(1-VLOOKUP($A212,[1]Hugst!$R$5:$W$9,MATCH(ROUNDUP((Z$1)/10,0)*10,[1]Hugst!$R$4:$W$4,0))))</f>
        <v>3186.5927235164222</v>
      </c>
      <c r="AA212">
        <f ca="1">IF($C212-AA$1&lt;År1,0,Z211*(1-VLOOKUP($A212,[1]Hugst!$R$5:$W$9,MATCH(ROUNDUP((AA$1)/10,0)*10,[1]Hugst!$R$4:$W$4,0))))</f>
        <v>3187.4117662717108</v>
      </c>
      <c r="AB212">
        <f ca="1">IF($C212-AB$1&lt;År1,0,AA211*(1-VLOOKUP($A212,[1]Hugst!$R$5:$W$9,MATCH(ROUNDUP((AB$1)/10,0)*10,[1]Hugst!$R$4:$W$4,0))))</f>
        <v>3188.2476872718007</v>
      </c>
      <c r="AC212">
        <f ca="1">IF($C212-AC$1&lt;År1,0,AB211*(1-VLOOKUP($A212,[1]Hugst!$R$5:$W$9,MATCH(ROUNDUP((AC$1)/10,0)*10,[1]Hugst!$R$4:$W$4,0))))</f>
        <v>3189.1005338571213</v>
      </c>
      <c r="AD212">
        <f ca="1">IF($C212-AD$1&lt;År1,0,AC211*(1-VLOOKUP($A212,[1]Hugst!$R$5:$W$9,MATCH(ROUNDUP((AD$1)/10,0)*10,[1]Hugst!$R$4:$W$4,0))))</f>
        <v>3189.9703535685662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55000000000000004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108.24806458300736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4589.1331531208689</v>
      </c>
      <c r="G213">
        <f ca="1">IF($C213-G$1&lt;År1,0,F212*(1-VLOOKUP($A213,[1]Hugst!$R$5:$W$9,MATCH(ROUNDUP((G$1)/10,0)*10,[1]Hugst!$R$4:$W$4,0))))</f>
        <v>4586.7573148762513</v>
      </c>
      <c r="H213">
        <f ca="1">IF($C213-H$1&lt;År1,0,G212*(1-VLOOKUP($A213,[1]Hugst!$R$5:$W$9,MATCH(ROUNDUP((H$1)/10,0)*10,[1]Hugst!$R$4:$W$4,0))))</f>
        <v>4584.4024006903801</v>
      </c>
      <c r="I213">
        <f ca="1">IF($C213-I$1&lt;År1,0,H212*(1-VLOOKUP($A213,[1]Hugst!$R$5:$W$9,MATCH(ROUNDUP((I$1)/10,0)*10,[1]Hugst!$R$4:$W$4,0))))</f>
        <v>4582.0685585111696</v>
      </c>
      <c r="J213">
        <f ca="1">IF($C213-J$1&lt;År1,0,I212*(1-VLOOKUP($A213,[1]Hugst!$R$5:$W$9,MATCH(ROUNDUP((J$1)/10,0)*10,[1]Hugst!$R$4:$W$4,0))))</f>
        <v>4579.7559370680192</v>
      </c>
      <c r="K213">
        <f ca="1">IF($C213-K$1&lt;År1,0,J212*(1-VLOOKUP($A213,[1]Hugst!$R$5:$W$9,MATCH(ROUNDUP((K$1)/10,0)*10,[1]Hugst!$R$4:$W$4,0))))</f>
        <v>4577.4646858753858</v>
      </c>
      <c r="L213">
        <f ca="1">IF($C213-L$1&lt;År1,0,K212*(1-VLOOKUP($A213,[1]Hugst!$R$5:$W$9,MATCH(ROUNDUP((L$1)/10,0)*10,[1]Hugst!$R$4:$W$4,0))))</f>
        <v>4578.0887180917653</v>
      </c>
      <c r="M213">
        <f ca="1">IF($C213-M$1&lt;År1,0,L212*(1-VLOOKUP($A213,[1]Hugst!$R$5:$W$9,MATCH(ROUNDUP((M$1)/10,0)*10,[1]Hugst!$R$4:$W$4,0))))</f>
        <v>4575.5941446545203</v>
      </c>
      <c r="N213">
        <f ca="1">IF($C213-N$1&lt;År1,0,M212*(1-VLOOKUP($A213,[1]Hugst!$R$5:$W$9,MATCH(ROUNDUP((N$1)/10,0)*10,[1]Hugst!$R$4:$W$4,0))))</f>
        <v>4573.0963736697449</v>
      </c>
      <c r="O213">
        <f ca="1">IF($C213-O$1&lt;År1,0,N212*(1-VLOOKUP($A213,[1]Hugst!$R$5:$W$9,MATCH(ROUNDUP((O$1)/10,0)*10,[1]Hugst!$R$4:$W$4,0))))</f>
        <v>4570.5954096126206</v>
      </c>
      <c r="P213">
        <f ca="1">IF($C213-P$1&lt;År1,0,O212*(1-VLOOKUP($A213,[1]Hugst!$R$5:$W$9,MATCH(ROUNDUP((P$1)/10,0)*10,[1]Hugst!$R$4:$W$4,0))))</f>
        <v>4558.0637396324018</v>
      </c>
      <c r="Q213">
        <f ca="1">IF($C213-Q$1&lt;År1,0,P212*(1-VLOOKUP($A213,[1]Hugst!$R$5:$W$9,MATCH(ROUNDUP((Q$1)/10,0)*10,[1]Hugst!$R$4:$W$4,0))))</f>
        <v>4545.5618930939827</v>
      </c>
      <c r="R213">
        <f ca="1">IF($C213-R$1&lt;År1,0,Q212*(1-VLOOKUP($A213,[1]Hugst!$R$5:$W$9,MATCH(ROUNDUP((R$1)/10,0)*10,[1]Hugst!$R$4:$W$4,0))))</f>
        <v>4533.0898110569415</v>
      </c>
      <c r="S213">
        <f ca="1">IF($C213-S$1&lt;År1,0,R212*(1-VLOOKUP($A213,[1]Hugst!$R$5:$W$9,MATCH(ROUNDUP((S$1)/10,0)*10,[1]Hugst!$R$4:$W$4,0))))</f>
        <v>4520.6474347286003</v>
      </c>
      <c r="T213">
        <f ca="1">IF($C213-T$1&lt;År1,0,S212*(1-VLOOKUP($A213,[1]Hugst!$R$5:$W$9,MATCH(ROUNDUP((T$1)/10,0)*10,[1]Hugst!$R$4:$W$4,0))))</f>
        <v>4508.2347054637303</v>
      </c>
      <c r="U213">
        <f ca="1">IF($C213-U$1&lt;År1,0,T212*(1-VLOOKUP($A213,[1]Hugst!$R$5:$W$9,MATCH(ROUNDUP((U$1)/10,0)*10,[1]Hugst!$R$4:$W$4,0))))</f>
        <v>3197.7052514022512</v>
      </c>
      <c r="V213">
        <f ca="1">IF($C213-V$1&lt;År1,0,U212*(1-VLOOKUP($A213,[1]Hugst!$R$5:$W$9,MATCH(ROUNDUP((V$1)/10,0)*10,[1]Hugst!$R$4:$W$4,0))))</f>
        <v>3188.2012303858846</v>
      </c>
      <c r="W213">
        <f ca="1">IF($C213-W$1&lt;År1,0,V212*(1-VLOOKUP($A213,[1]Hugst!$R$5:$W$9,MATCH(ROUNDUP((W$1)/10,0)*10,[1]Hugst!$R$4:$W$4,0))))</f>
        <v>3185.8228871567944</v>
      </c>
      <c r="X213">
        <f ca="1">IF($C213-X$1&lt;År1,0,W212*(1-VLOOKUP($A213,[1]Hugst!$R$5:$W$9,MATCH(ROUNDUP((X$1)/10,0)*10,[1]Hugst!$R$4:$W$4,0))))</f>
        <v>3183.4627887511065</v>
      </c>
      <c r="Y213">
        <f ca="1">IF($C213-Y$1&lt;År1,0,X212*(1-VLOOKUP($A213,[1]Hugst!$R$5:$W$9,MATCH(ROUNDUP((Y$1)/10,0)*10,[1]Hugst!$R$4:$W$4,0))))</f>
        <v>3181.1209318337692</v>
      </c>
      <c r="Z213">
        <f ca="1">IF($C213-Z$1&lt;År1,0,Y212*(1-VLOOKUP($A213,[1]Hugst!$R$5:$W$9,MATCH(ROUNDUP((Z$1)/10,0)*10,[1]Hugst!$R$4:$W$4,0))))</f>
        <v>3181.9054014847475</v>
      </c>
      <c r="AA213">
        <f ca="1">IF($C213-AA$1&lt;År1,0,Z212*(1-VLOOKUP($A213,[1]Hugst!$R$5:$W$9,MATCH(ROUNDUP((AA$1)/10,0)*10,[1]Hugst!$R$4:$W$4,0))))</f>
        <v>3182.7066348292069</v>
      </c>
      <c r="AB213">
        <f ca="1">IF($C213-AB$1&lt;År1,0,AA212*(1-VLOOKUP($A213,[1]Hugst!$R$5:$W$9,MATCH(ROUNDUP((AB$1)/10,0)*10,[1]Hugst!$R$4:$W$4,0))))</f>
        <v>3183.5246787518672</v>
      </c>
      <c r="AC213">
        <f ca="1">IF($C213-AC$1&lt;År1,0,AB212*(1-VLOOKUP($A213,[1]Hugst!$R$5:$W$9,MATCH(ROUNDUP((AC$1)/10,0)*10,[1]Hugst!$R$4:$W$4,0))))</f>
        <v>3184.3595803361036</v>
      </c>
      <c r="AD213">
        <f ca="1">IF($C213-AD$1&lt;År1,0,AC212*(1-VLOOKUP($A213,[1]Hugst!$R$5:$W$9,MATCH(ROUNDUP((AD$1)/10,0)*10,[1]Hugst!$R$4:$W$4,0))))</f>
        <v>3185.2113868646125</v>
      </c>
      <c r="AE213">
        <f ca="1">IF($C213-AE$1&lt;År1,0,AD212*(1-VLOOKUP($A213,[1]Hugst!$R$5:$W$9,MATCH(ROUNDUP((AE$1)/10,0)*10,[1]Hugst!$R$4:$W$4,0))))</f>
        <v>3186.0801458203118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55000000000000004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114.9626854051894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4591.5297682534783</v>
      </c>
      <c r="G214">
        <f ca="1">IF($C214-G$1&lt;År1,0,F213*(1-VLOOKUP($A214,[1]Hugst!$R$5:$W$9,MATCH(ROUNDUP((G$1)/10,0)*10,[1]Hugst!$R$4:$W$4,0))))</f>
        <v>4589.1331531208689</v>
      </c>
      <c r="H214">
        <f ca="1">IF($C214-H$1&lt;År1,0,G213*(1-VLOOKUP($A214,[1]Hugst!$R$5:$W$9,MATCH(ROUNDUP((H$1)/10,0)*10,[1]Hugst!$R$4:$W$4,0))))</f>
        <v>4586.7573148762513</v>
      </c>
      <c r="I214">
        <f ca="1">IF($C214-I$1&lt;År1,0,H213*(1-VLOOKUP($A214,[1]Hugst!$R$5:$W$9,MATCH(ROUNDUP((I$1)/10,0)*10,[1]Hugst!$R$4:$W$4,0))))</f>
        <v>4584.4024006903801</v>
      </c>
      <c r="J214">
        <f ca="1">IF($C214-J$1&lt;År1,0,I213*(1-VLOOKUP($A214,[1]Hugst!$R$5:$W$9,MATCH(ROUNDUP((J$1)/10,0)*10,[1]Hugst!$R$4:$W$4,0))))</f>
        <v>4582.0685585111696</v>
      </c>
      <c r="K214">
        <f ca="1">IF($C214-K$1&lt;År1,0,J213*(1-VLOOKUP($A214,[1]Hugst!$R$5:$W$9,MATCH(ROUNDUP((K$1)/10,0)*10,[1]Hugst!$R$4:$W$4,0))))</f>
        <v>4579.7559370680192</v>
      </c>
      <c r="L214">
        <f ca="1">IF($C214-L$1&lt;År1,0,K213*(1-VLOOKUP($A214,[1]Hugst!$R$5:$W$9,MATCH(ROUNDUP((L$1)/10,0)*10,[1]Hugst!$R$4:$W$4,0))))</f>
        <v>4577.4646858753858</v>
      </c>
      <c r="M214">
        <f ca="1">IF($C214-M$1&lt;År1,0,L213*(1-VLOOKUP($A214,[1]Hugst!$R$5:$W$9,MATCH(ROUNDUP((M$1)/10,0)*10,[1]Hugst!$R$4:$W$4,0))))</f>
        <v>4578.0887180917653</v>
      </c>
      <c r="N214">
        <f ca="1">IF($C214-N$1&lt;År1,0,M213*(1-VLOOKUP($A214,[1]Hugst!$R$5:$W$9,MATCH(ROUNDUP((N$1)/10,0)*10,[1]Hugst!$R$4:$W$4,0))))</f>
        <v>4575.5941446545203</v>
      </c>
      <c r="O214">
        <f ca="1">IF($C214-O$1&lt;År1,0,N213*(1-VLOOKUP($A214,[1]Hugst!$R$5:$W$9,MATCH(ROUNDUP((O$1)/10,0)*10,[1]Hugst!$R$4:$W$4,0))))</f>
        <v>4573.0963736697449</v>
      </c>
      <c r="P214">
        <f ca="1">IF($C214-P$1&lt;År1,0,O213*(1-VLOOKUP($A214,[1]Hugst!$R$5:$W$9,MATCH(ROUNDUP((P$1)/10,0)*10,[1]Hugst!$R$4:$W$4,0))))</f>
        <v>4560.5623952988371</v>
      </c>
      <c r="Q214">
        <f ca="1">IF($C214-Q$1&lt;År1,0,P213*(1-VLOOKUP($A214,[1]Hugst!$R$5:$W$9,MATCH(ROUNDUP((Q$1)/10,0)*10,[1]Hugst!$R$4:$W$4,0))))</f>
        <v>4548.0582338624772</v>
      </c>
      <c r="R214">
        <f ca="1">IF($C214-R$1&lt;År1,0,Q213*(1-VLOOKUP($A214,[1]Hugst!$R$5:$W$9,MATCH(ROUNDUP((R$1)/10,0)*10,[1]Hugst!$R$4:$W$4,0))))</f>
        <v>4535.5838304018253</v>
      </c>
      <c r="S214">
        <f ca="1">IF($C214-S$1&lt;År1,0,R213*(1-VLOOKUP($A214,[1]Hugst!$R$5:$W$9,MATCH(ROUNDUP((S$1)/10,0)*10,[1]Hugst!$R$4:$W$4,0))))</f>
        <v>4523.1391261058407</v>
      </c>
      <c r="T214">
        <f ca="1">IF($C214-T$1&lt;År1,0,S213*(1-VLOOKUP($A214,[1]Hugst!$R$5:$W$9,MATCH(ROUNDUP((T$1)/10,0)*10,[1]Hugst!$R$4:$W$4,0))))</f>
        <v>4510.7240623109037</v>
      </c>
      <c r="U214">
        <f ca="1">IF($C214-U$1&lt;År1,0,T213*(1-VLOOKUP($A214,[1]Hugst!$R$5:$W$9,MATCH(ROUNDUP((U$1)/10,0)*10,[1]Hugst!$R$4:$W$4,0))))</f>
        <v>4498.3385805005173</v>
      </c>
      <c r="V214">
        <f ca="1">IF($C214-V$1&lt;År1,0,U213*(1-VLOOKUP($A214,[1]Hugst!$R$5:$W$9,MATCH(ROUNDUP((V$1)/10,0)*10,[1]Hugst!$R$4:$W$4,0))))</f>
        <v>3190.6858984113683</v>
      </c>
      <c r="W214">
        <f ca="1">IF($C214-W$1&lt;År1,0,V213*(1-VLOOKUP($A214,[1]Hugst!$R$5:$W$9,MATCH(ROUNDUP((W$1)/10,0)*10,[1]Hugst!$R$4:$W$4,0))))</f>
        <v>3181.2027398801597</v>
      </c>
      <c r="X214">
        <f ca="1">IF($C214-X$1&lt;År1,0,W213*(1-VLOOKUP($A214,[1]Hugst!$R$5:$W$9,MATCH(ROUNDUP((X$1)/10,0)*10,[1]Hugst!$R$4:$W$4,0))))</f>
        <v>3178.829617404499</v>
      </c>
      <c r="Y214">
        <f ca="1">IF($C214-Y$1&lt;År1,0,X213*(1-VLOOKUP($A214,[1]Hugst!$R$5:$W$9,MATCH(ROUNDUP((Y$1)/10,0)*10,[1]Hugst!$R$4:$W$4,0))))</f>
        <v>3176.4746997026286</v>
      </c>
      <c r="Z214">
        <f ca="1">IF($C214-Z$1&lt;År1,0,Y213*(1-VLOOKUP($A214,[1]Hugst!$R$5:$W$9,MATCH(ROUNDUP((Z$1)/10,0)*10,[1]Hugst!$R$4:$W$4,0))))</f>
        <v>3177.2415160632404</v>
      </c>
      <c r="AA214">
        <f ca="1">IF($C214-AA$1&lt;År1,0,Z213*(1-VLOOKUP($A214,[1]Hugst!$R$5:$W$9,MATCH(ROUNDUP((AA$1)/10,0)*10,[1]Hugst!$R$4:$W$4,0))))</f>
        <v>3178.0250290439126</v>
      </c>
      <c r="AB214">
        <f ca="1">IF($C214-AB$1&lt;År1,0,AA213*(1-VLOOKUP($A214,[1]Hugst!$R$5:$W$9,MATCH(ROUNDUP((AB$1)/10,0)*10,[1]Hugst!$R$4:$W$4,0))))</f>
        <v>3178.8252852745372</v>
      </c>
      <c r="AC214">
        <f ca="1">IF($C214-AC$1&lt;År1,0,AB213*(1-VLOOKUP($A214,[1]Hugst!$R$5:$W$9,MATCH(ROUNDUP((AC$1)/10,0)*10,[1]Hugst!$R$4:$W$4,0))))</f>
        <v>3179.6423315826578</v>
      </c>
      <c r="AD214">
        <f ca="1">IF($C214-AD$1&lt;År1,0,AC213*(1-VLOOKUP($A214,[1]Hugst!$R$5:$W$9,MATCH(ROUNDUP((AD$1)/10,0)*10,[1]Hugst!$R$4:$W$4,0))))</f>
        <v>3180.4762149942303</v>
      </c>
      <c r="AE214">
        <f ca="1">IF($C214-AE$1&lt;År1,0,AD213*(1-VLOOKUP($A214,[1]Hugst!$R$5:$W$9,MATCH(ROUNDUP((AE$1)/10,0)*10,[1]Hugst!$R$4:$W$4,0))))</f>
        <v>3181.3269827342897</v>
      </c>
      <c r="AF214">
        <f ca="1">IF($C214-AF$1&lt;År1,0,AE213*(1-VLOOKUP($A214,[1]Hugst!$R$5:$W$9,MATCH(ROUNDUP((AF$1)/10,0)*10,[1]Hugst!$R$4:$W$4,0))))</f>
        <v>3182.1946822278478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55000000000000004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121.67634668991377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4593.9470138769921</v>
      </c>
      <c r="G215">
        <f ca="1">IF($C215-G$1&lt;År1,0,F214*(1-VLOOKUP($A215,[1]Hugst!$R$5:$W$9,MATCH(ROUNDUP((G$1)/10,0)*10,[1]Hugst!$R$4:$W$4,0))))</f>
        <v>4591.5297682534783</v>
      </c>
      <c r="H215">
        <f ca="1">IF($C215-H$1&lt;År1,0,G214*(1-VLOOKUP($A215,[1]Hugst!$R$5:$W$9,MATCH(ROUNDUP((H$1)/10,0)*10,[1]Hugst!$R$4:$W$4,0))))</f>
        <v>4589.1331531208689</v>
      </c>
      <c r="I215">
        <f ca="1">IF($C215-I$1&lt;År1,0,H214*(1-VLOOKUP($A215,[1]Hugst!$R$5:$W$9,MATCH(ROUNDUP((I$1)/10,0)*10,[1]Hugst!$R$4:$W$4,0))))</f>
        <v>4586.7573148762513</v>
      </c>
      <c r="J215">
        <f ca="1">IF($C215-J$1&lt;År1,0,I214*(1-VLOOKUP($A215,[1]Hugst!$R$5:$W$9,MATCH(ROUNDUP((J$1)/10,0)*10,[1]Hugst!$R$4:$W$4,0))))</f>
        <v>4584.4024006903801</v>
      </c>
      <c r="K215">
        <f ca="1">IF($C215-K$1&lt;År1,0,J214*(1-VLOOKUP($A215,[1]Hugst!$R$5:$W$9,MATCH(ROUNDUP((K$1)/10,0)*10,[1]Hugst!$R$4:$W$4,0))))</f>
        <v>4582.0685585111696</v>
      </c>
      <c r="L215">
        <f ca="1">IF($C215-L$1&lt;År1,0,K214*(1-VLOOKUP($A215,[1]Hugst!$R$5:$W$9,MATCH(ROUNDUP((L$1)/10,0)*10,[1]Hugst!$R$4:$W$4,0))))</f>
        <v>4579.7559370680192</v>
      </c>
      <c r="M215">
        <f ca="1">IF($C215-M$1&lt;År1,0,L214*(1-VLOOKUP($A215,[1]Hugst!$R$5:$W$9,MATCH(ROUNDUP((M$1)/10,0)*10,[1]Hugst!$R$4:$W$4,0))))</f>
        <v>4577.4646858753858</v>
      </c>
      <c r="N215">
        <f ca="1">IF($C215-N$1&lt;År1,0,M214*(1-VLOOKUP($A215,[1]Hugst!$R$5:$W$9,MATCH(ROUNDUP((N$1)/10,0)*10,[1]Hugst!$R$4:$W$4,0))))</f>
        <v>4578.0887180917653</v>
      </c>
      <c r="O215">
        <f ca="1">IF($C215-O$1&lt;År1,0,N214*(1-VLOOKUP($A215,[1]Hugst!$R$5:$W$9,MATCH(ROUNDUP((O$1)/10,0)*10,[1]Hugst!$R$4:$W$4,0))))</f>
        <v>4575.5941446545203</v>
      </c>
      <c r="P215">
        <f ca="1">IF($C215-P$1&lt;År1,0,O214*(1-VLOOKUP($A215,[1]Hugst!$R$5:$W$9,MATCH(ROUNDUP((P$1)/10,0)*10,[1]Hugst!$R$4:$W$4,0))))</f>
        <v>4563.0578694348605</v>
      </c>
      <c r="Q215">
        <f ca="1">IF($C215-Q$1&lt;År1,0,P214*(1-VLOOKUP($A215,[1]Hugst!$R$5:$W$9,MATCH(ROUNDUP((Q$1)/10,0)*10,[1]Hugst!$R$4:$W$4,0))))</f>
        <v>4550.5514046750104</v>
      </c>
      <c r="R215">
        <f ca="1">IF($C215-R$1&lt;År1,0,Q214*(1-VLOOKUP($A215,[1]Hugst!$R$5:$W$9,MATCH(ROUNDUP((R$1)/10,0)*10,[1]Hugst!$R$4:$W$4,0))))</f>
        <v>4538.074691397901</v>
      </c>
      <c r="S215">
        <f ca="1">IF($C215-S$1&lt;År1,0,R214*(1-VLOOKUP($A215,[1]Hugst!$R$5:$W$9,MATCH(ROUNDUP((S$1)/10,0)*10,[1]Hugst!$R$4:$W$4,0))))</f>
        <v>4525.6276707741135</v>
      </c>
      <c r="T215">
        <f ca="1">IF($C215-T$1&lt;År1,0,S214*(1-VLOOKUP($A215,[1]Hugst!$R$5:$W$9,MATCH(ROUNDUP((T$1)/10,0)*10,[1]Hugst!$R$4:$W$4,0))))</f>
        <v>4513.2102841217056</v>
      </c>
      <c r="U215">
        <f ca="1">IF($C215-U$1&lt;År1,0,T214*(1-VLOOKUP($A215,[1]Hugst!$R$5:$W$9,MATCH(ROUNDUP((U$1)/10,0)*10,[1]Hugst!$R$4:$W$4,0))))</f>
        <v>4500.8224729058311</v>
      </c>
      <c r="V215">
        <f ca="1">IF($C215-V$1&lt;År1,0,U214*(1-VLOOKUP($A215,[1]Hugst!$R$5:$W$9,MATCH(ROUNDUP((V$1)/10,0)*10,[1]Hugst!$R$4:$W$4,0))))</f>
        <v>4488.4641787384426</v>
      </c>
      <c r="W215">
        <f ca="1">IF($C215-W$1&lt;År1,0,V214*(1-VLOOKUP($A215,[1]Hugst!$R$5:$W$9,MATCH(ROUNDUP((W$1)/10,0)*10,[1]Hugst!$R$4:$W$4,0))))</f>
        <v>3183.6819537563188</v>
      </c>
      <c r="X215">
        <f ca="1">IF($C215-X$1&lt;År1,0,W214*(1-VLOOKUP($A215,[1]Hugst!$R$5:$W$9,MATCH(ROUNDUP((X$1)/10,0)*10,[1]Hugst!$R$4:$W$4,0))))</f>
        <v>3174.2196119145692</v>
      </c>
      <c r="Y215">
        <f ca="1">IF($C215-Y$1&lt;År1,0,X214*(1-VLOOKUP($A215,[1]Hugst!$R$5:$W$9,MATCH(ROUNDUP((Y$1)/10,0)*10,[1]Hugst!$R$4:$W$4,0))))</f>
        <v>3171.8516987321477</v>
      </c>
      <c r="Z215">
        <f ca="1">IF($C215-Z$1&lt;År1,0,Y214*(1-VLOOKUP($A215,[1]Hugst!$R$5:$W$9,MATCH(ROUNDUP((Z$1)/10,0)*10,[1]Hugst!$R$4:$W$4,0))))</f>
        <v>3172.6009500688451</v>
      </c>
      <c r="AA215">
        <f ca="1">IF($C215-AA$1&lt;År1,0,Z214*(1-VLOOKUP($A215,[1]Hugst!$R$5:$W$9,MATCH(ROUNDUP((AA$1)/10,0)*10,[1]Hugst!$R$4:$W$4,0))))</f>
        <v>3173.3668312875534</v>
      </c>
      <c r="AB215">
        <f ca="1">IF($C215-AB$1&lt;År1,0,AA214*(1-VLOOKUP($A215,[1]Hugst!$R$5:$W$9,MATCH(ROUNDUP((AB$1)/10,0)*10,[1]Hugst!$R$4:$W$4,0))))</f>
        <v>3174.1493887645906</v>
      </c>
      <c r="AC215">
        <f ca="1">IF($C215-AC$1&lt;År1,0,AB214*(1-VLOOKUP($A215,[1]Hugst!$R$5:$W$9,MATCH(ROUNDUP((AC$1)/10,0)*10,[1]Hugst!$R$4:$W$4,0))))</f>
        <v>3174.9486690729827</v>
      </c>
      <c r="AD215">
        <f ca="1">IF($C215-AD$1&lt;År1,0,AC214*(1-VLOOKUP($A215,[1]Hugst!$R$5:$W$9,MATCH(ROUNDUP((AD$1)/10,0)*10,[1]Hugst!$R$4:$W$4,0))))</f>
        <v>3175.7647189831669</v>
      </c>
      <c r="AE215">
        <f ca="1">IF($C215-AE$1&lt;År1,0,AD214*(1-VLOOKUP($A215,[1]Hugst!$R$5:$W$9,MATCH(ROUNDUP((AE$1)/10,0)*10,[1]Hugst!$R$4:$W$4,0))))</f>
        <v>3176.5975854637495</v>
      </c>
      <c r="AF215">
        <f ca="1">IF($C215-AF$1&lt;År1,0,AE214*(1-VLOOKUP($A215,[1]Hugst!$R$5:$W$9,MATCH(ROUNDUP((AF$1)/10,0)*10,[1]Hugst!$R$4:$W$4,0))))</f>
        <v>3177.4473156821746</v>
      </c>
      <c r="AG215">
        <f ca="1">IF($C215-AG$1&lt;År1,0,AF214*(1-VLOOKUP($A215,[1]Hugst!$R$5:$W$9,MATCH(ROUNDUP((AG$1)/10,0)*10,[1]Hugst!$R$4:$W$4,0))))</f>
        <v>3178.3139570056187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55000000000000004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128.38901076017646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4596.3847443644318</v>
      </c>
      <c r="G216">
        <f ca="1">IF($C216-G$1&lt;År1,0,F215*(1-VLOOKUP($A216,[1]Hugst!$R$5:$W$9,MATCH(ROUNDUP((G$1)/10,0)*10,[1]Hugst!$R$4:$W$4,0))))</f>
        <v>4593.9470138769921</v>
      </c>
      <c r="H216">
        <f ca="1">IF($C216-H$1&lt;År1,0,G215*(1-VLOOKUP($A216,[1]Hugst!$R$5:$W$9,MATCH(ROUNDUP((H$1)/10,0)*10,[1]Hugst!$R$4:$W$4,0))))</f>
        <v>4591.5297682534783</v>
      </c>
      <c r="I216">
        <f ca="1">IF($C216-I$1&lt;År1,0,H215*(1-VLOOKUP($A216,[1]Hugst!$R$5:$W$9,MATCH(ROUNDUP((I$1)/10,0)*10,[1]Hugst!$R$4:$W$4,0))))</f>
        <v>4589.1331531208689</v>
      </c>
      <c r="J216">
        <f ca="1">IF($C216-J$1&lt;År1,0,I215*(1-VLOOKUP($A216,[1]Hugst!$R$5:$W$9,MATCH(ROUNDUP((J$1)/10,0)*10,[1]Hugst!$R$4:$W$4,0))))</f>
        <v>4586.7573148762513</v>
      </c>
      <c r="K216">
        <f ca="1">IF($C216-K$1&lt;År1,0,J215*(1-VLOOKUP($A216,[1]Hugst!$R$5:$W$9,MATCH(ROUNDUP((K$1)/10,0)*10,[1]Hugst!$R$4:$W$4,0))))</f>
        <v>4584.4024006903801</v>
      </c>
      <c r="L216">
        <f ca="1">IF($C216-L$1&lt;År1,0,K215*(1-VLOOKUP($A216,[1]Hugst!$R$5:$W$9,MATCH(ROUNDUP((L$1)/10,0)*10,[1]Hugst!$R$4:$W$4,0))))</f>
        <v>4582.0685585111696</v>
      </c>
      <c r="M216">
        <f ca="1">IF($C216-M$1&lt;År1,0,L215*(1-VLOOKUP($A216,[1]Hugst!$R$5:$W$9,MATCH(ROUNDUP((M$1)/10,0)*10,[1]Hugst!$R$4:$W$4,0))))</f>
        <v>4579.7559370680192</v>
      </c>
      <c r="N216">
        <f ca="1">IF($C216-N$1&lt;År1,0,M215*(1-VLOOKUP($A216,[1]Hugst!$R$5:$W$9,MATCH(ROUNDUP((N$1)/10,0)*10,[1]Hugst!$R$4:$W$4,0))))</f>
        <v>4577.4646858753858</v>
      </c>
      <c r="O216">
        <f ca="1">IF($C216-O$1&lt;År1,0,N215*(1-VLOOKUP($A216,[1]Hugst!$R$5:$W$9,MATCH(ROUNDUP((O$1)/10,0)*10,[1]Hugst!$R$4:$W$4,0))))</f>
        <v>4578.0887180917653</v>
      </c>
      <c r="P216">
        <f ca="1">IF($C216-P$1&lt;År1,0,O215*(1-VLOOKUP($A216,[1]Hugst!$R$5:$W$9,MATCH(ROUNDUP((P$1)/10,0)*10,[1]Hugst!$R$4:$W$4,0))))</f>
        <v>4565.5501575077178</v>
      </c>
      <c r="Q216">
        <f ca="1">IF($C216-Q$1&lt;År1,0,P215*(1-VLOOKUP($A216,[1]Hugst!$R$5:$W$9,MATCH(ROUNDUP((Q$1)/10,0)*10,[1]Hugst!$R$4:$W$4,0))))</f>
        <v>4553.0414009409787</v>
      </c>
      <c r="R216">
        <f ca="1">IF($C216-R$1&lt;År1,0,Q215*(1-VLOOKUP($A216,[1]Hugst!$R$5:$W$9,MATCH(ROUNDUP((R$1)/10,0)*10,[1]Hugst!$R$4:$W$4,0))))</f>
        <v>4540.5623893964557</v>
      </c>
      <c r="S216">
        <f ca="1">IF($C216-S$1&lt;År1,0,R215*(1-VLOOKUP($A216,[1]Hugst!$R$5:$W$9,MATCH(ROUNDUP((S$1)/10,0)*10,[1]Hugst!$R$4:$W$4,0))))</f>
        <v>4528.1130640265401</v>
      </c>
      <c r="T216">
        <f ca="1">IF($C216-T$1&lt;År1,0,S215*(1-VLOOKUP($A216,[1]Hugst!$R$5:$W$9,MATCH(ROUNDUP((T$1)/10,0)*10,[1]Hugst!$R$4:$W$4,0))))</f>
        <v>4515.6933661309513</v>
      </c>
      <c r="U216">
        <f ca="1">IF($C216-U$1&lt;År1,0,T215*(1-VLOOKUP($A216,[1]Hugst!$R$5:$W$9,MATCH(ROUNDUP((U$1)/10,0)*10,[1]Hugst!$R$4:$W$4,0))))</f>
        <v>4503.3032371565605</v>
      </c>
      <c r="V216">
        <f ca="1">IF($C216-V$1&lt;År1,0,U215*(1-VLOOKUP($A216,[1]Hugst!$R$5:$W$9,MATCH(ROUNDUP((V$1)/10,0)*10,[1]Hugst!$R$4:$W$4,0))))</f>
        <v>4490.9426186970131</v>
      </c>
      <c r="W216">
        <f ca="1">IF($C216-W$1&lt;År1,0,V215*(1-VLOOKUP($A216,[1]Hugst!$R$5:$W$9,MATCH(ROUNDUP((W$1)/10,0)*10,[1]Hugst!$R$4:$W$4,0))))</f>
        <v>4478.6114524924315</v>
      </c>
      <c r="X216">
        <f ca="1">IF($C216-X$1&lt;År1,0,W215*(1-VLOOKUP($A216,[1]Hugst!$R$5:$W$9,MATCH(ROUNDUP((X$1)/10,0)*10,[1]Hugst!$R$4:$W$4,0))))</f>
        <v>3176.6933836139269</v>
      </c>
      <c r="Y216">
        <f ca="1">IF($C216-Y$1&lt;År1,0,X215*(1-VLOOKUP($A216,[1]Hugst!$R$5:$W$9,MATCH(ROUNDUP((Y$1)/10,0)*10,[1]Hugst!$R$4:$W$4,0))))</f>
        <v>3167.2518127664639</v>
      </c>
      <c r="Z216">
        <f ca="1">IF($C216-Z$1&lt;År1,0,Y215*(1-VLOOKUP($A216,[1]Hugst!$R$5:$W$9,MATCH(ROUNDUP((Z$1)/10,0)*10,[1]Hugst!$R$4:$W$4,0))))</f>
        <v>3167.9835869044255</v>
      </c>
      <c r="AA216">
        <f ca="1">IF($C216-AA$1&lt;År1,0,Z215*(1-VLOOKUP($A216,[1]Hugst!$R$5:$W$9,MATCH(ROUNDUP((AA$1)/10,0)*10,[1]Hugst!$R$4:$W$4,0))))</f>
        <v>3168.7319245199806</v>
      </c>
      <c r="AB216">
        <f ca="1">IF($C216-AB$1&lt;År1,0,AA215*(1-VLOOKUP($A216,[1]Hugst!$R$5:$W$9,MATCH(ROUNDUP((AB$1)/10,0)*10,[1]Hugst!$R$4:$W$4,0))))</f>
        <v>3169.4968717372026</v>
      </c>
      <c r="AC216">
        <f ca="1">IF($C216-AC$1&lt;År1,0,AB215*(1-VLOOKUP($A216,[1]Hugst!$R$5:$W$9,MATCH(ROUNDUP((AC$1)/10,0)*10,[1]Hugst!$R$4:$W$4,0))))</f>
        <v>3170.2784748758531</v>
      </c>
      <c r="AD216">
        <f ca="1">IF($C216-AD$1&lt;År1,0,AC215*(1-VLOOKUP($A216,[1]Hugst!$R$5:$W$9,MATCH(ROUNDUP((AD$1)/10,0)*10,[1]Hugst!$R$4:$W$4,0))))</f>
        <v>3171.076780452162</v>
      </c>
      <c r="AE216">
        <f ca="1">IF($C216-AE$1&lt;År1,0,AD215*(1-VLOOKUP($A216,[1]Hugst!$R$5:$W$9,MATCH(ROUNDUP((AE$1)/10,0)*10,[1]Hugst!$R$4:$W$4,0))))</f>
        <v>3171.8918351795287</v>
      </c>
      <c r="AF216">
        <f ca="1">IF($C216-AF$1&lt;År1,0,AE215*(1-VLOOKUP($A216,[1]Hugst!$R$5:$W$9,MATCH(ROUNDUP((AF$1)/10,0)*10,[1]Hugst!$R$4:$W$4,0))))</f>
        <v>3172.7236859692816</v>
      </c>
      <c r="AG216">
        <f ca="1">IF($C216-AG$1&lt;År1,0,AF215*(1-VLOOKUP($A216,[1]Hugst!$R$5:$W$9,MATCH(ROUNDUP((AG$1)/10,0)*10,[1]Hugst!$R$4:$W$4,0))))</f>
        <v>3173.5723799313428</v>
      </c>
      <c r="AH216">
        <f ca="1">IF($C216-AH$1&lt;År1,0,AG215*(1-VLOOKUP($A216,[1]Hugst!$R$5:$W$9,MATCH(ROUNDUP((AH$1)/10,0)*10,[1]Hugst!$R$4:$W$4,0))))</f>
        <v>3174.437964375124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55000000000000004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135.10064016490651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4598.8428148542316</v>
      </c>
      <c r="G217">
        <f ca="1">IF($C217-G$1&lt;År1,0,F216*(1-VLOOKUP($A217,[1]Hugst!$R$5:$W$9,MATCH(ROUNDUP((G$1)/10,0)*10,[1]Hugst!$R$4:$W$4,0))))</f>
        <v>4596.3847443644318</v>
      </c>
      <c r="H217">
        <f ca="1">IF($C217-H$1&lt;År1,0,G216*(1-VLOOKUP($A217,[1]Hugst!$R$5:$W$9,MATCH(ROUNDUP((H$1)/10,0)*10,[1]Hugst!$R$4:$W$4,0))))</f>
        <v>4593.9470138769921</v>
      </c>
      <c r="I217">
        <f ca="1">IF($C217-I$1&lt;År1,0,H216*(1-VLOOKUP($A217,[1]Hugst!$R$5:$W$9,MATCH(ROUNDUP((I$1)/10,0)*10,[1]Hugst!$R$4:$W$4,0))))</f>
        <v>4591.5297682534783</v>
      </c>
      <c r="J217">
        <f ca="1">IF($C217-J$1&lt;År1,0,I216*(1-VLOOKUP($A217,[1]Hugst!$R$5:$W$9,MATCH(ROUNDUP((J$1)/10,0)*10,[1]Hugst!$R$4:$W$4,0))))</f>
        <v>4589.1331531208689</v>
      </c>
      <c r="K217">
        <f ca="1">IF($C217-K$1&lt;År1,0,J216*(1-VLOOKUP($A217,[1]Hugst!$R$5:$W$9,MATCH(ROUNDUP((K$1)/10,0)*10,[1]Hugst!$R$4:$W$4,0))))</f>
        <v>4586.7573148762513</v>
      </c>
      <c r="L217">
        <f ca="1">IF($C217-L$1&lt;År1,0,K216*(1-VLOOKUP($A217,[1]Hugst!$R$5:$W$9,MATCH(ROUNDUP((L$1)/10,0)*10,[1]Hugst!$R$4:$W$4,0))))</f>
        <v>4584.4024006903801</v>
      </c>
      <c r="M217">
        <f ca="1">IF($C217-M$1&lt;År1,0,L216*(1-VLOOKUP($A217,[1]Hugst!$R$5:$W$9,MATCH(ROUNDUP((M$1)/10,0)*10,[1]Hugst!$R$4:$W$4,0))))</f>
        <v>4582.0685585111696</v>
      </c>
      <c r="N217">
        <f ca="1">IF($C217-N$1&lt;År1,0,M216*(1-VLOOKUP($A217,[1]Hugst!$R$5:$W$9,MATCH(ROUNDUP((N$1)/10,0)*10,[1]Hugst!$R$4:$W$4,0))))</f>
        <v>4579.7559370680192</v>
      </c>
      <c r="O217">
        <f ca="1">IF($C217-O$1&lt;År1,0,N216*(1-VLOOKUP($A217,[1]Hugst!$R$5:$W$9,MATCH(ROUNDUP((O$1)/10,0)*10,[1]Hugst!$R$4:$W$4,0))))</f>
        <v>4577.4646858753858</v>
      </c>
      <c r="P217">
        <f ca="1">IF($C217-P$1&lt;År1,0,O216*(1-VLOOKUP($A217,[1]Hugst!$R$5:$W$9,MATCH(ROUNDUP((P$1)/10,0)*10,[1]Hugst!$R$4:$W$4,0))))</f>
        <v>4568.0392550520519</v>
      </c>
      <c r="Q217">
        <f ca="1">IF($C217-Q$1&lt;År1,0,P216*(1-VLOOKUP($A217,[1]Hugst!$R$5:$W$9,MATCH(ROUNDUP((Q$1)/10,0)*10,[1]Hugst!$R$4:$W$4,0))))</f>
        <v>4555.5282181375787</v>
      </c>
      <c r="R217">
        <f ca="1">IF($C217-R$1&lt;År1,0,Q216*(1-VLOOKUP($A217,[1]Hugst!$R$5:$W$9,MATCH(ROUNDUP((R$1)/10,0)*10,[1]Hugst!$R$4:$W$4,0))))</f>
        <v>4543.0469198169621</v>
      </c>
      <c r="S217">
        <f ca="1">IF($C217-S$1&lt;År1,0,R216*(1-VLOOKUP($A217,[1]Hugst!$R$5:$W$9,MATCH(ROUNDUP((S$1)/10,0)*10,[1]Hugst!$R$4:$W$4,0))))</f>
        <v>4530.59530122461</v>
      </c>
      <c r="T217">
        <f ca="1">IF($C217-T$1&lt;År1,0,S216*(1-VLOOKUP($A217,[1]Hugst!$R$5:$W$9,MATCH(ROUNDUP((T$1)/10,0)*10,[1]Hugst!$R$4:$W$4,0))))</f>
        <v>4518.1733036420919</v>
      </c>
      <c r="U217">
        <f ca="1">IF($C217-U$1&lt;År1,0,T216*(1-VLOOKUP($A217,[1]Hugst!$R$5:$W$9,MATCH(ROUNDUP((U$1)/10,0)*10,[1]Hugst!$R$4:$W$4,0))))</f>
        <v>4505.7808684979809</v>
      </c>
      <c r="V217">
        <f ca="1">IF($C217-V$1&lt;År1,0,U216*(1-VLOOKUP($A217,[1]Hugst!$R$5:$W$9,MATCH(ROUNDUP((V$1)/10,0)*10,[1]Hugst!$R$4:$W$4,0))))</f>
        <v>4493.4179373676807</v>
      </c>
      <c r="W217">
        <f ca="1">IF($C217-W$1&lt;År1,0,V216*(1-VLOOKUP($A217,[1]Hugst!$R$5:$W$9,MATCH(ROUNDUP((W$1)/10,0)*10,[1]Hugst!$R$4:$W$4,0))))</f>
        <v>4481.0844519730445</v>
      </c>
      <c r="X217">
        <f ca="1">IF($C217-X$1&lt;År1,0,W216*(1-VLOOKUP($A217,[1]Hugst!$R$5:$W$9,MATCH(ROUNDUP((X$1)/10,0)*10,[1]Hugst!$R$4:$W$4,0))))</f>
        <v>4468.7803541820822</v>
      </c>
      <c r="Y217">
        <f ca="1">IF($C217-Y$1&lt;År1,0,X216*(1-VLOOKUP($A217,[1]Hugst!$R$5:$W$9,MATCH(ROUNDUP((Y$1)/10,0)*10,[1]Hugst!$R$4:$W$4,0))))</f>
        <v>3169.7201542352623</v>
      </c>
      <c r="Z217">
        <f ca="1">IF($C217-Z$1&lt;År1,0,Y216*(1-VLOOKUP($A217,[1]Hugst!$R$5:$W$9,MATCH(ROUNDUP((Z$1)/10,0)*10,[1]Hugst!$R$4:$W$4,0))))</f>
        <v>3163.3893105557731</v>
      </c>
      <c r="AA217">
        <f ca="1">IF($C217-AA$1&lt;År1,0,Z216*(1-VLOOKUP($A217,[1]Hugst!$R$5:$W$9,MATCH(ROUNDUP((AA$1)/10,0)*10,[1]Hugst!$R$4:$W$4,0))))</f>
        <v>3164.1201922862492</v>
      </c>
      <c r="AB217">
        <f ca="1">IF($C217-AB$1&lt;År1,0,AA216*(1-VLOOKUP($A217,[1]Hugst!$R$5:$W$9,MATCH(ROUNDUP((AB$1)/10,0)*10,[1]Hugst!$R$4:$W$4,0))))</f>
        <v>3164.8676172949563</v>
      </c>
      <c r="AC217">
        <f ca="1">IF($C217-AC$1&lt;År1,0,AB216*(1-VLOOKUP($A217,[1]Hugst!$R$5:$W$9,MATCH(ROUNDUP((AC$1)/10,0)*10,[1]Hugst!$R$4:$W$4,0))))</f>
        <v>3165.6316316497182</v>
      </c>
      <c r="AD217">
        <f ca="1">IF($C217-AD$1&lt;År1,0,AC216*(1-VLOOKUP($A217,[1]Hugst!$R$5:$W$9,MATCH(ROUNDUP((AD$1)/10,0)*10,[1]Hugst!$R$4:$W$4,0))))</f>
        <v>3166.4122816138092</v>
      </c>
      <c r="AE217">
        <f ca="1">IF($C217-AE$1&lt;År1,0,AD216*(1-VLOOKUP($A217,[1]Hugst!$R$5:$W$9,MATCH(ROUNDUP((AE$1)/10,0)*10,[1]Hugst!$R$4:$W$4,0))))</f>
        <v>3167.2096136467326</v>
      </c>
      <c r="AF217">
        <f ca="1">IF($C217-AF$1&lt;År1,0,AE216*(1-VLOOKUP($A217,[1]Hugst!$R$5:$W$9,MATCH(ROUNDUP((AF$1)/10,0)*10,[1]Hugst!$R$4:$W$4,0))))</f>
        <v>3168.0236744049193</v>
      </c>
      <c r="AG217">
        <f ca="1">IF($C217-AG$1&lt;År1,0,AF216*(1-VLOOKUP($A217,[1]Hugst!$R$5:$W$9,MATCH(ROUNDUP((AG$1)/10,0)*10,[1]Hugst!$R$4:$W$4,0))))</f>
        <v>3168.8545107424898</v>
      </c>
      <c r="AH217">
        <f ca="1">IF($C217-AH$1&lt;År1,0,AG216*(1-VLOOKUP($A217,[1]Hugst!$R$5:$W$9,MATCH(ROUNDUP((AH$1)/10,0)*10,[1]Hugst!$R$4:$W$4,0))))</f>
        <v>3169.7021697119144</v>
      </c>
      <c r="AI217">
        <f ca="1">IF($C217-AI$1&lt;År1,0,AH216*(1-VLOOKUP($A217,[1]Hugst!$R$5:$W$9,MATCH(ROUNDUP((AI$1)/10,0)*10,[1]Hugst!$R$4:$W$4,0))))</f>
        <v>3170.5666985649104</v>
      </c>
      <c r="AJ217">
        <f>IF($C217-AJ$1&lt;År1,0,AI216*(1-VLOOKUP($A217,[1]Hugst!$R$5:$W$9,MATCH(ROUNDUP((AJ$1)/10,0)*10,[1]Hugst!$R$4:$W$4,0))))</f>
        <v>0</v>
      </c>
    </row>
    <row r="218" spans="1:36" x14ac:dyDescent="0.55000000000000004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140.05754045458161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4599.5674240235585</v>
      </c>
      <c r="G218">
        <f ca="1">IF($C218-G$1&lt;År1,0,F217*(1-VLOOKUP($A218,[1]Hugst!$R$5:$W$9,MATCH(ROUNDUP((G$1)/10,0)*10,[1]Hugst!$R$4:$W$4,0))))</f>
        <v>4598.8428148542316</v>
      </c>
      <c r="H218">
        <f ca="1">IF($C218-H$1&lt;År1,0,G217*(1-VLOOKUP($A218,[1]Hugst!$R$5:$W$9,MATCH(ROUNDUP((H$1)/10,0)*10,[1]Hugst!$R$4:$W$4,0))))</f>
        <v>4596.3847443644318</v>
      </c>
      <c r="I218">
        <f ca="1">IF($C218-I$1&lt;År1,0,H217*(1-VLOOKUP($A218,[1]Hugst!$R$5:$W$9,MATCH(ROUNDUP((I$1)/10,0)*10,[1]Hugst!$R$4:$W$4,0))))</f>
        <v>4593.9470138769921</v>
      </c>
      <c r="J218">
        <f ca="1">IF($C218-J$1&lt;År1,0,I217*(1-VLOOKUP($A218,[1]Hugst!$R$5:$W$9,MATCH(ROUNDUP((J$1)/10,0)*10,[1]Hugst!$R$4:$W$4,0))))</f>
        <v>4591.5297682534783</v>
      </c>
      <c r="K218">
        <f ca="1">IF($C218-K$1&lt;År1,0,J217*(1-VLOOKUP($A218,[1]Hugst!$R$5:$W$9,MATCH(ROUNDUP((K$1)/10,0)*10,[1]Hugst!$R$4:$W$4,0))))</f>
        <v>4589.1331531208689</v>
      </c>
      <c r="L218">
        <f ca="1">IF($C218-L$1&lt;År1,0,K217*(1-VLOOKUP($A218,[1]Hugst!$R$5:$W$9,MATCH(ROUNDUP((L$1)/10,0)*10,[1]Hugst!$R$4:$W$4,0))))</f>
        <v>4586.7573148762513</v>
      </c>
      <c r="M218">
        <f ca="1">IF($C218-M$1&lt;År1,0,L217*(1-VLOOKUP($A218,[1]Hugst!$R$5:$W$9,MATCH(ROUNDUP((M$1)/10,0)*10,[1]Hugst!$R$4:$W$4,0))))</f>
        <v>4584.4024006903801</v>
      </c>
      <c r="N218">
        <f ca="1">IF($C218-N$1&lt;År1,0,M217*(1-VLOOKUP($A218,[1]Hugst!$R$5:$W$9,MATCH(ROUNDUP((N$1)/10,0)*10,[1]Hugst!$R$4:$W$4,0))))</f>
        <v>4582.0685585111696</v>
      </c>
      <c r="O218">
        <f ca="1">IF($C218-O$1&lt;År1,0,N217*(1-VLOOKUP($A218,[1]Hugst!$R$5:$W$9,MATCH(ROUNDUP((O$1)/10,0)*10,[1]Hugst!$R$4:$W$4,0))))</f>
        <v>4579.7559370680192</v>
      </c>
      <c r="P218">
        <f ca="1">IF($C218-P$1&lt;År1,0,O217*(1-VLOOKUP($A218,[1]Hugst!$R$5:$W$9,MATCH(ROUNDUP((P$1)/10,0)*10,[1]Hugst!$R$4:$W$4,0))))</f>
        <v>4567.4165926624883</v>
      </c>
      <c r="Q218">
        <f ca="1">IF($C218-Q$1&lt;År1,0,P217*(1-VLOOKUP($A218,[1]Hugst!$R$5:$W$9,MATCH(ROUNDUP((Q$1)/10,0)*10,[1]Hugst!$R$4:$W$4,0))))</f>
        <v>4558.0118518092549</v>
      </c>
      <c r="R218">
        <f ca="1">IF($C218-R$1&lt;År1,0,Q217*(1-VLOOKUP($A218,[1]Hugst!$R$5:$W$9,MATCH(ROUNDUP((R$1)/10,0)*10,[1]Hugst!$R$4:$W$4,0))))</f>
        <v>4545.5282781465448</v>
      </c>
      <c r="S218">
        <f ca="1">IF($C218-S$1&lt;År1,0,R217*(1-VLOOKUP($A218,[1]Hugst!$R$5:$W$9,MATCH(ROUNDUP((S$1)/10,0)*10,[1]Hugst!$R$4:$W$4,0))))</f>
        <v>4533.0743777978514</v>
      </c>
      <c r="T218">
        <f ca="1">IF($C218-T$1&lt;År1,0,S217*(1-VLOOKUP($A218,[1]Hugst!$R$5:$W$9,MATCH(ROUNDUP((T$1)/10,0)*10,[1]Hugst!$R$4:$W$4,0))))</f>
        <v>4520.6500920267999</v>
      </c>
      <c r="U218">
        <f ca="1">IF($C218-U$1&lt;År1,0,T217*(1-VLOOKUP($A218,[1]Hugst!$R$5:$W$9,MATCH(ROUNDUP((U$1)/10,0)*10,[1]Hugst!$R$4:$W$4,0))))</f>
        <v>4508.2553622438536</v>
      </c>
      <c r="V218">
        <f ca="1">IF($C218-V$1&lt;År1,0,U217*(1-VLOOKUP($A218,[1]Hugst!$R$5:$W$9,MATCH(ROUNDUP((V$1)/10,0)*10,[1]Hugst!$R$4:$W$4,0))))</f>
        <v>4495.8901300061561</v>
      </c>
      <c r="W218">
        <f ca="1">IF($C218-W$1&lt;År1,0,V217*(1-VLOOKUP($A218,[1]Hugst!$R$5:$W$9,MATCH(ROUNDUP((W$1)/10,0)*10,[1]Hugst!$R$4:$W$4,0))))</f>
        <v>4483.5543370173609</v>
      </c>
      <c r="X218">
        <f ca="1">IF($C218-X$1&lt;År1,0,W217*(1-VLOOKUP($A218,[1]Hugst!$R$5:$W$9,MATCH(ROUNDUP((X$1)/10,0)*10,[1]Hugst!$R$4:$W$4,0))))</f>
        <v>4471.2479251272498</v>
      </c>
      <c r="Y218">
        <f ca="1">IF($C218-Y$1&lt;År1,0,X217*(1-VLOOKUP($A218,[1]Hugst!$R$5:$W$9,MATCH(ROUNDUP((Y$1)/10,0)*10,[1]Hugst!$R$4:$W$4,0))))</f>
        <v>4458.9708363314385</v>
      </c>
      <c r="Z218">
        <f ca="1">IF($C218-Z$1&lt;År1,0,Y217*(1-VLOOKUP($A218,[1]Hugst!$R$5:$W$9,MATCH(ROUNDUP((Z$1)/10,0)*10,[1]Hugst!$R$4:$W$4,0))))</f>
        <v>3165.8546418520486</v>
      </c>
      <c r="AA218">
        <f ca="1">IF($C218-AA$1&lt;År1,0,Z217*(1-VLOOKUP($A218,[1]Hugst!$R$5:$W$9,MATCH(ROUNDUP((AA$1)/10,0)*10,[1]Hugst!$R$4:$W$4,0))))</f>
        <v>3159.5315187136321</v>
      </c>
      <c r="AB218">
        <f ca="1">IF($C218-AB$1&lt;År1,0,AA217*(1-VLOOKUP($A218,[1]Hugst!$R$5:$W$9,MATCH(ROUNDUP((AB$1)/10,0)*10,[1]Hugst!$R$4:$W$4,0))))</f>
        <v>3160.2615091249245</v>
      </c>
      <c r="AC218">
        <f ca="1">IF($C218-AC$1&lt;År1,0,AB217*(1-VLOOKUP($A218,[1]Hugst!$R$5:$W$9,MATCH(ROUNDUP((AC$1)/10,0)*10,[1]Hugst!$R$4:$W$4,0))))</f>
        <v>3161.0080226397185</v>
      </c>
      <c r="AD218">
        <f ca="1">IF($C218-AD$1&lt;År1,0,AC217*(1-VLOOKUP($A218,[1]Hugst!$R$5:$W$9,MATCH(ROUNDUP((AD$1)/10,0)*10,[1]Hugst!$R$4:$W$4,0))))</f>
        <v>3161.7711052696577</v>
      </c>
      <c r="AE218">
        <f ca="1">IF($C218-AE$1&lt;År1,0,AD217*(1-VLOOKUP($A218,[1]Hugst!$R$5:$W$9,MATCH(ROUNDUP((AE$1)/10,0)*10,[1]Hugst!$R$4:$W$4,0))))</f>
        <v>3162.5508032215971</v>
      </c>
      <c r="AF218">
        <f ca="1">IF($C218-AF$1&lt;År1,0,AE217*(1-VLOOKUP($A218,[1]Hugst!$R$5:$W$9,MATCH(ROUNDUP((AF$1)/10,0)*10,[1]Hugst!$R$4:$W$4,0))))</f>
        <v>3163.347162898383</v>
      </c>
      <c r="AG218">
        <f ca="1">IF($C218-AG$1&lt;År1,0,AF217*(1-VLOOKUP($A218,[1]Hugst!$R$5:$W$9,MATCH(ROUNDUP((AG$1)/10,0)*10,[1]Hugst!$R$4:$W$4,0))))</f>
        <v>3164.1602308995475</v>
      </c>
      <c r="AH218">
        <f ca="1">IF($C218-AH$1&lt;År1,0,AG217*(1-VLOOKUP($A218,[1]Hugst!$R$5:$W$9,MATCH(ROUNDUP((AH$1)/10,0)*10,[1]Hugst!$R$4:$W$4,0))))</f>
        <v>3164.9900540220719</v>
      </c>
      <c r="AI218">
        <f ca="1">IF($C218-AI$1&lt;År1,0,AH217*(1-VLOOKUP($A218,[1]Hugst!$R$5:$W$9,MATCH(ROUNDUP((AI$1)/10,0)*10,[1]Hugst!$R$4:$W$4,0))))</f>
        <v>3165.8366792610464</v>
      </c>
      <c r="AJ218">
        <f ca="1">IF($C218-AJ$1&lt;År1,0,AI217*(1-VLOOKUP($A218,[1]Hugst!$R$5:$W$9,MATCH(ROUNDUP((AJ$1)/10,0)*10,[1]Hugst!$R$4:$W$4,0))))</f>
        <v>3168.4400989500195</v>
      </c>
    </row>
    <row r="219" spans="1:36" x14ac:dyDescent="0.55000000000000004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636.13450928862039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55000000000000004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634.70187265687969</v>
      </c>
      <c r="G220">
        <f ca="1">IF($C220-G$1&lt;År1,0,F219*(1-VLOOKUP($A220,[1]Hugst!$R$5:$W$9,MATCH(ROUNDUP((G$1)/10,0)*10,[1]Hugst!$R$4:$W$4,0))))</f>
        <v>636.13450928862039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55000000000000004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633.2763992082987</v>
      </c>
      <c r="G221">
        <f ca="1">IF($C221-G$1&lt;År1,0,F220*(1-VLOOKUP($A221,[1]Hugst!$R$5:$W$9,MATCH(ROUNDUP((G$1)/10,0)*10,[1]Hugst!$R$4:$W$4,0))))</f>
        <v>634.70187265687969</v>
      </c>
      <c r="H221">
        <f ca="1">IF($C221-H$1&lt;År1,0,G220*(1-VLOOKUP($A221,[1]Hugst!$R$5:$W$9,MATCH(ROUNDUP((H$1)/10,0)*10,[1]Hugst!$R$4:$W$4,0))))</f>
        <v>636.13450928862039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55000000000000004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631.85805312695265</v>
      </c>
      <c r="G222">
        <f ca="1">IF($C222-G$1&lt;År1,0,F221*(1-VLOOKUP($A222,[1]Hugst!$R$5:$W$9,MATCH(ROUNDUP((G$1)/10,0)*10,[1]Hugst!$R$4:$W$4,0))))</f>
        <v>633.2763992082987</v>
      </c>
      <c r="H222">
        <f ca="1">IF($C222-H$1&lt;År1,0,G221*(1-VLOOKUP($A222,[1]Hugst!$R$5:$W$9,MATCH(ROUNDUP((H$1)/10,0)*10,[1]Hugst!$R$4:$W$4,0))))</f>
        <v>634.70187265687969</v>
      </c>
      <c r="I222">
        <f ca="1">IF($C222-I$1&lt;År1,0,H221*(1-VLOOKUP($A222,[1]Hugst!$R$5:$W$9,MATCH(ROUNDUP((I$1)/10,0)*10,[1]Hugst!$R$4:$W$4,0))))</f>
        <v>636.13450928862039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55000000000000004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630.44679877602812</v>
      </c>
      <c r="G223">
        <f ca="1">IF($C223-G$1&lt;År1,0,F222*(1-VLOOKUP($A223,[1]Hugst!$R$5:$W$9,MATCH(ROUNDUP((G$1)/10,0)*10,[1]Hugst!$R$4:$W$4,0))))</f>
        <v>631.85805312695265</v>
      </c>
      <c r="H223">
        <f ca="1">IF($C223-H$1&lt;År1,0,G222*(1-VLOOKUP($A223,[1]Hugst!$R$5:$W$9,MATCH(ROUNDUP((H$1)/10,0)*10,[1]Hugst!$R$4:$W$4,0))))</f>
        <v>633.2763992082987</v>
      </c>
      <c r="I223">
        <f ca="1">IF($C223-I$1&lt;År1,0,H222*(1-VLOOKUP($A223,[1]Hugst!$R$5:$W$9,MATCH(ROUNDUP((I$1)/10,0)*10,[1]Hugst!$R$4:$W$4,0))))</f>
        <v>634.70187265687969</v>
      </c>
      <c r="J223">
        <f ca="1">IF($C223-J$1&lt;År1,0,I222*(1-VLOOKUP($A223,[1]Hugst!$R$5:$W$9,MATCH(ROUNDUP((J$1)/10,0)*10,[1]Hugst!$R$4:$W$4,0))))</f>
        <v>636.13450928862039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55000000000000004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629.04260069684574</v>
      </c>
      <c r="G224">
        <f ca="1">IF($C224-G$1&lt;År1,0,F223*(1-VLOOKUP($A224,[1]Hugst!$R$5:$W$9,MATCH(ROUNDUP((G$1)/10,0)*10,[1]Hugst!$R$4:$W$4,0))))</f>
        <v>630.44679877602812</v>
      </c>
      <c r="H224">
        <f ca="1">IF($C224-H$1&lt;År1,0,G223*(1-VLOOKUP($A224,[1]Hugst!$R$5:$W$9,MATCH(ROUNDUP((H$1)/10,0)*10,[1]Hugst!$R$4:$W$4,0))))</f>
        <v>631.85805312695265</v>
      </c>
      <c r="I224">
        <f ca="1">IF($C224-I$1&lt;År1,0,H223*(1-VLOOKUP($A224,[1]Hugst!$R$5:$W$9,MATCH(ROUNDUP((I$1)/10,0)*10,[1]Hugst!$R$4:$W$4,0))))</f>
        <v>633.2763992082987</v>
      </c>
      <c r="J224">
        <f ca="1">IF($C224-J$1&lt;År1,0,I223*(1-VLOOKUP($A224,[1]Hugst!$R$5:$W$9,MATCH(ROUNDUP((J$1)/10,0)*10,[1]Hugst!$R$4:$W$4,0))))</f>
        <v>634.70187265687969</v>
      </c>
      <c r="K224">
        <f ca="1">IF($C224-K$1&lt;År1,0,J223*(1-VLOOKUP($A224,[1]Hugst!$R$5:$W$9,MATCH(ROUNDUP((K$1)/10,0)*10,[1]Hugst!$R$4:$W$4,0))))</f>
        <v>636.13450928862039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55000000000000004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627.6454236080765</v>
      </c>
      <c r="G225">
        <f ca="1">IF($C225-G$1&lt;År1,0,F224*(1-VLOOKUP($A225,[1]Hugst!$R$5:$W$9,MATCH(ROUNDUP((G$1)/10,0)*10,[1]Hugst!$R$4:$W$4,0))))</f>
        <v>629.04260069684574</v>
      </c>
      <c r="H225">
        <f ca="1">IF($C225-H$1&lt;År1,0,G224*(1-VLOOKUP($A225,[1]Hugst!$R$5:$W$9,MATCH(ROUNDUP((H$1)/10,0)*10,[1]Hugst!$R$4:$W$4,0))))</f>
        <v>630.44679877602812</v>
      </c>
      <c r="I225">
        <f ca="1">IF($C225-I$1&lt;År1,0,H224*(1-VLOOKUP($A225,[1]Hugst!$R$5:$W$9,MATCH(ROUNDUP((I$1)/10,0)*10,[1]Hugst!$R$4:$W$4,0))))</f>
        <v>631.85805312695265</v>
      </c>
      <c r="J225">
        <f ca="1">IF($C225-J$1&lt;År1,0,I224*(1-VLOOKUP($A225,[1]Hugst!$R$5:$W$9,MATCH(ROUNDUP((J$1)/10,0)*10,[1]Hugst!$R$4:$W$4,0))))</f>
        <v>633.2763992082987</v>
      </c>
      <c r="K225">
        <f ca="1">IF($C225-K$1&lt;År1,0,J224*(1-VLOOKUP($A225,[1]Hugst!$R$5:$W$9,MATCH(ROUNDUP((K$1)/10,0)*10,[1]Hugst!$R$4:$W$4,0))))</f>
        <v>634.70187265687969</v>
      </c>
      <c r="L225">
        <f ca="1">IF($C225-L$1&lt;År1,0,K224*(1-VLOOKUP($A225,[1]Hugst!$R$5:$W$9,MATCH(ROUNDUP((L$1)/10,0)*10,[1]Hugst!$R$4:$W$4,0))))</f>
        <v>636.13450928862039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55000000000000004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626.25523240472512</v>
      </c>
      <c r="G226">
        <f ca="1">IF($C226-G$1&lt;År1,0,F225*(1-VLOOKUP($A226,[1]Hugst!$R$5:$W$9,MATCH(ROUNDUP((G$1)/10,0)*10,[1]Hugst!$R$4:$W$4,0))))</f>
        <v>627.6454236080765</v>
      </c>
      <c r="H226">
        <f ca="1">IF($C226-H$1&lt;År1,0,G225*(1-VLOOKUP($A226,[1]Hugst!$R$5:$W$9,MATCH(ROUNDUP((H$1)/10,0)*10,[1]Hugst!$R$4:$W$4,0))))</f>
        <v>629.04260069684574</v>
      </c>
      <c r="I226">
        <f ca="1">IF($C226-I$1&lt;År1,0,H225*(1-VLOOKUP($A226,[1]Hugst!$R$5:$W$9,MATCH(ROUNDUP((I$1)/10,0)*10,[1]Hugst!$R$4:$W$4,0))))</f>
        <v>630.44679877602812</v>
      </c>
      <c r="J226">
        <f ca="1">IF($C226-J$1&lt;År1,0,I225*(1-VLOOKUP($A226,[1]Hugst!$R$5:$W$9,MATCH(ROUNDUP((J$1)/10,0)*10,[1]Hugst!$R$4:$W$4,0))))</f>
        <v>631.85805312695265</v>
      </c>
      <c r="K226">
        <f ca="1">IF($C226-K$1&lt;År1,0,J225*(1-VLOOKUP($A226,[1]Hugst!$R$5:$W$9,MATCH(ROUNDUP((K$1)/10,0)*10,[1]Hugst!$R$4:$W$4,0))))</f>
        <v>633.2763992082987</v>
      </c>
      <c r="L226">
        <f ca="1">IF($C226-L$1&lt;År1,0,K225*(1-VLOOKUP($A226,[1]Hugst!$R$5:$W$9,MATCH(ROUNDUP((L$1)/10,0)*10,[1]Hugst!$R$4:$W$4,0))))</f>
        <v>634.70187265687969</v>
      </c>
      <c r="M226">
        <f ca="1">IF($C226-M$1&lt;År1,0,L225*(1-VLOOKUP($A226,[1]Hugst!$R$5:$W$9,MATCH(ROUNDUP((M$1)/10,0)*10,[1]Hugst!$R$4:$W$4,0))))</f>
        <v>636.13450928862039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55000000000000004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624.8719921574102</v>
      </c>
      <c r="G227">
        <f ca="1">IF($C227-G$1&lt;År1,0,F226*(1-VLOOKUP($A227,[1]Hugst!$R$5:$W$9,MATCH(ROUNDUP((G$1)/10,0)*10,[1]Hugst!$R$4:$W$4,0))))</f>
        <v>626.25523240472512</v>
      </c>
      <c r="H227">
        <f ca="1">IF($C227-H$1&lt;År1,0,G226*(1-VLOOKUP($A227,[1]Hugst!$R$5:$W$9,MATCH(ROUNDUP((H$1)/10,0)*10,[1]Hugst!$R$4:$W$4,0))))</f>
        <v>627.6454236080765</v>
      </c>
      <c r="I227">
        <f ca="1">IF($C227-I$1&lt;År1,0,H226*(1-VLOOKUP($A227,[1]Hugst!$R$5:$W$9,MATCH(ROUNDUP((I$1)/10,0)*10,[1]Hugst!$R$4:$W$4,0))))</f>
        <v>629.04260069684574</v>
      </c>
      <c r="J227">
        <f ca="1">IF($C227-J$1&lt;År1,0,I226*(1-VLOOKUP($A227,[1]Hugst!$R$5:$W$9,MATCH(ROUNDUP((J$1)/10,0)*10,[1]Hugst!$R$4:$W$4,0))))</f>
        <v>630.44679877602812</v>
      </c>
      <c r="K227">
        <f ca="1">IF($C227-K$1&lt;År1,0,J226*(1-VLOOKUP($A227,[1]Hugst!$R$5:$W$9,MATCH(ROUNDUP((K$1)/10,0)*10,[1]Hugst!$R$4:$W$4,0))))</f>
        <v>631.85805312695265</v>
      </c>
      <c r="L227">
        <f ca="1">IF($C227-L$1&lt;År1,0,K226*(1-VLOOKUP($A227,[1]Hugst!$R$5:$W$9,MATCH(ROUNDUP((L$1)/10,0)*10,[1]Hugst!$R$4:$W$4,0))))</f>
        <v>633.2763992082987</v>
      </c>
      <c r="M227">
        <f ca="1">IF($C227-M$1&lt;År1,0,L226*(1-VLOOKUP($A227,[1]Hugst!$R$5:$W$9,MATCH(ROUNDUP((M$1)/10,0)*10,[1]Hugst!$R$4:$W$4,0))))</f>
        <v>634.70187265687969</v>
      </c>
      <c r="N227">
        <f ca="1">IF($C227-N$1&lt;År1,0,M226*(1-VLOOKUP($A227,[1]Hugst!$R$5:$W$9,MATCH(ROUNDUP((N$1)/10,0)*10,[1]Hugst!$R$4:$W$4,0))))</f>
        <v>636.13450928862039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55000000000000004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623.49566811132399</v>
      </c>
      <c r="G228">
        <f ca="1">IF($C228-G$1&lt;År1,0,F227*(1-VLOOKUP($A228,[1]Hugst!$R$5:$W$9,MATCH(ROUNDUP((G$1)/10,0)*10,[1]Hugst!$R$4:$W$4,0))))</f>
        <v>624.8719921574102</v>
      </c>
      <c r="H228">
        <f ca="1">IF($C228-H$1&lt;År1,0,G227*(1-VLOOKUP($A228,[1]Hugst!$R$5:$W$9,MATCH(ROUNDUP((H$1)/10,0)*10,[1]Hugst!$R$4:$W$4,0))))</f>
        <v>626.25523240472512</v>
      </c>
      <c r="I228">
        <f ca="1">IF($C228-I$1&lt;År1,0,H227*(1-VLOOKUP($A228,[1]Hugst!$R$5:$W$9,MATCH(ROUNDUP((I$1)/10,0)*10,[1]Hugst!$R$4:$W$4,0))))</f>
        <v>627.6454236080765</v>
      </c>
      <c r="J228">
        <f ca="1">IF($C228-J$1&lt;År1,0,I227*(1-VLOOKUP($A228,[1]Hugst!$R$5:$W$9,MATCH(ROUNDUP((J$1)/10,0)*10,[1]Hugst!$R$4:$W$4,0))))</f>
        <v>629.04260069684574</v>
      </c>
      <c r="K228">
        <f ca="1">IF($C228-K$1&lt;År1,0,J227*(1-VLOOKUP($A228,[1]Hugst!$R$5:$W$9,MATCH(ROUNDUP((K$1)/10,0)*10,[1]Hugst!$R$4:$W$4,0))))</f>
        <v>630.44679877602812</v>
      </c>
      <c r="L228">
        <f ca="1">IF($C228-L$1&lt;År1,0,K227*(1-VLOOKUP($A228,[1]Hugst!$R$5:$W$9,MATCH(ROUNDUP((L$1)/10,0)*10,[1]Hugst!$R$4:$W$4,0))))</f>
        <v>631.85805312695265</v>
      </c>
      <c r="M228">
        <f ca="1">IF($C228-M$1&lt;År1,0,L227*(1-VLOOKUP($A228,[1]Hugst!$R$5:$W$9,MATCH(ROUNDUP((M$1)/10,0)*10,[1]Hugst!$R$4:$W$4,0))))</f>
        <v>633.2763992082987</v>
      </c>
      <c r="N228">
        <f ca="1">IF($C228-N$1&lt;År1,0,M227*(1-VLOOKUP($A228,[1]Hugst!$R$5:$W$9,MATCH(ROUNDUP((N$1)/10,0)*10,[1]Hugst!$R$4:$W$4,0))))</f>
        <v>634.70187265687969</v>
      </c>
      <c r="O228">
        <f ca="1">IF($C228-O$1&lt;År1,0,N227*(1-VLOOKUP($A228,[1]Hugst!$R$5:$W$9,MATCH(ROUNDUP((O$1)/10,0)*10,[1]Hugst!$R$4:$W$4,0))))</f>
        <v>636.13450928862039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55000000000000004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1.396392825267867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623.522618510744</v>
      </c>
      <c r="G229">
        <f ca="1">IF($C229-G$1&lt;År1,0,F228*(1-VLOOKUP($A229,[1]Hugst!$R$5:$W$9,MATCH(ROUNDUP((G$1)/10,0)*10,[1]Hugst!$R$4:$W$4,0))))</f>
        <v>623.49566811132399</v>
      </c>
      <c r="H229">
        <f ca="1">IF($C229-H$1&lt;År1,0,G228*(1-VLOOKUP($A229,[1]Hugst!$R$5:$W$9,MATCH(ROUNDUP((H$1)/10,0)*10,[1]Hugst!$R$4:$W$4,0))))</f>
        <v>624.8719921574102</v>
      </c>
      <c r="I229">
        <f ca="1">IF($C229-I$1&lt;År1,0,H228*(1-VLOOKUP($A229,[1]Hugst!$R$5:$W$9,MATCH(ROUNDUP((I$1)/10,0)*10,[1]Hugst!$R$4:$W$4,0))))</f>
        <v>626.25523240472512</v>
      </c>
      <c r="J229">
        <f ca="1">IF($C229-J$1&lt;År1,0,I228*(1-VLOOKUP($A229,[1]Hugst!$R$5:$W$9,MATCH(ROUNDUP((J$1)/10,0)*10,[1]Hugst!$R$4:$W$4,0))))</f>
        <v>627.6454236080765</v>
      </c>
      <c r="K229">
        <f ca="1">IF($C229-K$1&lt;År1,0,J228*(1-VLOOKUP($A229,[1]Hugst!$R$5:$W$9,MATCH(ROUNDUP((K$1)/10,0)*10,[1]Hugst!$R$4:$W$4,0))))</f>
        <v>629.04260069684574</v>
      </c>
      <c r="L229">
        <f ca="1">IF($C229-L$1&lt;År1,0,K228*(1-VLOOKUP($A229,[1]Hugst!$R$5:$W$9,MATCH(ROUNDUP((L$1)/10,0)*10,[1]Hugst!$R$4:$W$4,0))))</f>
        <v>630.44679877602812</v>
      </c>
      <c r="M229">
        <f ca="1">IF($C229-M$1&lt;År1,0,L228*(1-VLOOKUP($A229,[1]Hugst!$R$5:$W$9,MATCH(ROUNDUP((M$1)/10,0)*10,[1]Hugst!$R$4:$W$4,0))))</f>
        <v>631.85805312695265</v>
      </c>
      <c r="N229">
        <f ca="1">IF($C229-N$1&lt;År1,0,M228*(1-VLOOKUP($A229,[1]Hugst!$R$5:$W$9,MATCH(ROUNDUP((N$1)/10,0)*10,[1]Hugst!$R$4:$W$4,0))))</f>
        <v>633.2763992082987</v>
      </c>
      <c r="O229">
        <f ca="1">IF($C229-O$1&lt;År1,0,N228*(1-VLOOKUP($A229,[1]Hugst!$R$5:$W$9,MATCH(ROUNDUP((O$1)/10,0)*10,[1]Hugst!$R$4:$W$4,0))))</f>
        <v>634.70187265687969</v>
      </c>
      <c r="P229">
        <f ca="1">IF($C229-P$1&lt;År1,0,O228*(1-VLOOKUP($A229,[1]Hugst!$R$5:$W$9,MATCH(ROUNDUP((P$1)/10,0)*10,[1]Hugst!$R$4:$W$4,0))))</f>
        <v>634.73811646335264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55000000000000004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2.7865755858729244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823.32573916647709</v>
      </c>
      <c r="G230">
        <f ca="1">IF($C230-G$1&lt;År1,0,F229*(1-VLOOKUP($A230,[1]Hugst!$R$5:$W$9,MATCH(ROUNDUP((G$1)/10,0)*10,[1]Hugst!$R$4:$W$4,0))))</f>
        <v>623.522618510744</v>
      </c>
      <c r="H230">
        <f ca="1">IF($C230-H$1&lt;År1,0,G229*(1-VLOOKUP($A230,[1]Hugst!$R$5:$W$9,MATCH(ROUNDUP((H$1)/10,0)*10,[1]Hugst!$R$4:$W$4,0))))</f>
        <v>623.49566811132399</v>
      </c>
      <c r="I230">
        <f ca="1">IF($C230-I$1&lt;År1,0,H229*(1-VLOOKUP($A230,[1]Hugst!$R$5:$W$9,MATCH(ROUNDUP((I$1)/10,0)*10,[1]Hugst!$R$4:$W$4,0))))</f>
        <v>624.8719921574102</v>
      </c>
      <c r="J230">
        <f ca="1">IF($C230-J$1&lt;År1,0,I229*(1-VLOOKUP($A230,[1]Hugst!$R$5:$W$9,MATCH(ROUNDUP((J$1)/10,0)*10,[1]Hugst!$R$4:$W$4,0))))</f>
        <v>626.25523240472512</v>
      </c>
      <c r="K230">
        <f ca="1">IF($C230-K$1&lt;År1,0,J229*(1-VLOOKUP($A230,[1]Hugst!$R$5:$W$9,MATCH(ROUNDUP((K$1)/10,0)*10,[1]Hugst!$R$4:$W$4,0))))</f>
        <v>627.6454236080765</v>
      </c>
      <c r="L230">
        <f ca="1">IF($C230-L$1&lt;År1,0,K229*(1-VLOOKUP($A230,[1]Hugst!$R$5:$W$9,MATCH(ROUNDUP((L$1)/10,0)*10,[1]Hugst!$R$4:$W$4,0))))</f>
        <v>629.04260069684574</v>
      </c>
      <c r="M230">
        <f ca="1">IF($C230-M$1&lt;År1,0,L229*(1-VLOOKUP($A230,[1]Hugst!$R$5:$W$9,MATCH(ROUNDUP((M$1)/10,0)*10,[1]Hugst!$R$4:$W$4,0))))</f>
        <v>630.44679877602812</v>
      </c>
      <c r="N230">
        <f ca="1">IF($C230-N$1&lt;År1,0,M229*(1-VLOOKUP($A230,[1]Hugst!$R$5:$W$9,MATCH(ROUNDUP((N$1)/10,0)*10,[1]Hugst!$R$4:$W$4,0))))</f>
        <v>631.85805312695265</v>
      </c>
      <c r="O230">
        <f ca="1">IF($C230-O$1&lt;År1,0,N229*(1-VLOOKUP($A230,[1]Hugst!$R$5:$W$9,MATCH(ROUNDUP((O$1)/10,0)*10,[1]Hugst!$R$4:$W$4,0))))</f>
        <v>633.2763992082987</v>
      </c>
      <c r="P230">
        <f ca="1">IF($C230-P$1&lt;År1,0,O229*(1-VLOOKUP($A230,[1]Hugst!$R$5:$W$9,MATCH(ROUNDUP((P$1)/10,0)*10,[1]Hugst!$R$4:$W$4,0))))</f>
        <v>633.30862464373047</v>
      </c>
      <c r="Q230">
        <f ca="1">IF($C230-Q$1&lt;År1,0,P229*(1-VLOOKUP($A230,[1]Hugst!$R$5:$W$9,MATCH(ROUNDUP((Q$1)/10,0)*10,[1]Hugst!$R$4:$W$4,0))))</f>
        <v>633.34478889062825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55000000000000004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4.170577637727547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823.35395898068566</v>
      </c>
      <c r="G231">
        <f ca="1">IF($C231-G$1&lt;År1,0,F230*(1-VLOOKUP($A231,[1]Hugst!$R$5:$W$9,MATCH(ROUNDUP((G$1)/10,0)*10,[1]Hugst!$R$4:$W$4,0))))</f>
        <v>823.32573916647709</v>
      </c>
      <c r="H231">
        <f ca="1">IF($C231-H$1&lt;År1,0,G230*(1-VLOOKUP($A231,[1]Hugst!$R$5:$W$9,MATCH(ROUNDUP((H$1)/10,0)*10,[1]Hugst!$R$4:$W$4,0))))</f>
        <v>623.522618510744</v>
      </c>
      <c r="I231">
        <f ca="1">IF($C231-I$1&lt;År1,0,H230*(1-VLOOKUP($A231,[1]Hugst!$R$5:$W$9,MATCH(ROUNDUP((I$1)/10,0)*10,[1]Hugst!$R$4:$W$4,0))))</f>
        <v>623.49566811132399</v>
      </c>
      <c r="J231">
        <f ca="1">IF($C231-J$1&lt;År1,0,I230*(1-VLOOKUP($A231,[1]Hugst!$R$5:$W$9,MATCH(ROUNDUP((J$1)/10,0)*10,[1]Hugst!$R$4:$W$4,0))))</f>
        <v>624.8719921574102</v>
      </c>
      <c r="K231">
        <f ca="1">IF($C231-K$1&lt;År1,0,J230*(1-VLOOKUP($A231,[1]Hugst!$R$5:$W$9,MATCH(ROUNDUP((K$1)/10,0)*10,[1]Hugst!$R$4:$W$4,0))))</f>
        <v>626.25523240472512</v>
      </c>
      <c r="L231">
        <f ca="1">IF($C231-L$1&lt;År1,0,K230*(1-VLOOKUP($A231,[1]Hugst!$R$5:$W$9,MATCH(ROUNDUP((L$1)/10,0)*10,[1]Hugst!$R$4:$W$4,0))))</f>
        <v>627.6454236080765</v>
      </c>
      <c r="M231">
        <f ca="1">IF($C231-M$1&lt;År1,0,L230*(1-VLOOKUP($A231,[1]Hugst!$R$5:$W$9,MATCH(ROUNDUP((M$1)/10,0)*10,[1]Hugst!$R$4:$W$4,0))))</f>
        <v>629.04260069684574</v>
      </c>
      <c r="N231">
        <f ca="1">IF($C231-N$1&lt;År1,0,M230*(1-VLOOKUP($A231,[1]Hugst!$R$5:$W$9,MATCH(ROUNDUP((N$1)/10,0)*10,[1]Hugst!$R$4:$W$4,0))))</f>
        <v>630.44679877602812</v>
      </c>
      <c r="O231">
        <f ca="1">IF($C231-O$1&lt;År1,0,N230*(1-VLOOKUP($A231,[1]Hugst!$R$5:$W$9,MATCH(ROUNDUP((O$1)/10,0)*10,[1]Hugst!$R$4:$W$4,0))))</f>
        <v>631.85805312695265</v>
      </c>
      <c r="P231">
        <f ca="1">IF($C231-P$1&lt;År1,0,O230*(1-VLOOKUP($A231,[1]Hugst!$R$5:$W$9,MATCH(ROUNDUP((P$1)/10,0)*10,[1]Hugst!$R$4:$W$4,0))))</f>
        <v>631.88628028320727</v>
      </c>
      <c r="Q231">
        <f ca="1">IF($C231-Q$1&lt;År1,0,P230*(1-VLOOKUP($A231,[1]Hugst!$R$5:$W$9,MATCH(ROUNDUP((Q$1)/10,0)*10,[1]Hugst!$R$4:$W$4,0))))</f>
        <v>631.91843497987838</v>
      </c>
      <c r="R231">
        <f ca="1">IF($C231-R$1&lt;År1,0,Q230*(1-VLOOKUP($A231,[1]Hugst!$R$5:$W$9,MATCH(ROUNDUP((R$1)/10,0)*10,[1]Hugst!$R$4:$W$4,0))))</f>
        <v>631.95451984184399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55000000000000004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5.5484281936787738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823.38280621016531</v>
      </c>
      <c r="G232">
        <f ca="1">IF($C232-G$1&lt;År1,0,F231*(1-VLOOKUP($A232,[1]Hugst!$R$5:$W$9,MATCH(ROUNDUP((G$1)/10,0)*10,[1]Hugst!$R$4:$W$4,0))))</f>
        <v>823.35395898068566</v>
      </c>
      <c r="H232">
        <f ca="1">IF($C232-H$1&lt;År1,0,G231*(1-VLOOKUP($A232,[1]Hugst!$R$5:$W$9,MATCH(ROUNDUP((H$1)/10,0)*10,[1]Hugst!$R$4:$W$4,0))))</f>
        <v>823.32573916647709</v>
      </c>
      <c r="I232">
        <f ca="1">IF($C232-I$1&lt;År1,0,H231*(1-VLOOKUP($A232,[1]Hugst!$R$5:$W$9,MATCH(ROUNDUP((I$1)/10,0)*10,[1]Hugst!$R$4:$W$4,0))))</f>
        <v>623.522618510744</v>
      </c>
      <c r="J232">
        <f ca="1">IF($C232-J$1&lt;År1,0,I231*(1-VLOOKUP($A232,[1]Hugst!$R$5:$W$9,MATCH(ROUNDUP((J$1)/10,0)*10,[1]Hugst!$R$4:$W$4,0))))</f>
        <v>623.49566811132399</v>
      </c>
      <c r="K232">
        <f ca="1">IF($C232-K$1&lt;År1,0,J231*(1-VLOOKUP($A232,[1]Hugst!$R$5:$W$9,MATCH(ROUNDUP((K$1)/10,0)*10,[1]Hugst!$R$4:$W$4,0))))</f>
        <v>624.8719921574102</v>
      </c>
      <c r="L232">
        <f ca="1">IF($C232-L$1&lt;År1,0,K231*(1-VLOOKUP($A232,[1]Hugst!$R$5:$W$9,MATCH(ROUNDUP((L$1)/10,0)*10,[1]Hugst!$R$4:$W$4,0))))</f>
        <v>626.25523240472512</v>
      </c>
      <c r="M232">
        <f ca="1">IF($C232-M$1&lt;År1,0,L231*(1-VLOOKUP($A232,[1]Hugst!$R$5:$W$9,MATCH(ROUNDUP((M$1)/10,0)*10,[1]Hugst!$R$4:$W$4,0))))</f>
        <v>627.6454236080765</v>
      </c>
      <c r="N232">
        <f ca="1">IF($C232-N$1&lt;År1,0,M231*(1-VLOOKUP($A232,[1]Hugst!$R$5:$W$9,MATCH(ROUNDUP((N$1)/10,0)*10,[1]Hugst!$R$4:$W$4,0))))</f>
        <v>629.04260069684574</v>
      </c>
      <c r="O232">
        <f ca="1">IF($C232-O$1&lt;År1,0,N231*(1-VLOOKUP($A232,[1]Hugst!$R$5:$W$9,MATCH(ROUNDUP((O$1)/10,0)*10,[1]Hugst!$R$4:$W$4,0))))</f>
        <v>630.44679877602812</v>
      </c>
      <c r="P232">
        <f ca="1">IF($C232-P$1&lt;År1,0,O231*(1-VLOOKUP($A232,[1]Hugst!$R$5:$W$9,MATCH(ROUNDUP((P$1)/10,0)*10,[1]Hugst!$R$4:$W$4,0))))</f>
        <v>630.47104764447886</v>
      </c>
      <c r="Q232">
        <f ca="1">IF($C232-Q$1&lt;År1,0,P231*(1-VLOOKUP($A232,[1]Hugst!$R$5:$W$9,MATCH(ROUNDUP((Q$1)/10,0)*10,[1]Hugst!$R$4:$W$4,0))))</f>
        <v>630.49921283868321</v>
      </c>
      <c r="R232">
        <f ca="1">IF($C232-R$1&lt;År1,0,Q231*(1-VLOOKUP($A232,[1]Hugst!$R$5:$W$9,MATCH(ROUNDUP((R$1)/10,0)*10,[1]Hugst!$R$4:$W$4,0))))</f>
        <v>630.53129695187374</v>
      </c>
      <c r="S232">
        <f ca="1">IF($C232-S$1&lt;År1,0,R231*(1-VLOOKUP($A232,[1]Hugst!$R$5:$W$9,MATCH(ROUNDUP((S$1)/10,0)*10,[1]Hugst!$R$4:$W$4,0))))</f>
        <v>630.56730260316681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55000000000000004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6.9201563242258999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823.41227603087793</v>
      </c>
      <c r="G233">
        <f ca="1">IF($C233-G$1&lt;År1,0,F232*(1-VLOOKUP($A233,[1]Hugst!$R$5:$W$9,MATCH(ROUNDUP((G$1)/10,0)*10,[1]Hugst!$R$4:$W$4,0))))</f>
        <v>823.38280621016531</v>
      </c>
      <c r="H233">
        <f ca="1">IF($C233-H$1&lt;År1,0,G232*(1-VLOOKUP($A233,[1]Hugst!$R$5:$W$9,MATCH(ROUNDUP((H$1)/10,0)*10,[1]Hugst!$R$4:$W$4,0))))</f>
        <v>823.35395898068566</v>
      </c>
      <c r="I233">
        <f ca="1">IF($C233-I$1&lt;År1,0,H232*(1-VLOOKUP($A233,[1]Hugst!$R$5:$W$9,MATCH(ROUNDUP((I$1)/10,0)*10,[1]Hugst!$R$4:$W$4,0))))</f>
        <v>823.32573916647709</v>
      </c>
      <c r="J233">
        <f ca="1">IF($C233-J$1&lt;År1,0,I232*(1-VLOOKUP($A233,[1]Hugst!$R$5:$W$9,MATCH(ROUNDUP((J$1)/10,0)*10,[1]Hugst!$R$4:$W$4,0))))</f>
        <v>623.522618510744</v>
      </c>
      <c r="K233">
        <f ca="1">IF($C233-K$1&lt;År1,0,J232*(1-VLOOKUP($A233,[1]Hugst!$R$5:$W$9,MATCH(ROUNDUP((K$1)/10,0)*10,[1]Hugst!$R$4:$W$4,0))))</f>
        <v>623.49566811132399</v>
      </c>
      <c r="L233">
        <f ca="1">IF($C233-L$1&lt;År1,0,K232*(1-VLOOKUP($A233,[1]Hugst!$R$5:$W$9,MATCH(ROUNDUP((L$1)/10,0)*10,[1]Hugst!$R$4:$W$4,0))))</f>
        <v>624.8719921574102</v>
      </c>
      <c r="M233">
        <f ca="1">IF($C233-M$1&lt;År1,0,L232*(1-VLOOKUP($A233,[1]Hugst!$R$5:$W$9,MATCH(ROUNDUP((M$1)/10,0)*10,[1]Hugst!$R$4:$W$4,0))))</f>
        <v>626.25523240472512</v>
      </c>
      <c r="N233">
        <f ca="1">IF($C233-N$1&lt;År1,0,M232*(1-VLOOKUP($A233,[1]Hugst!$R$5:$W$9,MATCH(ROUNDUP((N$1)/10,0)*10,[1]Hugst!$R$4:$W$4,0))))</f>
        <v>627.6454236080765</v>
      </c>
      <c r="O233">
        <f ca="1">IF($C233-O$1&lt;År1,0,N232*(1-VLOOKUP($A233,[1]Hugst!$R$5:$W$9,MATCH(ROUNDUP((O$1)/10,0)*10,[1]Hugst!$R$4:$W$4,0))))</f>
        <v>629.04260069684574</v>
      </c>
      <c r="P233">
        <f ca="1">IF($C233-P$1&lt;År1,0,O232*(1-VLOOKUP($A233,[1]Hugst!$R$5:$W$9,MATCH(ROUNDUP((P$1)/10,0)*10,[1]Hugst!$R$4:$W$4,0))))</f>
        <v>629.0628911689588</v>
      </c>
      <c r="Q233">
        <f ca="1">IF($C233-Q$1&lt;År1,0,P232*(1-VLOOKUP($A233,[1]Hugst!$R$5:$W$9,MATCH(ROUNDUP((Q$1)/10,0)*10,[1]Hugst!$R$4:$W$4,0))))</f>
        <v>629.08708680818609</v>
      </c>
      <c r="R233">
        <f ca="1">IF($C233-R$1&lt;År1,0,Q232*(1-VLOOKUP($A233,[1]Hugst!$R$5:$W$9,MATCH(ROUNDUP((R$1)/10,0)*10,[1]Hugst!$R$4:$W$4,0))))</f>
        <v>629.11519017635442</v>
      </c>
      <c r="S233">
        <f ca="1">IF($C233-S$1&lt;År1,0,R232*(1-VLOOKUP($A233,[1]Hugst!$R$5:$W$9,MATCH(ROUNDUP((S$1)/10,0)*10,[1]Hugst!$R$4:$W$4,0))))</f>
        <v>629.14720386100373</v>
      </c>
      <c r="T233">
        <f ca="1">IF($C233-T$1&lt;År1,0,S232*(1-VLOOKUP($A233,[1]Hugst!$R$5:$W$9,MATCH(ROUNDUP((T$1)/10,0)*10,[1]Hugst!$R$4:$W$4,0))))</f>
        <v>629.18313047550134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55000000000000004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8.2857909582180582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823.44236364658911</v>
      </c>
      <c r="G234">
        <f ca="1">IF($C234-G$1&lt;År1,0,F233*(1-VLOOKUP($A234,[1]Hugst!$R$5:$W$9,MATCH(ROUNDUP((G$1)/10,0)*10,[1]Hugst!$R$4:$W$4,0))))</f>
        <v>823.41227603087793</v>
      </c>
      <c r="H234">
        <f ca="1">IF($C234-H$1&lt;År1,0,G233*(1-VLOOKUP($A234,[1]Hugst!$R$5:$W$9,MATCH(ROUNDUP((H$1)/10,0)*10,[1]Hugst!$R$4:$W$4,0))))</f>
        <v>823.38280621016531</v>
      </c>
      <c r="I234">
        <f ca="1">IF($C234-I$1&lt;År1,0,H233*(1-VLOOKUP($A234,[1]Hugst!$R$5:$W$9,MATCH(ROUNDUP((I$1)/10,0)*10,[1]Hugst!$R$4:$W$4,0))))</f>
        <v>823.35395898068566</v>
      </c>
      <c r="J234">
        <f ca="1">IF($C234-J$1&lt;År1,0,I233*(1-VLOOKUP($A234,[1]Hugst!$R$5:$W$9,MATCH(ROUNDUP((J$1)/10,0)*10,[1]Hugst!$R$4:$W$4,0))))</f>
        <v>823.32573916647709</v>
      </c>
      <c r="K234">
        <f ca="1">IF($C234-K$1&lt;År1,0,J233*(1-VLOOKUP($A234,[1]Hugst!$R$5:$W$9,MATCH(ROUNDUP((K$1)/10,0)*10,[1]Hugst!$R$4:$W$4,0))))</f>
        <v>623.522618510744</v>
      </c>
      <c r="L234">
        <f ca="1">IF($C234-L$1&lt;År1,0,K233*(1-VLOOKUP($A234,[1]Hugst!$R$5:$W$9,MATCH(ROUNDUP((L$1)/10,0)*10,[1]Hugst!$R$4:$W$4,0))))</f>
        <v>623.49566811132399</v>
      </c>
      <c r="M234">
        <f ca="1">IF($C234-M$1&lt;År1,0,L233*(1-VLOOKUP($A234,[1]Hugst!$R$5:$W$9,MATCH(ROUNDUP((M$1)/10,0)*10,[1]Hugst!$R$4:$W$4,0))))</f>
        <v>624.8719921574102</v>
      </c>
      <c r="N234">
        <f ca="1">IF($C234-N$1&lt;År1,0,M233*(1-VLOOKUP($A234,[1]Hugst!$R$5:$W$9,MATCH(ROUNDUP((N$1)/10,0)*10,[1]Hugst!$R$4:$W$4,0))))</f>
        <v>626.25523240472512</v>
      </c>
      <c r="O234">
        <f ca="1">IF($C234-O$1&lt;År1,0,N233*(1-VLOOKUP($A234,[1]Hugst!$R$5:$W$9,MATCH(ROUNDUP((O$1)/10,0)*10,[1]Hugst!$R$4:$W$4,0))))</f>
        <v>627.6454236080765</v>
      </c>
      <c r="P234">
        <f ca="1">IF($C234-P$1&lt;År1,0,O233*(1-VLOOKUP($A234,[1]Hugst!$R$5:$W$9,MATCH(ROUNDUP((P$1)/10,0)*10,[1]Hugst!$R$4:$W$4,0))))</f>
        <v>627.66177547580389</v>
      </c>
      <c r="Q234">
        <f ca="1">IF($C234-Q$1&lt;År1,0,P233*(1-VLOOKUP($A234,[1]Hugst!$R$5:$W$9,MATCH(ROUNDUP((Q$1)/10,0)*10,[1]Hugst!$R$4:$W$4,0))))</f>
        <v>627.68202140785615</v>
      </c>
      <c r="R234">
        <f ca="1">IF($C234-R$1&lt;År1,0,Q233*(1-VLOOKUP($A234,[1]Hugst!$R$5:$W$9,MATCH(ROUNDUP((R$1)/10,0)*10,[1]Hugst!$R$4:$W$4,0))))</f>
        <v>627.7061639347047</v>
      </c>
      <c r="S234">
        <f ca="1">IF($C234-S$1&lt;År1,0,R233*(1-VLOOKUP($A234,[1]Hugst!$R$5:$W$9,MATCH(ROUNDUP((S$1)/10,0)*10,[1]Hugst!$R$4:$W$4,0))))</f>
        <v>627.73420561255261</v>
      </c>
      <c r="T234">
        <f ca="1">IF($C234-T$1&lt;År1,0,S233*(1-VLOOKUP($A234,[1]Hugst!$R$5:$W$9,MATCH(ROUNDUP((T$1)/10,0)*10,[1]Hugst!$R$4:$W$4,0))))</f>
        <v>627.76614902326003</v>
      </c>
      <c r="U234">
        <f ca="1">IF($C234-U$1&lt;År1,0,T233*(1-VLOOKUP($A234,[1]Hugst!$R$5:$W$9,MATCH(ROUNDUP((U$1)/10,0)*10,[1]Hugst!$R$4:$W$4,0))))</f>
        <v>627.80199677445751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55000000000000004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9.6453608835417981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823.47306428871082</v>
      </c>
      <c r="G235">
        <f ca="1">IF($C235-G$1&lt;År1,0,F234*(1-VLOOKUP($A235,[1]Hugst!$R$5:$W$9,MATCH(ROUNDUP((G$1)/10,0)*10,[1]Hugst!$R$4:$W$4,0))))</f>
        <v>823.44236364658911</v>
      </c>
      <c r="H235">
        <f ca="1">IF($C235-H$1&lt;År1,0,G234*(1-VLOOKUP($A235,[1]Hugst!$R$5:$W$9,MATCH(ROUNDUP((H$1)/10,0)*10,[1]Hugst!$R$4:$W$4,0))))</f>
        <v>823.41227603087793</v>
      </c>
      <c r="I235">
        <f ca="1">IF($C235-I$1&lt;År1,0,H234*(1-VLOOKUP($A235,[1]Hugst!$R$5:$W$9,MATCH(ROUNDUP((I$1)/10,0)*10,[1]Hugst!$R$4:$W$4,0))))</f>
        <v>823.38280621016531</v>
      </c>
      <c r="J235">
        <f ca="1">IF($C235-J$1&lt;År1,0,I234*(1-VLOOKUP($A235,[1]Hugst!$R$5:$W$9,MATCH(ROUNDUP((J$1)/10,0)*10,[1]Hugst!$R$4:$W$4,0))))</f>
        <v>823.35395898068566</v>
      </c>
      <c r="K235">
        <f ca="1">IF($C235-K$1&lt;År1,0,J234*(1-VLOOKUP($A235,[1]Hugst!$R$5:$W$9,MATCH(ROUNDUP((K$1)/10,0)*10,[1]Hugst!$R$4:$W$4,0))))</f>
        <v>823.32573916647709</v>
      </c>
      <c r="L235">
        <f ca="1">IF($C235-L$1&lt;År1,0,K234*(1-VLOOKUP($A235,[1]Hugst!$R$5:$W$9,MATCH(ROUNDUP((L$1)/10,0)*10,[1]Hugst!$R$4:$W$4,0))))</f>
        <v>623.522618510744</v>
      </c>
      <c r="M235">
        <f ca="1">IF($C235-M$1&lt;År1,0,L234*(1-VLOOKUP($A235,[1]Hugst!$R$5:$W$9,MATCH(ROUNDUP((M$1)/10,0)*10,[1]Hugst!$R$4:$W$4,0))))</f>
        <v>623.49566811132399</v>
      </c>
      <c r="N235">
        <f ca="1">IF($C235-N$1&lt;År1,0,M234*(1-VLOOKUP($A235,[1]Hugst!$R$5:$W$9,MATCH(ROUNDUP((N$1)/10,0)*10,[1]Hugst!$R$4:$W$4,0))))</f>
        <v>624.8719921574102</v>
      </c>
      <c r="O235">
        <f ca="1">IF($C235-O$1&lt;År1,0,N234*(1-VLOOKUP($A235,[1]Hugst!$R$5:$W$9,MATCH(ROUNDUP((O$1)/10,0)*10,[1]Hugst!$R$4:$W$4,0))))</f>
        <v>626.25523240472512</v>
      </c>
      <c r="P235">
        <f ca="1">IF($C235-P$1&lt;År1,0,O234*(1-VLOOKUP($A235,[1]Hugst!$R$5:$W$9,MATCH(ROUNDUP((P$1)/10,0)*10,[1]Hugst!$R$4:$W$4,0))))</f>
        <v>626.26766536113189</v>
      </c>
      <c r="Q235">
        <f ca="1">IF($C235-Q$1&lt;År1,0,P234*(1-VLOOKUP($A235,[1]Hugst!$R$5:$W$9,MATCH(ROUNDUP((Q$1)/10,0)*10,[1]Hugst!$R$4:$W$4,0))))</f>
        <v>626.28398133451549</v>
      </c>
      <c r="R235">
        <f ca="1">IF($C235-R$1&lt;År1,0,Q234*(1-VLOOKUP($A235,[1]Hugst!$R$5:$W$9,MATCH(ROUNDUP((R$1)/10,0)*10,[1]Hugst!$R$4:$W$4,0))))</f>
        <v>626.30418282427797</v>
      </c>
      <c r="S235">
        <f ca="1">IF($C235-S$1&lt;År1,0,R234*(1-VLOOKUP($A235,[1]Hugst!$R$5:$W$9,MATCH(ROUNDUP((S$1)/10,0)*10,[1]Hugst!$R$4:$W$4,0))))</f>
        <v>626.3282723553358</v>
      </c>
      <c r="T235">
        <f ca="1">IF($C235-T$1&lt;År1,0,S234*(1-VLOOKUP($A235,[1]Hugst!$R$5:$W$9,MATCH(ROUNDUP((T$1)/10,0)*10,[1]Hugst!$R$4:$W$4,0))))</f>
        <v>626.35625247828114</v>
      </c>
      <c r="U235">
        <f ca="1">IF($C235-U$1&lt;År1,0,T234*(1-VLOOKUP($A235,[1]Hugst!$R$5:$W$9,MATCH(ROUNDUP((U$1)/10,0)*10,[1]Hugst!$R$4:$W$4,0))))</f>
        <v>626.3881257693065</v>
      </c>
      <c r="V235">
        <f ca="1">IF($C235-V$1&lt;År1,0,U234*(1-VLOOKUP($A235,[1]Hugst!$R$5:$W$9,MATCH(ROUNDUP((V$1)/10,0)*10,[1]Hugst!$R$4:$W$4,0))))</f>
        <v>626.42389483031843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55000000000000004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10.998894747859595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823.50437321625316</v>
      </c>
      <c r="G236">
        <f ca="1">IF($C236-G$1&lt;År1,0,F235*(1-VLOOKUP($A236,[1]Hugst!$R$5:$W$9,MATCH(ROUNDUP((G$1)/10,0)*10,[1]Hugst!$R$4:$W$4,0))))</f>
        <v>823.47306428871082</v>
      </c>
      <c r="H236">
        <f ca="1">IF($C236-H$1&lt;År1,0,G235*(1-VLOOKUP($A236,[1]Hugst!$R$5:$W$9,MATCH(ROUNDUP((H$1)/10,0)*10,[1]Hugst!$R$4:$W$4,0))))</f>
        <v>823.44236364658911</v>
      </c>
      <c r="I236">
        <f ca="1">IF($C236-I$1&lt;År1,0,H235*(1-VLOOKUP($A236,[1]Hugst!$R$5:$W$9,MATCH(ROUNDUP((I$1)/10,0)*10,[1]Hugst!$R$4:$W$4,0))))</f>
        <v>823.41227603087793</v>
      </c>
      <c r="J236">
        <f ca="1">IF($C236-J$1&lt;År1,0,I235*(1-VLOOKUP($A236,[1]Hugst!$R$5:$W$9,MATCH(ROUNDUP((J$1)/10,0)*10,[1]Hugst!$R$4:$W$4,0))))</f>
        <v>823.38280621016531</v>
      </c>
      <c r="K236">
        <f ca="1">IF($C236-K$1&lt;År1,0,J235*(1-VLOOKUP($A236,[1]Hugst!$R$5:$W$9,MATCH(ROUNDUP((K$1)/10,0)*10,[1]Hugst!$R$4:$W$4,0))))</f>
        <v>823.35395898068566</v>
      </c>
      <c r="L236">
        <f ca="1">IF($C236-L$1&lt;År1,0,K235*(1-VLOOKUP($A236,[1]Hugst!$R$5:$W$9,MATCH(ROUNDUP((L$1)/10,0)*10,[1]Hugst!$R$4:$W$4,0))))</f>
        <v>823.32573916647709</v>
      </c>
      <c r="M236">
        <f ca="1">IF($C236-M$1&lt;År1,0,L235*(1-VLOOKUP($A236,[1]Hugst!$R$5:$W$9,MATCH(ROUNDUP((M$1)/10,0)*10,[1]Hugst!$R$4:$W$4,0))))</f>
        <v>623.522618510744</v>
      </c>
      <c r="N236">
        <f ca="1">IF($C236-N$1&lt;År1,0,M235*(1-VLOOKUP($A236,[1]Hugst!$R$5:$W$9,MATCH(ROUNDUP((N$1)/10,0)*10,[1]Hugst!$R$4:$W$4,0))))</f>
        <v>623.49566811132399</v>
      </c>
      <c r="O236">
        <f ca="1">IF($C236-O$1&lt;År1,0,N235*(1-VLOOKUP($A236,[1]Hugst!$R$5:$W$9,MATCH(ROUNDUP((O$1)/10,0)*10,[1]Hugst!$R$4:$W$4,0))))</f>
        <v>624.8719921574102</v>
      </c>
      <c r="P236">
        <f ca="1">IF($C236-P$1&lt;År1,0,O235*(1-VLOOKUP($A236,[1]Hugst!$R$5:$W$9,MATCH(ROUNDUP((P$1)/10,0)*10,[1]Hugst!$R$4:$W$4,0))))</f>
        <v>624.88052579700741</v>
      </c>
      <c r="Q236">
        <f ca="1">IF($C236-Q$1&lt;År1,0,P235*(1-VLOOKUP($A236,[1]Hugst!$R$5:$W$9,MATCH(ROUNDUP((Q$1)/10,0)*10,[1]Hugst!$R$4:$W$4,0))))</f>
        <v>624.89293146155865</v>
      </c>
      <c r="R236">
        <f ca="1">IF($C236-R$1&lt;År1,0,Q235*(1-VLOOKUP($A236,[1]Hugst!$R$5:$W$9,MATCH(ROUNDUP((R$1)/10,0)*10,[1]Hugst!$R$4:$W$4,0))))</f>
        <v>624.90921161939093</v>
      </c>
      <c r="S236">
        <f ca="1">IF($C236-S$1&lt;År1,0,R235*(1-VLOOKUP($A236,[1]Hugst!$R$5:$W$9,MATCH(ROUNDUP((S$1)/10,0)*10,[1]Hugst!$R$4:$W$4,0))))</f>
        <v>624.92936876441979</v>
      </c>
      <c r="T236">
        <f ca="1">IF($C236-T$1&lt;År1,0,S235*(1-VLOOKUP($A236,[1]Hugst!$R$5:$W$9,MATCH(ROUNDUP((T$1)/10,0)*10,[1]Hugst!$R$4:$W$4,0))))</f>
        <v>624.95340541601922</v>
      </c>
      <c r="U236">
        <f ca="1">IF($C236-U$1&lt;År1,0,T235*(1-VLOOKUP($A236,[1]Hugst!$R$5:$W$9,MATCH(ROUNDUP((U$1)/10,0)*10,[1]Hugst!$R$4:$W$4,0))))</f>
        <v>624.98132411918243</v>
      </c>
      <c r="V236">
        <f ca="1">IF($C236-V$1&lt;År1,0,U235*(1-VLOOKUP($A236,[1]Hugst!$R$5:$W$9,MATCH(ROUNDUP((V$1)/10,0)*10,[1]Hugst!$R$4:$W$4,0))))</f>
        <v>625.01312744444704</v>
      </c>
      <c r="W236">
        <f ca="1">IF($C236-W$1&lt;År1,0,V235*(1-VLOOKUP($A236,[1]Hugst!$R$5:$W$9,MATCH(ROUNDUP((W$1)/10,0)*10,[1]Hugst!$R$4:$W$4,0))))</f>
        <v>625.04881798800795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55000000000000004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12.346421059244676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823.53628571554793</v>
      </c>
      <c r="G237">
        <f ca="1">IF($C237-G$1&lt;År1,0,F236*(1-VLOOKUP($A237,[1]Hugst!$R$5:$W$9,MATCH(ROUNDUP((G$1)/10,0)*10,[1]Hugst!$R$4:$W$4,0))))</f>
        <v>823.50437321625316</v>
      </c>
      <c r="H237">
        <f ca="1">IF($C237-H$1&lt;År1,0,G236*(1-VLOOKUP($A237,[1]Hugst!$R$5:$W$9,MATCH(ROUNDUP((H$1)/10,0)*10,[1]Hugst!$R$4:$W$4,0))))</f>
        <v>823.47306428871082</v>
      </c>
      <c r="I237">
        <f ca="1">IF($C237-I$1&lt;År1,0,H236*(1-VLOOKUP($A237,[1]Hugst!$R$5:$W$9,MATCH(ROUNDUP((I$1)/10,0)*10,[1]Hugst!$R$4:$W$4,0))))</f>
        <v>823.44236364658911</v>
      </c>
      <c r="J237">
        <f ca="1">IF($C237-J$1&lt;År1,0,I236*(1-VLOOKUP($A237,[1]Hugst!$R$5:$W$9,MATCH(ROUNDUP((J$1)/10,0)*10,[1]Hugst!$R$4:$W$4,0))))</f>
        <v>823.41227603087793</v>
      </c>
      <c r="K237">
        <f ca="1">IF($C237-K$1&lt;År1,0,J236*(1-VLOOKUP($A237,[1]Hugst!$R$5:$W$9,MATCH(ROUNDUP((K$1)/10,0)*10,[1]Hugst!$R$4:$W$4,0))))</f>
        <v>823.38280621016531</v>
      </c>
      <c r="L237">
        <f ca="1">IF($C237-L$1&lt;År1,0,K236*(1-VLOOKUP($A237,[1]Hugst!$R$5:$W$9,MATCH(ROUNDUP((L$1)/10,0)*10,[1]Hugst!$R$4:$W$4,0))))</f>
        <v>823.35395898068566</v>
      </c>
      <c r="M237">
        <f ca="1">IF($C237-M$1&lt;År1,0,L236*(1-VLOOKUP($A237,[1]Hugst!$R$5:$W$9,MATCH(ROUNDUP((M$1)/10,0)*10,[1]Hugst!$R$4:$W$4,0))))</f>
        <v>823.32573916647709</v>
      </c>
      <c r="N237">
        <f ca="1">IF($C237-N$1&lt;År1,0,M236*(1-VLOOKUP($A237,[1]Hugst!$R$5:$W$9,MATCH(ROUNDUP((N$1)/10,0)*10,[1]Hugst!$R$4:$W$4,0))))</f>
        <v>623.522618510744</v>
      </c>
      <c r="O237">
        <f ca="1">IF($C237-O$1&lt;År1,0,N236*(1-VLOOKUP($A237,[1]Hugst!$R$5:$W$9,MATCH(ROUNDUP((O$1)/10,0)*10,[1]Hugst!$R$4:$W$4,0))))</f>
        <v>623.49566811132399</v>
      </c>
      <c r="P237">
        <f ca="1">IF($C237-P$1&lt;År1,0,O236*(1-VLOOKUP($A237,[1]Hugst!$R$5:$W$9,MATCH(ROUNDUP((P$1)/10,0)*10,[1]Hugst!$R$4:$W$4,0))))</f>
        <v>623.5003219307232</v>
      </c>
      <c r="Q237">
        <f ca="1">IF($C237-Q$1&lt;År1,0,P236*(1-VLOOKUP($A237,[1]Hugst!$R$5:$W$9,MATCH(ROUNDUP((Q$1)/10,0)*10,[1]Hugst!$R$4:$W$4,0))))</f>
        <v>623.50883683794086</v>
      </c>
      <c r="R237">
        <f ca="1">IF($C237-R$1&lt;År1,0,Q236*(1-VLOOKUP($A237,[1]Hugst!$R$5:$W$9,MATCH(ROUNDUP((R$1)/10,0)*10,[1]Hugst!$R$4:$W$4,0))))</f>
        <v>623.52121527054544</v>
      </c>
      <c r="S237">
        <f ca="1">IF($C237-S$1&lt;År1,0,R236*(1-VLOOKUP($A237,[1]Hugst!$R$5:$W$9,MATCH(ROUNDUP((S$1)/10,0)*10,[1]Hugst!$R$4:$W$4,0))))</f>
        <v>623.53745969144597</v>
      </c>
      <c r="T237">
        <f ca="1">IF($C237-T$1&lt;År1,0,S236*(1-VLOOKUP($A237,[1]Hugst!$R$5:$W$9,MATCH(ROUNDUP((T$1)/10,0)*10,[1]Hugst!$R$4:$W$4,0))))</f>
        <v>623.55757258908329</v>
      </c>
      <c r="U237">
        <f ca="1">IF($C237-U$1&lt;År1,0,T236*(1-VLOOKUP($A237,[1]Hugst!$R$5:$W$9,MATCH(ROUNDUP((U$1)/10,0)*10,[1]Hugst!$R$4:$W$4,0))))</f>
        <v>623.58155647730109</v>
      </c>
      <c r="V237">
        <f ca="1">IF($C237-V$1&lt;År1,0,U236*(1-VLOOKUP($A237,[1]Hugst!$R$5:$W$9,MATCH(ROUNDUP((V$1)/10,0)*10,[1]Hugst!$R$4:$W$4,0))))</f>
        <v>623.60941389550612</v>
      </c>
      <c r="W237">
        <f ca="1">IF($C237-W$1&lt;År1,0,V236*(1-VLOOKUP($A237,[1]Hugst!$R$5:$W$9,MATCH(ROUNDUP((W$1)/10,0)*10,[1]Hugst!$R$4:$W$4,0))))</f>
        <v>623.64114740859338</v>
      </c>
      <c r="X237">
        <f ca="1">IF($C237-X$1&lt;År1,0,W236*(1-VLOOKUP($A237,[1]Hugst!$R$5:$W$9,MATCH(ROUNDUP((X$1)/10,0)*10,[1]Hugst!$R$4:$W$4,0))))</f>
        <v>623.67675960705867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55000000000000004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13.687968186919534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823.56879710017904</v>
      </c>
      <c r="G238">
        <f ca="1">IF($C238-G$1&lt;År1,0,F237*(1-VLOOKUP($A238,[1]Hugst!$R$5:$W$9,MATCH(ROUNDUP((G$1)/10,0)*10,[1]Hugst!$R$4:$W$4,0))))</f>
        <v>823.53628571554793</v>
      </c>
      <c r="H238">
        <f ca="1">IF($C238-H$1&lt;År1,0,G237*(1-VLOOKUP($A238,[1]Hugst!$R$5:$W$9,MATCH(ROUNDUP((H$1)/10,0)*10,[1]Hugst!$R$4:$W$4,0))))</f>
        <v>823.50437321625316</v>
      </c>
      <c r="I238">
        <f ca="1">IF($C238-I$1&lt;År1,0,H237*(1-VLOOKUP($A238,[1]Hugst!$R$5:$W$9,MATCH(ROUNDUP((I$1)/10,0)*10,[1]Hugst!$R$4:$W$4,0))))</f>
        <v>823.47306428871082</v>
      </c>
      <c r="J238">
        <f ca="1">IF($C238-J$1&lt;År1,0,I237*(1-VLOOKUP($A238,[1]Hugst!$R$5:$W$9,MATCH(ROUNDUP((J$1)/10,0)*10,[1]Hugst!$R$4:$W$4,0))))</f>
        <v>823.44236364658911</v>
      </c>
      <c r="K238">
        <f ca="1">IF($C238-K$1&lt;År1,0,J237*(1-VLOOKUP($A238,[1]Hugst!$R$5:$W$9,MATCH(ROUNDUP((K$1)/10,0)*10,[1]Hugst!$R$4:$W$4,0))))</f>
        <v>823.41227603087793</v>
      </c>
      <c r="L238">
        <f ca="1">IF($C238-L$1&lt;År1,0,K237*(1-VLOOKUP($A238,[1]Hugst!$R$5:$W$9,MATCH(ROUNDUP((L$1)/10,0)*10,[1]Hugst!$R$4:$W$4,0))))</f>
        <v>823.38280621016531</v>
      </c>
      <c r="M238">
        <f ca="1">IF($C238-M$1&lt;År1,0,L237*(1-VLOOKUP($A238,[1]Hugst!$R$5:$W$9,MATCH(ROUNDUP((M$1)/10,0)*10,[1]Hugst!$R$4:$W$4,0))))</f>
        <v>823.35395898068566</v>
      </c>
      <c r="N238">
        <f ca="1">IF($C238-N$1&lt;År1,0,M237*(1-VLOOKUP($A238,[1]Hugst!$R$5:$W$9,MATCH(ROUNDUP((N$1)/10,0)*10,[1]Hugst!$R$4:$W$4,0))))</f>
        <v>823.32573916647709</v>
      </c>
      <c r="O238">
        <f ca="1">IF($C238-O$1&lt;År1,0,N237*(1-VLOOKUP($A238,[1]Hugst!$R$5:$W$9,MATCH(ROUNDUP((O$1)/10,0)*10,[1]Hugst!$R$4:$W$4,0))))</f>
        <v>623.522618510744</v>
      </c>
      <c r="P238">
        <f ca="1">IF($C238-P$1&lt;År1,0,O237*(1-VLOOKUP($A238,[1]Hugst!$R$5:$W$9,MATCH(ROUNDUP((P$1)/10,0)*10,[1]Hugst!$R$4:$W$4,0))))</f>
        <v>622.12701908376255</v>
      </c>
      <c r="Q238">
        <f ca="1">IF($C238-Q$1&lt;År1,0,P237*(1-VLOOKUP($A238,[1]Hugst!$R$5:$W$9,MATCH(ROUNDUP((Q$1)/10,0)*10,[1]Hugst!$R$4:$W$4,0))))</f>
        <v>622.13166268746068</v>
      </c>
      <c r="R238">
        <f ca="1">IF($C238-R$1&lt;År1,0,Q237*(1-VLOOKUP($A238,[1]Hugst!$R$5:$W$9,MATCH(ROUNDUP((R$1)/10,0)*10,[1]Hugst!$R$4:$W$4,0))))</f>
        <v>622.14015890341852</v>
      </c>
      <c r="S238">
        <f ca="1">IF($C238-S$1&lt;År1,0,R237*(1-VLOOKUP($A238,[1]Hugst!$R$5:$W$9,MATCH(ROUNDUP((S$1)/10,0)*10,[1]Hugst!$R$4:$W$4,0))))</f>
        <v>622.152510163854</v>
      </c>
      <c r="T238">
        <f ca="1">IF($C238-T$1&lt;År1,0,S237*(1-VLOOKUP($A238,[1]Hugst!$R$5:$W$9,MATCH(ROUNDUP((T$1)/10,0)*10,[1]Hugst!$R$4:$W$4,0))))</f>
        <v>622.16871892626966</v>
      </c>
      <c r="U238">
        <f ca="1">IF($C238-U$1&lt;År1,0,T237*(1-VLOOKUP($A238,[1]Hugst!$R$5:$W$9,MATCH(ROUNDUP((U$1)/10,0)*10,[1]Hugst!$R$4:$W$4,0))))</f>
        <v>622.18878767364379</v>
      </c>
      <c r="V238">
        <f ca="1">IF($C238-V$1&lt;År1,0,U237*(1-VLOOKUP($A238,[1]Hugst!$R$5:$W$9,MATCH(ROUNDUP((V$1)/10,0)*10,[1]Hugst!$R$4:$W$4,0))))</f>
        <v>622.21271891430217</v>
      </c>
      <c r="W238">
        <f ca="1">IF($C238-W$1&lt;År1,0,V237*(1-VLOOKUP($A238,[1]Hugst!$R$5:$W$9,MATCH(ROUNDUP((W$1)/10,0)*10,[1]Hugst!$R$4:$W$4,0))))</f>
        <v>622.24051518207693</v>
      </c>
      <c r="X238">
        <f ca="1">IF($C238-X$1&lt;År1,0,W237*(1-VLOOKUP($A238,[1]Hugst!$R$5:$W$9,MATCH(ROUNDUP((X$1)/10,0)*10,[1]Hugst!$R$4:$W$4,0))))</f>
        <v>622.27217903623307</v>
      </c>
      <c r="Y238">
        <f ca="1">IF($C238-Y$1&lt;År1,0,X237*(1-VLOOKUP($A238,[1]Hugst!$R$5:$W$9,MATCH(ROUNDUP((Y$1)/10,0)*10,[1]Hugst!$R$4:$W$4,0))))</f>
        <v>622.30771306157976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55000000000000004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14.41950013830683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822.9978384872494</v>
      </c>
      <c r="G239">
        <f ca="1">IF($C239-G$1&lt;År1,0,F238*(1-VLOOKUP($A239,[1]Hugst!$R$5:$W$9,MATCH(ROUNDUP((G$1)/10,0)*10,[1]Hugst!$R$4:$W$4,0))))</f>
        <v>823.56879710017904</v>
      </c>
      <c r="H239">
        <f ca="1">IF($C239-H$1&lt;År1,0,G238*(1-VLOOKUP($A239,[1]Hugst!$R$5:$W$9,MATCH(ROUNDUP((H$1)/10,0)*10,[1]Hugst!$R$4:$W$4,0))))</f>
        <v>823.53628571554793</v>
      </c>
      <c r="I239">
        <f ca="1">IF($C239-I$1&lt;År1,0,H238*(1-VLOOKUP($A239,[1]Hugst!$R$5:$W$9,MATCH(ROUNDUP((I$1)/10,0)*10,[1]Hugst!$R$4:$W$4,0))))</f>
        <v>823.50437321625316</v>
      </c>
      <c r="J239">
        <f ca="1">IF($C239-J$1&lt;År1,0,I238*(1-VLOOKUP($A239,[1]Hugst!$R$5:$W$9,MATCH(ROUNDUP((J$1)/10,0)*10,[1]Hugst!$R$4:$W$4,0))))</f>
        <v>823.47306428871082</v>
      </c>
      <c r="K239">
        <f ca="1">IF($C239-K$1&lt;År1,0,J238*(1-VLOOKUP($A239,[1]Hugst!$R$5:$W$9,MATCH(ROUNDUP((K$1)/10,0)*10,[1]Hugst!$R$4:$W$4,0))))</f>
        <v>823.44236364658911</v>
      </c>
      <c r="L239">
        <f ca="1">IF($C239-L$1&lt;År1,0,K238*(1-VLOOKUP($A239,[1]Hugst!$R$5:$W$9,MATCH(ROUNDUP((L$1)/10,0)*10,[1]Hugst!$R$4:$W$4,0))))</f>
        <v>823.41227603087793</v>
      </c>
      <c r="M239">
        <f ca="1">IF($C239-M$1&lt;År1,0,L238*(1-VLOOKUP($A239,[1]Hugst!$R$5:$W$9,MATCH(ROUNDUP((M$1)/10,0)*10,[1]Hugst!$R$4:$W$4,0))))</f>
        <v>823.38280621016531</v>
      </c>
      <c r="N239">
        <f ca="1">IF($C239-N$1&lt;År1,0,M238*(1-VLOOKUP($A239,[1]Hugst!$R$5:$W$9,MATCH(ROUNDUP((N$1)/10,0)*10,[1]Hugst!$R$4:$W$4,0))))</f>
        <v>823.35395898068566</v>
      </c>
      <c r="O239">
        <f ca="1">IF($C239-O$1&lt;År1,0,N238*(1-VLOOKUP($A239,[1]Hugst!$R$5:$W$9,MATCH(ROUNDUP((O$1)/10,0)*10,[1]Hugst!$R$4:$W$4,0))))</f>
        <v>823.32573916647709</v>
      </c>
      <c r="P239">
        <f ca="1">IF($C239-P$1&lt;År1,0,O238*(1-VLOOKUP($A239,[1]Hugst!$R$5:$W$9,MATCH(ROUNDUP((P$1)/10,0)*10,[1]Hugst!$R$4:$W$4,0))))</f>
        <v>622.1539103237692</v>
      </c>
      <c r="Q239">
        <f ca="1">IF($C239-Q$1&lt;År1,0,P238*(1-VLOOKUP($A239,[1]Hugst!$R$5:$W$9,MATCH(ROUNDUP((Q$1)/10,0)*10,[1]Hugst!$R$4:$W$4,0))))</f>
        <v>620.76137440772504</v>
      </c>
      <c r="R239">
        <f ca="1">IF($C239-R$1&lt;År1,0,Q238*(1-VLOOKUP($A239,[1]Hugst!$R$5:$W$9,MATCH(ROUNDUP((R$1)/10,0)*10,[1]Hugst!$R$4:$W$4,0))))</f>
        <v>620.7660078181467</v>
      </c>
      <c r="S239">
        <f ca="1">IF($C239-S$1&lt;År1,0,R238*(1-VLOOKUP($A239,[1]Hugst!$R$5:$W$9,MATCH(ROUNDUP((S$1)/10,0)*10,[1]Hugst!$R$4:$W$4,0))))</f>
        <v>620.77448538387443</v>
      </c>
      <c r="T239">
        <f ca="1">IF($C239-T$1&lt;År1,0,S238*(1-VLOOKUP($A239,[1]Hugst!$R$5:$W$9,MATCH(ROUNDUP((T$1)/10,0)*10,[1]Hugst!$R$4:$W$4,0))))</f>
        <v>620.78680953178696</v>
      </c>
      <c r="U239">
        <f ca="1">IF($C239-U$1&lt;År1,0,T238*(1-VLOOKUP($A239,[1]Hugst!$R$5:$W$9,MATCH(ROUNDUP((U$1)/10,0)*10,[1]Hugst!$R$4:$W$4,0))))</f>
        <v>620.80298271399249</v>
      </c>
      <c r="V239">
        <f ca="1">IF($C239-V$1&lt;År1,0,U238*(1-VLOOKUP($A239,[1]Hugst!$R$5:$W$9,MATCH(ROUNDUP((V$1)/10,0)*10,[1]Hugst!$R$4:$W$4,0))))</f>
        <v>620.82300740801873</v>
      </c>
      <c r="W239">
        <f ca="1">IF($C239-W$1&lt;År1,0,V238*(1-VLOOKUP($A239,[1]Hugst!$R$5:$W$9,MATCH(ROUNDUP((W$1)/10,0)*10,[1]Hugst!$R$4:$W$4,0))))</f>
        <v>620.84688611668537</v>
      </c>
      <c r="X239">
        <f ca="1">IF($C239-X$1&lt;År1,0,W238*(1-VLOOKUP($A239,[1]Hugst!$R$5:$W$9,MATCH(ROUNDUP((X$1)/10,0)*10,[1]Hugst!$R$4:$W$4,0))))</f>
        <v>620.87462136826264</v>
      </c>
      <c r="Y239">
        <f ca="1">IF($C239-Y$1&lt;År1,0,X238*(1-VLOOKUP($A239,[1]Hugst!$R$5:$W$9,MATCH(ROUNDUP((Y$1)/10,0)*10,[1]Hugst!$R$4:$W$4,0))))</f>
        <v>620.90621571639747</v>
      </c>
      <c r="Z239">
        <f ca="1">IF($C239-Z$1&lt;År1,0,Y238*(1-VLOOKUP($A239,[1]Hugst!$R$5:$W$9,MATCH(ROUNDUP((Z$1)/10,0)*10,[1]Hugst!$R$4:$W$4,0))))</f>
        <v>621.54880121638269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55000000000000004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15.590126220196908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822.87248645764532</v>
      </c>
      <c r="G240">
        <f ca="1">IF($C240-G$1&lt;År1,0,F239*(1-VLOOKUP($A240,[1]Hugst!$R$5:$W$9,MATCH(ROUNDUP((G$1)/10,0)*10,[1]Hugst!$R$4:$W$4,0))))</f>
        <v>822.9978384872494</v>
      </c>
      <c r="H240">
        <f ca="1">IF($C240-H$1&lt;År1,0,G239*(1-VLOOKUP($A240,[1]Hugst!$R$5:$W$9,MATCH(ROUNDUP((H$1)/10,0)*10,[1]Hugst!$R$4:$W$4,0))))</f>
        <v>823.56879710017904</v>
      </c>
      <c r="I240">
        <f ca="1">IF($C240-I$1&lt;År1,0,H239*(1-VLOOKUP($A240,[1]Hugst!$R$5:$W$9,MATCH(ROUNDUP((I$1)/10,0)*10,[1]Hugst!$R$4:$W$4,0))))</f>
        <v>823.53628571554793</v>
      </c>
      <c r="J240">
        <f ca="1">IF($C240-J$1&lt;År1,0,I239*(1-VLOOKUP($A240,[1]Hugst!$R$5:$W$9,MATCH(ROUNDUP((J$1)/10,0)*10,[1]Hugst!$R$4:$W$4,0))))</f>
        <v>823.50437321625316</v>
      </c>
      <c r="K240">
        <f ca="1">IF($C240-K$1&lt;År1,0,J239*(1-VLOOKUP($A240,[1]Hugst!$R$5:$W$9,MATCH(ROUNDUP((K$1)/10,0)*10,[1]Hugst!$R$4:$W$4,0))))</f>
        <v>823.47306428871082</v>
      </c>
      <c r="L240">
        <f ca="1">IF($C240-L$1&lt;År1,0,K239*(1-VLOOKUP($A240,[1]Hugst!$R$5:$W$9,MATCH(ROUNDUP((L$1)/10,0)*10,[1]Hugst!$R$4:$W$4,0))))</f>
        <v>823.44236364658911</v>
      </c>
      <c r="M240">
        <f ca="1">IF($C240-M$1&lt;År1,0,L239*(1-VLOOKUP($A240,[1]Hugst!$R$5:$W$9,MATCH(ROUNDUP((M$1)/10,0)*10,[1]Hugst!$R$4:$W$4,0))))</f>
        <v>823.41227603087793</v>
      </c>
      <c r="N240">
        <f ca="1">IF($C240-N$1&lt;År1,0,M239*(1-VLOOKUP($A240,[1]Hugst!$R$5:$W$9,MATCH(ROUNDUP((N$1)/10,0)*10,[1]Hugst!$R$4:$W$4,0))))</f>
        <v>823.38280621016531</v>
      </c>
      <c r="O240">
        <f ca="1">IF($C240-O$1&lt;År1,0,N239*(1-VLOOKUP($A240,[1]Hugst!$R$5:$W$9,MATCH(ROUNDUP((O$1)/10,0)*10,[1]Hugst!$R$4:$W$4,0))))</f>
        <v>823.35395898068566</v>
      </c>
      <c r="P240">
        <f ca="1">IF($C240-P$1&lt;År1,0,O239*(1-VLOOKUP($A240,[1]Hugst!$R$5:$W$9,MATCH(ROUNDUP((P$1)/10,0)*10,[1]Hugst!$R$4:$W$4,0))))</f>
        <v>821.51843876342878</v>
      </c>
      <c r="Q240">
        <f ca="1">IF($C240-Q$1&lt;År1,0,P239*(1-VLOOKUP($A240,[1]Hugst!$R$5:$W$9,MATCH(ROUNDUP((Q$1)/10,0)*10,[1]Hugst!$R$4:$W$4,0))))</f>
        <v>620.78820661818042</v>
      </c>
      <c r="R240">
        <f ca="1">IF($C240-R$1&lt;År1,0,Q239*(1-VLOOKUP($A240,[1]Hugst!$R$5:$W$9,MATCH(ROUNDUP((R$1)/10,0)*10,[1]Hugst!$R$4:$W$4,0))))</f>
        <v>619.3987274882935</v>
      </c>
      <c r="S240">
        <f ca="1">IF($C240-S$1&lt;År1,0,R239*(1-VLOOKUP($A240,[1]Hugst!$R$5:$W$9,MATCH(ROUNDUP((S$1)/10,0)*10,[1]Hugst!$R$4:$W$4,0))))</f>
        <v>619.4033507278142</v>
      </c>
      <c r="T240">
        <f ca="1">IF($C240-T$1&lt;År1,0,S239*(1-VLOOKUP($A240,[1]Hugst!$R$5:$W$9,MATCH(ROUNDUP((T$1)/10,0)*10,[1]Hugst!$R$4:$W$4,0))))</f>
        <v>619.41180968425124</v>
      </c>
      <c r="U240">
        <f ca="1">IF($C240-U$1&lt;År1,0,T239*(1-VLOOKUP($A240,[1]Hugst!$R$5:$W$9,MATCH(ROUNDUP((U$1)/10,0)*10,[1]Hugst!$R$4:$W$4,0))))</f>
        <v>619.4241067791562</v>
      </c>
      <c r="V240">
        <f ca="1">IF($C240-V$1&lt;År1,0,U239*(1-VLOOKUP($A240,[1]Hugst!$R$5:$W$9,MATCH(ROUNDUP((V$1)/10,0)*10,[1]Hugst!$R$4:$W$4,0))))</f>
        <v>619.44024445925447</v>
      </c>
      <c r="W240">
        <f ca="1">IF($C240-W$1&lt;År1,0,V239*(1-VLOOKUP($A240,[1]Hugst!$R$5:$W$9,MATCH(ROUNDUP((W$1)/10,0)*10,[1]Hugst!$R$4:$W$4,0))))</f>
        <v>619.46022519663529</v>
      </c>
      <c r="X240">
        <f ca="1">IF($C240-X$1&lt;År1,0,W239*(1-VLOOKUP($A240,[1]Hugst!$R$5:$W$9,MATCH(ROUNDUP((X$1)/10,0)*10,[1]Hugst!$R$4:$W$4,0))))</f>
        <v>619.48405148862435</v>
      </c>
      <c r="Y240">
        <f ca="1">IF($C240-Y$1&lt;År1,0,X239*(1-VLOOKUP($A240,[1]Hugst!$R$5:$W$9,MATCH(ROUNDUP((Y$1)/10,0)*10,[1]Hugst!$R$4:$W$4,0))))</f>
        <v>619.51172585794211</v>
      </c>
      <c r="Z240">
        <f ca="1">IF($C240-Z$1&lt;År1,0,Y239*(1-VLOOKUP($A240,[1]Hugst!$R$5:$W$9,MATCH(ROUNDUP((Z$1)/10,0)*10,[1]Hugst!$R$4:$W$4,0))))</f>
        <v>620.14901301430427</v>
      </c>
      <c r="AA240">
        <f ca="1">IF($C240-AA$1&lt;År1,0,Z239*(1-VLOOKUP($A240,[1]Hugst!$R$5:$W$9,MATCH(ROUNDUP((AA$1)/10,0)*10,[1]Hugst!$R$4:$W$4,0))))</f>
        <v>620.79081487343592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55000000000000004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16.760342890345783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822.75320490685147</v>
      </c>
      <c r="G241">
        <f ca="1">IF($C241-G$1&lt;År1,0,F240*(1-VLOOKUP($A241,[1]Hugst!$R$5:$W$9,MATCH(ROUNDUP((G$1)/10,0)*10,[1]Hugst!$R$4:$W$4,0))))</f>
        <v>822.87248645764532</v>
      </c>
      <c r="H241">
        <f ca="1">IF($C241-H$1&lt;År1,0,G240*(1-VLOOKUP($A241,[1]Hugst!$R$5:$W$9,MATCH(ROUNDUP((H$1)/10,0)*10,[1]Hugst!$R$4:$W$4,0))))</f>
        <v>822.9978384872494</v>
      </c>
      <c r="I241">
        <f ca="1">IF($C241-I$1&lt;År1,0,H240*(1-VLOOKUP($A241,[1]Hugst!$R$5:$W$9,MATCH(ROUNDUP((I$1)/10,0)*10,[1]Hugst!$R$4:$W$4,0))))</f>
        <v>823.56879710017904</v>
      </c>
      <c r="J241">
        <f ca="1">IF($C241-J$1&lt;År1,0,I240*(1-VLOOKUP($A241,[1]Hugst!$R$5:$W$9,MATCH(ROUNDUP((J$1)/10,0)*10,[1]Hugst!$R$4:$W$4,0))))</f>
        <v>823.53628571554793</v>
      </c>
      <c r="K241">
        <f ca="1">IF($C241-K$1&lt;År1,0,J240*(1-VLOOKUP($A241,[1]Hugst!$R$5:$W$9,MATCH(ROUNDUP((K$1)/10,0)*10,[1]Hugst!$R$4:$W$4,0))))</f>
        <v>823.50437321625316</v>
      </c>
      <c r="L241">
        <f ca="1">IF($C241-L$1&lt;År1,0,K240*(1-VLOOKUP($A241,[1]Hugst!$R$5:$W$9,MATCH(ROUNDUP((L$1)/10,0)*10,[1]Hugst!$R$4:$W$4,0))))</f>
        <v>823.47306428871082</v>
      </c>
      <c r="M241">
        <f ca="1">IF($C241-M$1&lt;År1,0,L240*(1-VLOOKUP($A241,[1]Hugst!$R$5:$W$9,MATCH(ROUNDUP((M$1)/10,0)*10,[1]Hugst!$R$4:$W$4,0))))</f>
        <v>823.44236364658911</v>
      </c>
      <c r="N241">
        <f ca="1">IF($C241-N$1&lt;År1,0,M240*(1-VLOOKUP($A241,[1]Hugst!$R$5:$W$9,MATCH(ROUNDUP((N$1)/10,0)*10,[1]Hugst!$R$4:$W$4,0))))</f>
        <v>823.41227603087793</v>
      </c>
      <c r="O241">
        <f ca="1">IF($C241-O$1&lt;År1,0,N240*(1-VLOOKUP($A241,[1]Hugst!$R$5:$W$9,MATCH(ROUNDUP((O$1)/10,0)*10,[1]Hugst!$R$4:$W$4,0))))</f>
        <v>823.38280621016531</v>
      </c>
      <c r="P241">
        <f ca="1">IF($C241-P$1&lt;År1,0,O240*(1-VLOOKUP($A241,[1]Hugst!$R$5:$W$9,MATCH(ROUNDUP((P$1)/10,0)*10,[1]Hugst!$R$4:$W$4,0))))</f>
        <v>821.54659663170366</v>
      </c>
      <c r="Q241">
        <f ca="1">IF($C241-Q$1&lt;År1,0,P240*(1-VLOOKUP($A241,[1]Hugst!$R$5:$W$9,MATCH(ROUNDUP((Q$1)/10,0)*10,[1]Hugst!$R$4:$W$4,0))))</f>
        <v>819.71510560516754</v>
      </c>
      <c r="R241">
        <f ca="1">IF($C241-R$1&lt;År1,0,Q240*(1-VLOOKUP($A241,[1]Hugst!$R$5:$W$9,MATCH(ROUNDUP((R$1)/10,0)*10,[1]Hugst!$R$4:$W$4,0))))</f>
        <v>619.42550079877469</v>
      </c>
      <c r="S241">
        <f ca="1">IF($C241-S$1&lt;År1,0,R240*(1-VLOOKUP($A241,[1]Hugst!$R$5:$W$9,MATCH(ROUNDUP((S$1)/10,0)*10,[1]Hugst!$R$4:$W$4,0))))</f>
        <v>618.03907174502649</v>
      </c>
      <c r="T241">
        <f ca="1">IF($C241-T$1&lt;År1,0,S240*(1-VLOOKUP($A241,[1]Hugst!$R$5:$W$9,MATCH(ROUNDUP((T$1)/10,0)*10,[1]Hugst!$R$4:$W$4,0))))</f>
        <v>618.04368483597261</v>
      </c>
      <c r="U241">
        <f ca="1">IF($C241-U$1&lt;År1,0,T240*(1-VLOOKUP($A241,[1]Hugst!$R$5:$W$9,MATCH(ROUNDUP((U$1)/10,0)*10,[1]Hugst!$R$4:$W$4,0))))</f>
        <v>618.05212522396869</v>
      </c>
      <c r="V241">
        <f ca="1">IF($C241-V$1&lt;År1,0,U240*(1-VLOOKUP($A241,[1]Hugst!$R$5:$W$9,MATCH(ROUNDUP((V$1)/10,0)*10,[1]Hugst!$R$4:$W$4,0))))</f>
        <v>618.06439532525076</v>
      </c>
      <c r="W241">
        <f ca="1">IF($C241-W$1&lt;År1,0,V240*(1-VLOOKUP($A241,[1]Hugst!$R$5:$W$9,MATCH(ROUNDUP((W$1)/10,0)*10,[1]Hugst!$R$4:$W$4,0))))</f>
        <v>618.08049758117318</v>
      </c>
      <c r="X241">
        <f ca="1">IF($C241-X$1&lt;År1,0,W240*(1-VLOOKUP($A241,[1]Hugst!$R$5:$W$9,MATCH(ROUNDUP((X$1)/10,0)*10,[1]Hugst!$R$4:$W$4,0))))</f>
        <v>618.10043445839881</v>
      </c>
      <c r="Y241">
        <f ca="1">IF($C241-Y$1&lt;År1,0,X240*(1-VLOOKUP($A241,[1]Hugst!$R$5:$W$9,MATCH(ROUNDUP((Y$1)/10,0)*10,[1]Hugst!$R$4:$W$4,0))))</f>
        <v>618.12420844877124</v>
      </c>
      <c r="Z241">
        <f ca="1">IF($C241-Z$1&lt;År1,0,Y240*(1-VLOOKUP($A241,[1]Hugst!$R$5:$W$9,MATCH(ROUNDUP((Z$1)/10,0)*10,[1]Hugst!$R$4:$W$4,0))))</f>
        <v>618.75622375323735</v>
      </c>
      <c r="AA241">
        <f ca="1">IF($C241-AA$1&lt;År1,0,Z240*(1-VLOOKUP($A241,[1]Hugst!$R$5:$W$9,MATCH(ROUNDUP((AA$1)/10,0)*10,[1]Hugst!$R$4:$W$4,0))))</f>
        <v>619.39273373014044</v>
      </c>
      <c r="AB241">
        <f ca="1">IF($C241-AB$1&lt;År1,0,AA240*(1-VLOOKUP($A241,[1]Hugst!$R$5:$W$9,MATCH(ROUNDUP((AB$1)/10,0)*10,[1]Hugst!$R$4:$W$4,0))))</f>
        <v>620.03375290407803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55000000000000004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17.930143063396827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822.63995435006939</v>
      </c>
      <c r="G242">
        <f ca="1">IF($C242-G$1&lt;År1,0,F241*(1-VLOOKUP($A242,[1]Hugst!$R$5:$W$9,MATCH(ROUNDUP((G$1)/10,0)*10,[1]Hugst!$R$4:$W$4,0))))</f>
        <v>822.75320490685147</v>
      </c>
      <c r="H242">
        <f ca="1">IF($C242-H$1&lt;År1,0,G241*(1-VLOOKUP($A242,[1]Hugst!$R$5:$W$9,MATCH(ROUNDUP((H$1)/10,0)*10,[1]Hugst!$R$4:$W$4,0))))</f>
        <v>822.87248645764532</v>
      </c>
      <c r="I242">
        <f ca="1">IF($C242-I$1&lt;År1,0,H241*(1-VLOOKUP($A242,[1]Hugst!$R$5:$W$9,MATCH(ROUNDUP((I$1)/10,0)*10,[1]Hugst!$R$4:$W$4,0))))</f>
        <v>822.9978384872494</v>
      </c>
      <c r="J242">
        <f ca="1">IF($C242-J$1&lt;År1,0,I241*(1-VLOOKUP($A242,[1]Hugst!$R$5:$W$9,MATCH(ROUNDUP((J$1)/10,0)*10,[1]Hugst!$R$4:$W$4,0))))</f>
        <v>823.56879710017904</v>
      </c>
      <c r="K242">
        <f ca="1">IF($C242-K$1&lt;År1,0,J241*(1-VLOOKUP($A242,[1]Hugst!$R$5:$W$9,MATCH(ROUNDUP((K$1)/10,0)*10,[1]Hugst!$R$4:$W$4,0))))</f>
        <v>823.53628571554793</v>
      </c>
      <c r="L242">
        <f ca="1">IF($C242-L$1&lt;År1,0,K241*(1-VLOOKUP($A242,[1]Hugst!$R$5:$W$9,MATCH(ROUNDUP((L$1)/10,0)*10,[1]Hugst!$R$4:$W$4,0))))</f>
        <v>823.50437321625316</v>
      </c>
      <c r="M242">
        <f ca="1">IF($C242-M$1&lt;År1,0,L241*(1-VLOOKUP($A242,[1]Hugst!$R$5:$W$9,MATCH(ROUNDUP((M$1)/10,0)*10,[1]Hugst!$R$4:$W$4,0))))</f>
        <v>823.47306428871082</v>
      </c>
      <c r="N242">
        <f ca="1">IF($C242-N$1&lt;År1,0,M241*(1-VLOOKUP($A242,[1]Hugst!$R$5:$W$9,MATCH(ROUNDUP((N$1)/10,0)*10,[1]Hugst!$R$4:$W$4,0))))</f>
        <v>823.44236364658911</v>
      </c>
      <c r="O242">
        <f ca="1">IF($C242-O$1&lt;År1,0,N241*(1-VLOOKUP($A242,[1]Hugst!$R$5:$W$9,MATCH(ROUNDUP((O$1)/10,0)*10,[1]Hugst!$R$4:$W$4,0))))</f>
        <v>823.41227603087793</v>
      </c>
      <c r="P242">
        <f ca="1">IF($C242-P$1&lt;År1,0,O241*(1-VLOOKUP($A242,[1]Hugst!$R$5:$W$9,MATCH(ROUNDUP((P$1)/10,0)*10,[1]Hugst!$R$4:$W$4,0))))</f>
        <v>821.57538053799669</v>
      </c>
      <c r="Q242">
        <f ca="1">IF($C242-Q$1&lt;År1,0,P241*(1-VLOOKUP($A242,[1]Hugst!$R$5:$W$9,MATCH(ROUNDUP((Q$1)/10,0)*10,[1]Hugst!$R$4:$W$4,0))))</f>
        <v>819.74320166348775</v>
      </c>
      <c r="R242">
        <f ca="1">IF($C242-R$1&lt;År1,0,Q241*(1-VLOOKUP($A242,[1]Hugst!$R$5:$W$9,MATCH(ROUNDUP((R$1)/10,0)*10,[1]Hugst!$R$4:$W$4,0))))</f>
        <v>817.91573098310744</v>
      </c>
      <c r="S242">
        <f ca="1">IF($C242-S$1&lt;År1,0,R241*(1-VLOOKUP($A242,[1]Hugst!$R$5:$W$9,MATCH(ROUNDUP((S$1)/10,0)*10,[1]Hugst!$R$4:$W$4,0))))</f>
        <v>618.06578628482612</v>
      </c>
      <c r="T242">
        <f ca="1">IF($C242-T$1&lt;År1,0,S241*(1-VLOOKUP($A242,[1]Hugst!$R$5:$W$9,MATCH(ROUNDUP((T$1)/10,0)*10,[1]Hugst!$R$4:$W$4,0))))</f>
        <v>616.68240061192762</v>
      </c>
      <c r="U242">
        <f ca="1">IF($C242-U$1&lt;År1,0,T241*(1-VLOOKUP($A242,[1]Hugst!$R$5:$W$9,MATCH(ROUNDUP((U$1)/10,0)*10,[1]Hugst!$R$4:$W$4,0))))</f>
        <v>616.68700357657656</v>
      </c>
      <c r="V242">
        <f ca="1">IF($C242-V$1&lt;År1,0,U241*(1-VLOOKUP($A242,[1]Hugst!$R$5:$W$9,MATCH(ROUNDUP((V$1)/10,0)*10,[1]Hugst!$R$4:$W$4,0))))</f>
        <v>616.6954254368917</v>
      </c>
      <c r="W242">
        <f ca="1">IF($C242-W$1&lt;År1,0,V241*(1-VLOOKUP($A242,[1]Hugst!$R$5:$W$9,MATCH(ROUNDUP((W$1)/10,0)*10,[1]Hugst!$R$4:$W$4,0))))</f>
        <v>616.70766860380513</v>
      </c>
      <c r="X242">
        <f ca="1">IF($C242-X$1&lt;År1,0,W241*(1-VLOOKUP($A242,[1]Hugst!$R$5:$W$9,MATCH(ROUNDUP((X$1)/10,0)*10,[1]Hugst!$R$4:$W$4,0))))</f>
        <v>616.72373551331202</v>
      </c>
      <c r="Y242">
        <f ca="1">IF($C242-Y$1&lt;År1,0,X241*(1-VLOOKUP($A242,[1]Hugst!$R$5:$W$9,MATCH(ROUNDUP((Y$1)/10,0)*10,[1]Hugst!$R$4:$W$4,0))))</f>
        <v>616.74362862666089</v>
      </c>
      <c r="Z242">
        <f ca="1">IF($C242-Z$1&lt;År1,0,Y241*(1-VLOOKUP($A242,[1]Hugst!$R$5:$W$9,MATCH(ROUNDUP((Z$1)/10,0)*10,[1]Hugst!$R$4:$W$4,0))))</f>
        <v>617.37039843846787</v>
      </c>
      <c r="AA242">
        <f ca="1">IF($C242-AA$1&lt;År1,0,Z241*(1-VLOOKUP($A242,[1]Hugst!$R$5:$W$9,MATCH(ROUNDUP((AA$1)/10,0)*10,[1]Hugst!$R$4:$W$4,0))))</f>
        <v>618.00164299256267</v>
      </c>
      <c r="AB242">
        <f ca="1">IF($C242-AB$1&lt;År1,0,AA241*(1-VLOOKUP($A242,[1]Hugst!$R$5:$W$9,MATCH(ROUNDUP((AB$1)/10,0)*10,[1]Hugst!$R$4:$W$4,0))))</f>
        <v>618.63737673778655</v>
      </c>
      <c r="AC242">
        <f ca="1">IF($C242-AC$1&lt;År1,0,AB241*(1-VLOOKUP($A242,[1]Hugst!$R$5:$W$9,MATCH(ROUNDUP((AC$1)/10,0)*10,[1]Hugst!$R$4:$W$4,0))))</f>
        <v>619.27761418102432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55000000000000004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19.099519704410341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822.53269551489041</v>
      </c>
      <c r="G243">
        <f ca="1">IF($C243-G$1&lt;År1,0,F242*(1-VLOOKUP($A243,[1]Hugst!$R$5:$W$9,MATCH(ROUNDUP((G$1)/10,0)*10,[1]Hugst!$R$4:$W$4,0))))</f>
        <v>822.63995435006939</v>
      </c>
      <c r="H243">
        <f ca="1">IF($C243-H$1&lt;År1,0,G242*(1-VLOOKUP($A243,[1]Hugst!$R$5:$W$9,MATCH(ROUNDUP((H$1)/10,0)*10,[1]Hugst!$R$4:$W$4,0))))</f>
        <v>822.75320490685147</v>
      </c>
      <c r="I243">
        <f ca="1">IF($C243-I$1&lt;År1,0,H242*(1-VLOOKUP($A243,[1]Hugst!$R$5:$W$9,MATCH(ROUNDUP((I$1)/10,0)*10,[1]Hugst!$R$4:$W$4,0))))</f>
        <v>822.87248645764532</v>
      </c>
      <c r="J243">
        <f ca="1">IF($C243-J$1&lt;År1,0,I242*(1-VLOOKUP($A243,[1]Hugst!$R$5:$W$9,MATCH(ROUNDUP((J$1)/10,0)*10,[1]Hugst!$R$4:$W$4,0))))</f>
        <v>822.9978384872494</v>
      </c>
      <c r="K243">
        <f ca="1">IF($C243-K$1&lt;År1,0,J242*(1-VLOOKUP($A243,[1]Hugst!$R$5:$W$9,MATCH(ROUNDUP((K$1)/10,0)*10,[1]Hugst!$R$4:$W$4,0))))</f>
        <v>823.56879710017904</v>
      </c>
      <c r="L243">
        <f ca="1">IF($C243-L$1&lt;År1,0,K242*(1-VLOOKUP($A243,[1]Hugst!$R$5:$W$9,MATCH(ROUNDUP((L$1)/10,0)*10,[1]Hugst!$R$4:$W$4,0))))</f>
        <v>823.53628571554793</v>
      </c>
      <c r="M243">
        <f ca="1">IF($C243-M$1&lt;År1,0,L242*(1-VLOOKUP($A243,[1]Hugst!$R$5:$W$9,MATCH(ROUNDUP((M$1)/10,0)*10,[1]Hugst!$R$4:$W$4,0))))</f>
        <v>823.50437321625316</v>
      </c>
      <c r="N243">
        <f ca="1">IF($C243-N$1&lt;År1,0,M242*(1-VLOOKUP($A243,[1]Hugst!$R$5:$W$9,MATCH(ROUNDUP((N$1)/10,0)*10,[1]Hugst!$R$4:$W$4,0))))</f>
        <v>823.47306428871082</v>
      </c>
      <c r="O243">
        <f ca="1">IF($C243-O$1&lt;År1,0,N242*(1-VLOOKUP($A243,[1]Hugst!$R$5:$W$9,MATCH(ROUNDUP((O$1)/10,0)*10,[1]Hugst!$R$4:$W$4,0))))</f>
        <v>823.44236364658911</v>
      </c>
      <c r="P243">
        <f ca="1">IF($C243-P$1&lt;År1,0,O242*(1-VLOOKUP($A243,[1]Hugst!$R$5:$W$9,MATCH(ROUNDUP((P$1)/10,0)*10,[1]Hugst!$R$4:$W$4,0))))</f>
        <v>821.60478566885888</v>
      </c>
      <c r="Q243">
        <f ca="1">IF($C243-Q$1&lt;År1,0,P242*(1-VLOOKUP($A243,[1]Hugst!$R$5:$W$9,MATCH(ROUNDUP((Q$1)/10,0)*10,[1]Hugst!$R$4:$W$4,0))))</f>
        <v>819.77192238559621</v>
      </c>
      <c r="R243">
        <f ca="1">IF($C243-R$1&lt;År1,0,Q242*(1-VLOOKUP($A243,[1]Hugst!$R$5:$W$9,MATCH(ROUNDUP((R$1)/10,0)*10,[1]Hugst!$R$4:$W$4,0))))</f>
        <v>817.94376536715322</v>
      </c>
      <c r="S243">
        <f ca="1">IF($C243-S$1&lt;År1,0,R242*(1-VLOOKUP($A243,[1]Hugst!$R$5:$W$9,MATCH(ROUNDUP((S$1)/10,0)*10,[1]Hugst!$R$4:$W$4,0))))</f>
        <v>816.12030620777864</v>
      </c>
      <c r="T243">
        <f ca="1">IF($C243-T$1&lt;År1,0,S242*(1-VLOOKUP($A243,[1]Hugst!$R$5:$W$9,MATCH(ROUNDUP((T$1)/10,0)*10,[1]Hugst!$R$4:$W$4,0))))</f>
        <v>616.70905651005455</v>
      </c>
      <c r="U243">
        <f ca="1">IF($C243-U$1&lt;År1,0,T242*(1-VLOOKUP($A243,[1]Hugst!$R$5:$W$9,MATCH(ROUNDUP((U$1)/10,0)*10,[1]Hugst!$R$4:$W$4,0))))</f>
        <v>615.32870753741361</v>
      </c>
      <c r="V243">
        <f ca="1">IF($C243-V$1&lt;År1,0,U242*(1-VLOOKUP($A243,[1]Hugst!$R$5:$W$9,MATCH(ROUNDUP((V$1)/10,0)*10,[1]Hugst!$R$4:$W$4,0))))</f>
        <v>615.33330039799387</v>
      </c>
      <c r="W243">
        <f ca="1">IF($C243-W$1&lt;År1,0,V242*(1-VLOOKUP($A243,[1]Hugst!$R$5:$W$9,MATCH(ROUNDUP((W$1)/10,0)*10,[1]Hugst!$R$4:$W$4,0))))</f>
        <v>615.34170377129851</v>
      </c>
      <c r="X243">
        <f ca="1">IF($C243-X$1&lt;År1,0,W242*(1-VLOOKUP($A243,[1]Hugst!$R$5:$W$9,MATCH(ROUNDUP((X$1)/10,0)*10,[1]Hugst!$R$4:$W$4,0))))</f>
        <v>615.35392006296752</v>
      </c>
      <c r="Y243">
        <f ca="1">IF($C243-Y$1&lt;År1,0,X242*(1-VLOOKUP($A243,[1]Hugst!$R$5:$W$9,MATCH(ROUNDUP((Y$1)/10,0)*10,[1]Hugst!$R$4:$W$4,0))))</f>
        <v>615.36995170364867</v>
      </c>
      <c r="Z243">
        <f ca="1">IF($C243-Z$1&lt;År1,0,Y242*(1-VLOOKUP($A243,[1]Hugst!$R$5:$W$9,MATCH(ROUNDUP((Z$1)/10,0)*10,[1]Hugst!$R$4:$W$4,0))))</f>
        <v>615.99150225028689</v>
      </c>
      <c r="AA243">
        <f ca="1">IF($C243-AA$1&lt;År1,0,Z242*(1-VLOOKUP($A243,[1]Hugst!$R$5:$W$9,MATCH(ROUNDUP((AA$1)/10,0)*10,[1]Hugst!$R$4:$W$4,0))))</f>
        <v>616.6175077086649</v>
      </c>
      <c r="AB243">
        <f ca="1">IF($C243-AB$1&lt;År1,0,AA242*(1-VLOOKUP($A243,[1]Hugst!$R$5:$W$9,MATCH(ROUNDUP((AB$1)/10,0)*10,[1]Hugst!$R$4:$W$4,0))))</f>
        <v>617.24798245232785</v>
      </c>
      <c r="AC243">
        <f ca="1">IF($C243-AC$1&lt;År1,0,AB242*(1-VLOOKUP($A243,[1]Hugst!$R$5:$W$9,MATCH(ROUNDUP((AC$1)/10,0)*10,[1]Hugst!$R$4:$W$4,0))))</f>
        <v>617.88294091249657</v>
      </c>
      <c r="AD243">
        <f ca="1">IF($C243-AD$1&lt;År1,0,AC242*(1-VLOOKUP($A243,[1]Hugst!$R$5:$W$9,MATCH(ROUNDUP((AD$1)/10,0)*10,[1]Hugst!$R$4:$W$4,0))))</f>
        <v>618.52239757836458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55000000000000004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20.268465828543412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822.43138934022147</v>
      </c>
      <c r="G244">
        <f ca="1">IF($C244-G$1&lt;År1,0,F243*(1-VLOOKUP($A244,[1]Hugst!$R$5:$W$9,MATCH(ROUNDUP((G$1)/10,0)*10,[1]Hugst!$R$4:$W$4,0))))</f>
        <v>822.53269551489041</v>
      </c>
      <c r="H244">
        <f ca="1">IF($C244-H$1&lt;År1,0,G243*(1-VLOOKUP($A244,[1]Hugst!$R$5:$W$9,MATCH(ROUNDUP((H$1)/10,0)*10,[1]Hugst!$R$4:$W$4,0))))</f>
        <v>822.63995435006939</v>
      </c>
      <c r="I244">
        <f ca="1">IF($C244-I$1&lt;År1,0,H243*(1-VLOOKUP($A244,[1]Hugst!$R$5:$W$9,MATCH(ROUNDUP((I$1)/10,0)*10,[1]Hugst!$R$4:$W$4,0))))</f>
        <v>822.75320490685147</v>
      </c>
      <c r="J244">
        <f ca="1">IF($C244-J$1&lt;År1,0,I243*(1-VLOOKUP($A244,[1]Hugst!$R$5:$W$9,MATCH(ROUNDUP((J$1)/10,0)*10,[1]Hugst!$R$4:$W$4,0))))</f>
        <v>822.87248645764532</v>
      </c>
      <c r="K244">
        <f ca="1">IF($C244-K$1&lt;År1,0,J243*(1-VLOOKUP($A244,[1]Hugst!$R$5:$W$9,MATCH(ROUNDUP((K$1)/10,0)*10,[1]Hugst!$R$4:$W$4,0))))</f>
        <v>822.9978384872494</v>
      </c>
      <c r="L244">
        <f ca="1">IF($C244-L$1&lt;År1,0,K243*(1-VLOOKUP($A244,[1]Hugst!$R$5:$W$9,MATCH(ROUNDUP((L$1)/10,0)*10,[1]Hugst!$R$4:$W$4,0))))</f>
        <v>823.56879710017904</v>
      </c>
      <c r="M244">
        <f ca="1">IF($C244-M$1&lt;År1,0,L243*(1-VLOOKUP($A244,[1]Hugst!$R$5:$W$9,MATCH(ROUNDUP((M$1)/10,0)*10,[1]Hugst!$R$4:$W$4,0))))</f>
        <v>823.53628571554793</v>
      </c>
      <c r="N244">
        <f ca="1">IF($C244-N$1&lt;År1,0,M243*(1-VLOOKUP($A244,[1]Hugst!$R$5:$W$9,MATCH(ROUNDUP((N$1)/10,0)*10,[1]Hugst!$R$4:$W$4,0))))</f>
        <v>823.50437321625316</v>
      </c>
      <c r="O244">
        <f ca="1">IF($C244-O$1&lt;År1,0,N243*(1-VLOOKUP($A244,[1]Hugst!$R$5:$W$9,MATCH(ROUNDUP((O$1)/10,0)*10,[1]Hugst!$R$4:$W$4,0))))</f>
        <v>823.47306428871082</v>
      </c>
      <c r="P244">
        <f ca="1">IF($C244-P$1&lt;År1,0,O243*(1-VLOOKUP($A244,[1]Hugst!$R$5:$W$9,MATCH(ROUNDUP((P$1)/10,0)*10,[1]Hugst!$R$4:$W$4,0))))</f>
        <v>821.63480723858436</v>
      </c>
      <c r="Q244">
        <f ca="1">IF($C244-Q$1&lt;År1,0,P243*(1-VLOOKUP($A244,[1]Hugst!$R$5:$W$9,MATCH(ROUNDUP((Q$1)/10,0)*10,[1]Hugst!$R$4:$W$4,0))))</f>
        <v>819.80126296861022</v>
      </c>
      <c r="R244">
        <f ca="1">IF($C244-R$1&lt;År1,0,Q243*(1-VLOOKUP($A244,[1]Hugst!$R$5:$W$9,MATCH(ROUNDUP((R$1)/10,0)*10,[1]Hugst!$R$4:$W$4,0))))</f>
        <v>817.97242304377414</v>
      </c>
      <c r="S244">
        <f ca="1">IF($C244-S$1&lt;År1,0,R243*(1-VLOOKUP($A244,[1]Hugst!$R$5:$W$9,MATCH(ROUNDUP((S$1)/10,0)*10,[1]Hugst!$R$4:$W$4,0))))</f>
        <v>816.14827905293259</v>
      </c>
      <c r="T244">
        <f ca="1">IF($C244-T$1&lt;År1,0,S243*(1-VLOOKUP($A244,[1]Hugst!$R$5:$W$9,MATCH(ROUNDUP((T$1)/10,0)*10,[1]Hugst!$R$4:$W$4,0))))</f>
        <v>814.32882260878591</v>
      </c>
      <c r="U244">
        <f ca="1">IF($C244-U$1&lt;År1,0,T243*(1-VLOOKUP($A244,[1]Hugst!$R$5:$W$9,MATCH(ROUNDUP((U$1)/10,0)*10,[1]Hugst!$R$4:$W$4,0))))</f>
        <v>615.3553049225934</v>
      </c>
      <c r="V244">
        <f ca="1">IF($C244-V$1&lt;År1,0,U243*(1-VLOOKUP($A244,[1]Hugst!$R$5:$W$9,MATCH(ROUNDUP((V$1)/10,0)*10,[1]Hugst!$R$4:$W$4,0))))</f>
        <v>613.97798598428267</v>
      </c>
      <c r="W244">
        <f ca="1">IF($C244-W$1&lt;År1,0,V243*(1-VLOOKUP($A244,[1]Hugst!$R$5:$W$9,MATCH(ROUNDUP((W$1)/10,0)*10,[1]Hugst!$R$4:$W$4,0))))</f>
        <v>613.98256876297387</v>
      </c>
      <c r="X244">
        <f ca="1">IF($C244-X$1&lt;År1,0,W243*(1-VLOOKUP($A244,[1]Hugst!$R$5:$W$9,MATCH(ROUNDUP((X$1)/10,0)*10,[1]Hugst!$R$4:$W$4,0))))</f>
        <v>613.99095368984933</v>
      </c>
      <c r="Y244">
        <f ca="1">IF($C244-Y$1&lt;År1,0,X243*(1-VLOOKUP($A244,[1]Hugst!$R$5:$W$9,MATCH(ROUNDUP((Y$1)/10,0)*10,[1]Hugst!$R$4:$W$4,0))))</f>
        <v>614.00314316526828</v>
      </c>
      <c r="Z244">
        <f ca="1">IF($C244-Z$1&lt;År1,0,Y243*(1-VLOOKUP($A244,[1]Hugst!$R$5:$W$9,MATCH(ROUNDUP((Z$1)/10,0)*10,[1]Hugst!$R$4:$W$4,0))))</f>
        <v>614.61950054303441</v>
      </c>
      <c r="AA244">
        <f ca="1">IF($C244-AA$1&lt;År1,0,Z243*(1-VLOOKUP($A244,[1]Hugst!$R$5:$W$9,MATCH(ROUNDUP((AA$1)/10,0)*10,[1]Hugst!$R$4:$W$4,0))))</f>
        <v>615.24029310120113</v>
      </c>
      <c r="AB244">
        <f ca="1">IF($C244-AB$1&lt;År1,0,AA243*(1-VLOOKUP($A244,[1]Hugst!$R$5:$W$9,MATCH(ROUNDUP((AB$1)/10,0)*10,[1]Hugst!$R$4:$W$4,0))))</f>
        <v>615.86553513828846</v>
      </c>
      <c r="AC244">
        <f ca="1">IF($C244-AC$1&lt;År1,0,AB243*(1-VLOOKUP($A244,[1]Hugst!$R$5:$W$9,MATCH(ROUNDUP((AC$1)/10,0)*10,[1]Hugst!$R$4:$W$4,0))))</f>
        <v>616.49524101031284</v>
      </c>
      <c r="AD244">
        <f ca="1">IF($C244-AD$1&lt;År1,0,AC243*(1-VLOOKUP($A244,[1]Hugst!$R$5:$W$9,MATCH(ROUNDUP((AD$1)/10,0)*10,[1]Hugst!$R$4:$W$4,0))))</f>
        <v>617.12942513089592</v>
      </c>
      <c r="AE244">
        <f ca="1">IF($C244-AE$1&lt;År1,0,AD243*(1-VLOOKUP($A244,[1]Hugst!$R$5:$W$9,MATCH(ROUNDUP((AE$1)/10,0)*10,[1]Hugst!$R$4:$W$4,0))))</f>
        <v>617.76810197156169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55000000000000004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21.436974500822544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822.33599697519469</v>
      </c>
      <c r="G245">
        <f ca="1">IF($C245-G$1&lt;År1,0,F244*(1-VLOOKUP($A245,[1]Hugst!$R$5:$W$9,MATCH(ROUNDUP((G$1)/10,0)*10,[1]Hugst!$R$4:$W$4,0))))</f>
        <v>822.43138934022147</v>
      </c>
      <c r="H245">
        <f ca="1">IF($C245-H$1&lt;År1,0,G244*(1-VLOOKUP($A245,[1]Hugst!$R$5:$W$9,MATCH(ROUNDUP((H$1)/10,0)*10,[1]Hugst!$R$4:$W$4,0))))</f>
        <v>822.53269551489041</v>
      </c>
      <c r="I245">
        <f ca="1">IF($C245-I$1&lt;År1,0,H244*(1-VLOOKUP($A245,[1]Hugst!$R$5:$W$9,MATCH(ROUNDUP((I$1)/10,0)*10,[1]Hugst!$R$4:$W$4,0))))</f>
        <v>822.63995435006939</v>
      </c>
      <c r="J245">
        <f ca="1">IF($C245-J$1&lt;År1,0,I244*(1-VLOOKUP($A245,[1]Hugst!$R$5:$W$9,MATCH(ROUNDUP((J$1)/10,0)*10,[1]Hugst!$R$4:$W$4,0))))</f>
        <v>822.75320490685147</v>
      </c>
      <c r="K245">
        <f ca="1">IF($C245-K$1&lt;År1,0,J244*(1-VLOOKUP($A245,[1]Hugst!$R$5:$W$9,MATCH(ROUNDUP((K$1)/10,0)*10,[1]Hugst!$R$4:$W$4,0))))</f>
        <v>822.87248645764532</v>
      </c>
      <c r="L245">
        <f ca="1">IF($C245-L$1&lt;År1,0,K244*(1-VLOOKUP($A245,[1]Hugst!$R$5:$W$9,MATCH(ROUNDUP((L$1)/10,0)*10,[1]Hugst!$R$4:$W$4,0))))</f>
        <v>822.9978384872494</v>
      </c>
      <c r="M245">
        <f ca="1">IF($C245-M$1&lt;År1,0,L244*(1-VLOOKUP($A245,[1]Hugst!$R$5:$W$9,MATCH(ROUNDUP((M$1)/10,0)*10,[1]Hugst!$R$4:$W$4,0))))</f>
        <v>823.56879710017904</v>
      </c>
      <c r="N245">
        <f ca="1">IF($C245-N$1&lt;År1,0,M244*(1-VLOOKUP($A245,[1]Hugst!$R$5:$W$9,MATCH(ROUNDUP((N$1)/10,0)*10,[1]Hugst!$R$4:$W$4,0))))</f>
        <v>823.53628571554793</v>
      </c>
      <c r="O245">
        <f ca="1">IF($C245-O$1&lt;År1,0,N244*(1-VLOOKUP($A245,[1]Hugst!$R$5:$W$9,MATCH(ROUNDUP((O$1)/10,0)*10,[1]Hugst!$R$4:$W$4,0))))</f>
        <v>823.50437321625316</v>
      </c>
      <c r="P245">
        <f ca="1">IF($C245-P$1&lt;År1,0,O244*(1-VLOOKUP($A245,[1]Hugst!$R$5:$W$9,MATCH(ROUNDUP((P$1)/10,0)*10,[1]Hugst!$R$4:$W$4,0))))</f>
        <v>821.66544048905268</v>
      </c>
      <c r="Q245">
        <f ca="1">IF($C245-Q$1&lt;År1,0,P244*(1-VLOOKUP($A245,[1]Hugst!$R$5:$W$9,MATCH(ROUNDUP((Q$1)/10,0)*10,[1]Hugst!$R$4:$W$4,0))))</f>
        <v>819.8312186373289</v>
      </c>
      <c r="R245">
        <f ca="1">IF($C245-R$1&lt;År1,0,Q244*(1-VLOOKUP($A245,[1]Hugst!$R$5:$W$9,MATCH(ROUNDUP((R$1)/10,0)*10,[1]Hugst!$R$4:$W$4,0))))</f>
        <v>818.00169922063037</v>
      </c>
      <c r="S245">
        <f ca="1">IF($C245-S$1&lt;År1,0,R244*(1-VLOOKUP($A245,[1]Hugst!$R$5:$W$9,MATCH(ROUNDUP((S$1)/10,0)*10,[1]Hugst!$R$4:$W$4,0))))</f>
        <v>816.17687382245856</v>
      </c>
      <c r="T245">
        <f ca="1">IF($C245-T$1&lt;År1,0,S244*(1-VLOOKUP($A245,[1]Hugst!$R$5:$W$9,MATCH(ROUNDUP((T$1)/10,0)*10,[1]Hugst!$R$4:$W$4,0))))</f>
        <v>814.35673405013347</v>
      </c>
      <c r="U245">
        <f ca="1">IF($C245-U$1&lt;År1,0,T244*(1-VLOOKUP($A245,[1]Hugst!$R$5:$W$9,MATCH(ROUNDUP((U$1)/10,0)*10,[1]Hugst!$R$4:$W$4,0))))</f>
        <v>812.54127153476668</v>
      </c>
      <c r="V245">
        <f ca="1">IF($C245-V$1&lt;År1,0,U244*(1-VLOOKUP($A245,[1]Hugst!$R$5:$W$9,MATCH(ROUNDUP((V$1)/10,0)*10,[1]Hugst!$R$4:$W$4,0))))</f>
        <v>614.00452498495849</v>
      </c>
      <c r="W245">
        <f ca="1">IF($C245-W$1&lt;År1,0,V244*(1-VLOOKUP($A245,[1]Hugst!$R$5:$W$9,MATCH(ROUNDUP((W$1)/10,0)*10,[1]Hugst!$R$4:$W$4,0))))</f>
        <v>612.63022942968303</v>
      </c>
      <c r="X245">
        <f ca="1">IF($C245-X$1&lt;År1,0,W244*(1-VLOOKUP($A245,[1]Hugst!$R$5:$W$9,MATCH(ROUNDUP((X$1)/10,0)*10,[1]Hugst!$R$4:$W$4,0))))</f>
        <v>612.63480214861613</v>
      </c>
      <c r="Y245">
        <f ca="1">IF($C245-Y$1&lt;År1,0,X244*(1-VLOOKUP($A245,[1]Hugst!$R$5:$W$9,MATCH(ROUNDUP((Y$1)/10,0)*10,[1]Hugst!$R$4:$W$4,0))))</f>
        <v>612.6431686695546</v>
      </c>
      <c r="Z245">
        <f ca="1">IF($C245-Z$1&lt;År1,0,Y244*(1-VLOOKUP($A245,[1]Hugst!$R$5:$W$9,MATCH(ROUNDUP((Z$1)/10,0)*10,[1]Hugst!$R$4:$W$4,0))))</f>
        <v>613.254358844335</v>
      </c>
      <c r="AA245">
        <f ca="1">IF($C245-AA$1&lt;År1,0,Z244*(1-VLOOKUP($A245,[1]Hugst!$R$5:$W$9,MATCH(ROUNDUP((AA$1)/10,0)*10,[1]Hugst!$R$4:$W$4,0))))</f>
        <v>613.86996456676241</v>
      </c>
      <c r="AB245">
        <f ca="1">IF($C245-AB$1&lt;År1,0,AA244*(1-VLOOKUP($A245,[1]Hugst!$R$5:$W$9,MATCH(ROUNDUP((AB$1)/10,0)*10,[1]Hugst!$R$4:$W$4,0))))</f>
        <v>614.49000006083384</v>
      </c>
      <c r="AC245">
        <f ca="1">IF($C245-AC$1&lt;År1,0,AB244*(1-VLOOKUP($A245,[1]Hugst!$R$5:$W$9,MATCH(ROUNDUP((AC$1)/10,0)*10,[1]Hugst!$R$4:$W$4,0))))</f>
        <v>615.11447960763201</v>
      </c>
      <c r="AD245">
        <f ca="1">IF($C245-AD$1&lt;År1,0,AC244*(1-VLOOKUP($A245,[1]Hugst!$R$5:$W$9,MATCH(ROUNDUP((AD$1)/10,0)*10,[1]Hugst!$R$4:$W$4,0))))</f>
        <v>615.74341754566615</v>
      </c>
      <c r="AE245">
        <f ca="1">IF($C245-AE$1&lt;År1,0,AD244*(1-VLOOKUP($A245,[1]Hugst!$R$5:$W$9,MATCH(ROUNDUP((AE$1)/10,0)*10,[1]Hugst!$R$4:$W$4,0))))</f>
        <v>616.37682827098024</v>
      </c>
      <c r="AF245">
        <f ca="1">IF($C245-AF$1&lt;År1,0,AE244*(1-VLOOKUP($A245,[1]Hugst!$R$5:$W$9,MATCH(ROUNDUP((AF$1)/10,0)*10,[1]Hugst!$R$4:$W$4,0))))</f>
        <v>617.01472623745008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55000000000000004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22.605038835808955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822.24647977804045</v>
      </c>
      <c r="G246">
        <f ca="1">IF($C246-G$1&lt;År1,0,F245*(1-VLOOKUP($A246,[1]Hugst!$R$5:$W$9,MATCH(ROUNDUP((G$1)/10,0)*10,[1]Hugst!$R$4:$W$4,0))))</f>
        <v>822.33599697519469</v>
      </c>
      <c r="H246">
        <f ca="1">IF($C246-H$1&lt;År1,0,G245*(1-VLOOKUP($A246,[1]Hugst!$R$5:$W$9,MATCH(ROUNDUP((H$1)/10,0)*10,[1]Hugst!$R$4:$W$4,0))))</f>
        <v>822.43138934022147</v>
      </c>
      <c r="I246">
        <f ca="1">IF($C246-I$1&lt;År1,0,H245*(1-VLOOKUP($A246,[1]Hugst!$R$5:$W$9,MATCH(ROUNDUP((I$1)/10,0)*10,[1]Hugst!$R$4:$W$4,0))))</f>
        <v>822.53269551489041</v>
      </c>
      <c r="J246">
        <f ca="1">IF($C246-J$1&lt;År1,0,I245*(1-VLOOKUP($A246,[1]Hugst!$R$5:$W$9,MATCH(ROUNDUP((J$1)/10,0)*10,[1]Hugst!$R$4:$W$4,0))))</f>
        <v>822.63995435006939</v>
      </c>
      <c r="K246">
        <f ca="1">IF($C246-K$1&lt;År1,0,J245*(1-VLOOKUP($A246,[1]Hugst!$R$5:$W$9,MATCH(ROUNDUP((K$1)/10,0)*10,[1]Hugst!$R$4:$W$4,0))))</f>
        <v>822.75320490685147</v>
      </c>
      <c r="L246">
        <f ca="1">IF($C246-L$1&lt;År1,0,K245*(1-VLOOKUP($A246,[1]Hugst!$R$5:$W$9,MATCH(ROUNDUP((L$1)/10,0)*10,[1]Hugst!$R$4:$W$4,0))))</f>
        <v>822.87248645764532</v>
      </c>
      <c r="M246">
        <f ca="1">IF($C246-M$1&lt;År1,0,L245*(1-VLOOKUP($A246,[1]Hugst!$R$5:$W$9,MATCH(ROUNDUP((M$1)/10,0)*10,[1]Hugst!$R$4:$W$4,0))))</f>
        <v>822.9978384872494</v>
      </c>
      <c r="N246">
        <f ca="1">IF($C246-N$1&lt;År1,0,M245*(1-VLOOKUP($A246,[1]Hugst!$R$5:$W$9,MATCH(ROUNDUP((N$1)/10,0)*10,[1]Hugst!$R$4:$W$4,0))))</f>
        <v>823.56879710017904</v>
      </c>
      <c r="O246">
        <f ca="1">IF($C246-O$1&lt;År1,0,N245*(1-VLOOKUP($A246,[1]Hugst!$R$5:$W$9,MATCH(ROUNDUP((O$1)/10,0)*10,[1]Hugst!$R$4:$W$4,0))))</f>
        <v>823.53628571554793</v>
      </c>
      <c r="P246">
        <f ca="1">IF($C246-P$1&lt;År1,0,O245*(1-VLOOKUP($A246,[1]Hugst!$R$5:$W$9,MATCH(ROUNDUP((P$1)/10,0)*10,[1]Hugst!$R$4:$W$4,0))))</f>
        <v>821.69668068968087</v>
      </c>
      <c r="Q246">
        <f ca="1">IF($C246-Q$1&lt;År1,0,P245*(1-VLOOKUP($A246,[1]Hugst!$R$5:$W$9,MATCH(ROUNDUP((Q$1)/10,0)*10,[1]Hugst!$R$4:$W$4,0))))</f>
        <v>819.86178464407669</v>
      </c>
      <c r="R246">
        <f ca="1">IF($C246-R$1&lt;År1,0,Q245*(1-VLOOKUP($A246,[1]Hugst!$R$5:$W$9,MATCH(ROUNDUP((R$1)/10,0)*10,[1]Hugst!$R$4:$W$4,0))))</f>
        <v>818.03158913300308</v>
      </c>
      <c r="S246">
        <f ca="1">IF($C246-S$1&lt;År1,0,R245*(1-VLOOKUP($A246,[1]Hugst!$R$5:$W$9,MATCH(ROUNDUP((S$1)/10,0)*10,[1]Hugst!$R$4:$W$4,0))))</f>
        <v>816.20608573453626</v>
      </c>
      <c r="T246">
        <f ca="1">IF($C246-T$1&lt;År1,0,S245*(1-VLOOKUP($A246,[1]Hugst!$R$5:$W$9,MATCH(ROUNDUP((T$1)/10,0)*10,[1]Hugst!$R$4:$W$4,0))))</f>
        <v>814.38526605065317</v>
      </c>
      <c r="U246">
        <f ca="1">IF($C246-U$1&lt;År1,0,T245*(1-VLOOKUP($A246,[1]Hugst!$R$5:$W$9,MATCH(ROUNDUP((U$1)/10,0)*10,[1]Hugst!$R$4:$W$4,0))))</f>
        <v>812.56912170709654</v>
      </c>
      <c r="V246">
        <f ca="1">IF($C246-V$1&lt;År1,0,U245*(1-VLOOKUP($A246,[1]Hugst!$R$5:$W$9,MATCH(ROUNDUP((V$1)/10,0)*10,[1]Hugst!$R$4:$W$4,0))))</f>
        <v>810.75764435334895</v>
      </c>
      <c r="W246">
        <f ca="1">IF($C246-W$1&lt;År1,0,V245*(1-VLOOKUP($A246,[1]Hugst!$R$5:$W$9,MATCH(ROUNDUP((W$1)/10,0)*10,[1]Hugst!$R$4:$W$4,0))))</f>
        <v>612.65671017401587</v>
      </c>
      <c r="X246">
        <f ca="1">IF($C246-X$1&lt;År1,0,W245*(1-VLOOKUP($A246,[1]Hugst!$R$5:$W$9,MATCH(ROUNDUP((X$1)/10,0)*10,[1]Hugst!$R$4:$W$4,0))))</f>
        <v>611.28543136508131</v>
      </c>
      <c r="Y246">
        <f ca="1">IF($C246-Y$1&lt;År1,0,X245*(1-VLOOKUP($A246,[1]Hugst!$R$5:$W$9,MATCH(ROUNDUP((Y$1)/10,0)*10,[1]Hugst!$R$4:$W$4,0))))</f>
        <v>611.28999404633873</v>
      </c>
      <c r="Z246">
        <f ca="1">IF($C246-Z$1&lt;År1,0,Y245*(1-VLOOKUP($A246,[1]Hugst!$R$5:$W$9,MATCH(ROUNDUP((Z$1)/10,0)*10,[1]Hugst!$R$4:$W$4,0))))</f>
        <v>611.89604285410394</v>
      </c>
      <c r="AA246">
        <f ca="1">IF($C246-AA$1&lt;År1,0,Z245*(1-VLOOKUP($A246,[1]Hugst!$R$5:$W$9,MATCH(ROUNDUP((AA$1)/10,0)*10,[1]Hugst!$R$4:$W$4,0))))</f>
        <v>612.50648767501264</v>
      </c>
      <c r="AB246">
        <f ca="1">IF($C246-AB$1&lt;År1,0,AA245*(1-VLOOKUP($A246,[1]Hugst!$R$5:$W$9,MATCH(ROUNDUP((AB$1)/10,0)*10,[1]Hugst!$R$4:$W$4,0))))</f>
        <v>613.1213426587542</v>
      </c>
      <c r="AC246">
        <f ca="1">IF($C246-AC$1&lt;År1,0,AB245*(1-VLOOKUP($A246,[1]Hugst!$R$5:$W$9,MATCH(ROUNDUP((AC$1)/10,0)*10,[1]Hugst!$R$4:$W$4,0))))</f>
        <v>613.74062201197921</v>
      </c>
      <c r="AD246">
        <f ca="1">IF($C246-AD$1&lt;År1,0,AC245*(1-VLOOKUP($A246,[1]Hugst!$R$5:$W$9,MATCH(ROUNDUP((AD$1)/10,0)*10,[1]Hugst!$R$4:$W$4,0))))</f>
        <v>614.36433999835435</v>
      </c>
      <c r="AE246">
        <f ca="1">IF($C246-AE$1&lt;År1,0,AD245*(1-VLOOKUP($A246,[1]Hugst!$R$5:$W$9,MATCH(ROUNDUP((AE$1)/10,0)*10,[1]Hugst!$R$4:$W$4,0))))</f>
        <v>614.99251093890314</v>
      </c>
      <c r="AF246">
        <f ca="1">IF($C246-AF$1&lt;År1,0,AE245*(1-VLOOKUP($A246,[1]Hugst!$R$5:$W$9,MATCH(ROUNDUP((AF$1)/10,0)*10,[1]Hugst!$R$4:$W$4,0))))</f>
        <v>615.62514921211323</v>
      </c>
      <c r="AG246">
        <f ca="1">IF($C246-AG$1&lt;År1,0,AF245*(1-VLOOKUP($A246,[1]Hugst!$R$5:$W$9,MATCH(ROUNDUP((AG$1)/10,0)*10,[1]Hugst!$R$4:$W$4,0))))</f>
        <v>616.26226925423373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55000000000000004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23.772651997402136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822.16279931517522</v>
      </c>
      <c r="G247">
        <f ca="1">IF($C247-G$1&lt;År1,0,F246*(1-VLOOKUP($A247,[1]Hugst!$R$5:$W$9,MATCH(ROUNDUP((G$1)/10,0)*10,[1]Hugst!$R$4:$W$4,0))))</f>
        <v>822.24647977804045</v>
      </c>
      <c r="H247">
        <f ca="1">IF($C247-H$1&lt;År1,0,G246*(1-VLOOKUP($A247,[1]Hugst!$R$5:$W$9,MATCH(ROUNDUP((H$1)/10,0)*10,[1]Hugst!$R$4:$W$4,0))))</f>
        <v>822.33599697519469</v>
      </c>
      <c r="I247">
        <f ca="1">IF($C247-I$1&lt;År1,0,H246*(1-VLOOKUP($A247,[1]Hugst!$R$5:$W$9,MATCH(ROUNDUP((I$1)/10,0)*10,[1]Hugst!$R$4:$W$4,0))))</f>
        <v>822.43138934022147</v>
      </c>
      <c r="J247">
        <f ca="1">IF($C247-J$1&lt;År1,0,I246*(1-VLOOKUP($A247,[1]Hugst!$R$5:$W$9,MATCH(ROUNDUP((J$1)/10,0)*10,[1]Hugst!$R$4:$W$4,0))))</f>
        <v>822.53269551489041</v>
      </c>
      <c r="K247">
        <f ca="1">IF($C247-K$1&lt;År1,0,J246*(1-VLOOKUP($A247,[1]Hugst!$R$5:$W$9,MATCH(ROUNDUP((K$1)/10,0)*10,[1]Hugst!$R$4:$W$4,0))))</f>
        <v>822.63995435006939</v>
      </c>
      <c r="L247">
        <f ca="1">IF($C247-L$1&lt;År1,0,K246*(1-VLOOKUP($A247,[1]Hugst!$R$5:$W$9,MATCH(ROUNDUP((L$1)/10,0)*10,[1]Hugst!$R$4:$W$4,0))))</f>
        <v>822.75320490685147</v>
      </c>
      <c r="M247">
        <f ca="1">IF($C247-M$1&lt;År1,0,L246*(1-VLOOKUP($A247,[1]Hugst!$R$5:$W$9,MATCH(ROUNDUP((M$1)/10,0)*10,[1]Hugst!$R$4:$W$4,0))))</f>
        <v>822.87248645764532</v>
      </c>
      <c r="N247">
        <f ca="1">IF($C247-N$1&lt;År1,0,M246*(1-VLOOKUP($A247,[1]Hugst!$R$5:$W$9,MATCH(ROUNDUP((N$1)/10,0)*10,[1]Hugst!$R$4:$W$4,0))))</f>
        <v>822.9978384872494</v>
      </c>
      <c r="O247">
        <f ca="1">IF($C247-O$1&lt;År1,0,N246*(1-VLOOKUP($A247,[1]Hugst!$R$5:$W$9,MATCH(ROUNDUP((O$1)/10,0)*10,[1]Hugst!$R$4:$W$4,0))))</f>
        <v>823.56879710017904</v>
      </c>
      <c r="P247">
        <f ca="1">IF($C247-P$1&lt;År1,0,O246*(1-VLOOKUP($A247,[1]Hugst!$R$5:$W$9,MATCH(ROUNDUP((P$1)/10,0)*10,[1]Hugst!$R$4:$W$4,0))))</f>
        <v>821.72852313714793</v>
      </c>
      <c r="Q247">
        <f ca="1">IF($C247-Q$1&lt;År1,0,P246*(1-VLOOKUP($A247,[1]Hugst!$R$5:$W$9,MATCH(ROUNDUP((Q$1)/10,0)*10,[1]Hugst!$R$4:$W$4,0))))</f>
        <v>819.89295626865476</v>
      </c>
      <c r="R247">
        <f ca="1">IF($C247-R$1&lt;År1,0,Q246*(1-VLOOKUP($A247,[1]Hugst!$R$5:$W$9,MATCH(ROUNDUP((R$1)/10,0)*10,[1]Hugst!$R$4:$W$4,0))))</f>
        <v>818.06208804363848</v>
      </c>
      <c r="S247">
        <f ca="1">IF($C247-S$1&lt;År1,0,R246*(1-VLOOKUP($A247,[1]Hugst!$R$5:$W$9,MATCH(ROUNDUP((S$1)/10,0)*10,[1]Hugst!$R$4:$W$4,0))))</f>
        <v>816.23591003490628</v>
      </c>
      <c r="T247">
        <f ca="1">IF($C247-T$1&lt;År1,0,S246*(1-VLOOKUP($A247,[1]Hugst!$R$5:$W$9,MATCH(ROUNDUP((T$1)/10,0)*10,[1]Hugst!$R$4:$W$4,0))))</f>
        <v>814.41441383902145</v>
      </c>
      <c r="U247">
        <f ca="1">IF($C247-U$1&lt;År1,0,T246*(1-VLOOKUP($A247,[1]Hugst!$R$5:$W$9,MATCH(ROUNDUP((U$1)/10,0)*10,[1]Hugst!$R$4:$W$4,0))))</f>
        <v>812.59759107639559</v>
      </c>
      <c r="V247">
        <f ca="1">IF($C247-V$1&lt;År1,0,U246*(1-VLOOKUP($A247,[1]Hugst!$R$5:$W$9,MATCH(ROUNDUP((V$1)/10,0)*10,[1]Hugst!$R$4:$W$4,0))))</f>
        <v>810.78543339115413</v>
      </c>
      <c r="W247">
        <f ca="1">IF($C247-W$1&lt;År1,0,V246*(1-VLOOKUP($A247,[1]Hugst!$R$5:$W$9,MATCH(ROUNDUP((W$1)/10,0)*10,[1]Hugst!$R$4:$W$4,0))))</f>
        <v>808.97793245110984</v>
      </c>
      <c r="X247">
        <f ca="1">IF($C247-X$1&lt;År1,0,W246*(1-VLOOKUP($A247,[1]Hugst!$R$5:$W$9,MATCH(ROUNDUP((X$1)/10,0)*10,[1]Hugst!$R$4:$W$4,0))))</f>
        <v>611.3118539809509</v>
      </c>
      <c r="Y247">
        <f ca="1">IF($C247-Y$1&lt;År1,0,X246*(1-VLOOKUP($A247,[1]Hugst!$R$5:$W$9,MATCH(ROUNDUP((Y$1)/10,0)*10,[1]Hugst!$R$4:$W$4,0))))</f>
        <v>609.94358529623116</v>
      </c>
      <c r="Z247">
        <f ca="1">IF($C247-Z$1&lt;År1,0,Y246*(1-VLOOKUP($A247,[1]Hugst!$R$5:$W$9,MATCH(ROUNDUP((Z$1)/10,0)*10,[1]Hugst!$R$4:$W$4,0))))</f>
        <v>610.54451844384323</v>
      </c>
      <c r="AA247">
        <f ca="1">IF($C247-AA$1&lt;År1,0,Z246*(1-VLOOKUP($A247,[1]Hugst!$R$5:$W$9,MATCH(ROUNDUP((AA$1)/10,0)*10,[1]Hugst!$R$4:$W$4,0))))</f>
        <v>611.14982816769646</v>
      </c>
      <c r="AB247">
        <f ca="1">IF($C247-AB$1&lt;År1,0,AA246*(1-VLOOKUP($A247,[1]Hugst!$R$5:$W$9,MATCH(ROUNDUP((AB$1)/10,0)*10,[1]Hugst!$R$4:$W$4,0))))</f>
        <v>611.75952854370166</v>
      </c>
      <c r="AC247">
        <f ca="1">IF($C247-AC$1&lt;År1,0,AB246*(1-VLOOKUP($A247,[1]Hugst!$R$5:$W$9,MATCH(ROUNDUP((AC$1)/10,0)*10,[1]Hugst!$R$4:$W$4,0))))</f>
        <v>612.37363370429227</v>
      </c>
      <c r="AD247">
        <f ca="1">IF($C247-AD$1&lt;År1,0,AC246*(1-VLOOKUP($A247,[1]Hugst!$R$5:$W$9,MATCH(ROUNDUP((AD$1)/10,0)*10,[1]Hugst!$R$4:$W$4,0))))</f>
        <v>612.9921578387939</v>
      </c>
      <c r="AE247">
        <f ca="1">IF($C247-AE$1&lt;År1,0,AD246*(1-VLOOKUP($A247,[1]Hugst!$R$5:$W$9,MATCH(ROUNDUP((AE$1)/10,0)*10,[1]Hugst!$R$4:$W$4,0))))</f>
        <v>613.61511519347835</v>
      </c>
      <c r="AF247">
        <f ca="1">IF($C247-AF$1&lt;År1,0,AE246*(1-VLOOKUP($A247,[1]Hugst!$R$5:$W$9,MATCH(ROUNDUP((AF$1)/10,0)*10,[1]Hugst!$R$4:$W$4,0))))</f>
        <v>614.24252007190444</v>
      </c>
      <c r="AG247">
        <f ca="1">IF($C247-AG$1&lt;År1,0,AF246*(1-VLOOKUP($A247,[1]Hugst!$R$5:$W$9,MATCH(ROUNDUP((AG$1)/10,0)*10,[1]Hugst!$R$4:$W$4,0))))</f>
        <v>614.87438683502523</v>
      </c>
      <c r="AH247">
        <f ca="1">IF($C247-AH$1&lt;År1,0,AG246*(1-VLOOKUP($A247,[1]Hugst!$R$5:$W$9,MATCH(ROUNDUP((AH$1)/10,0)*10,[1]Hugst!$R$4:$W$4,0))))</f>
        <v>615.51072990148464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55000000000000004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24.939807198512426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822.08491735995278</v>
      </c>
      <c r="G248">
        <f ca="1">IF($C248-G$1&lt;År1,0,F247*(1-VLOOKUP($A248,[1]Hugst!$R$5:$W$9,MATCH(ROUNDUP((G$1)/10,0)*10,[1]Hugst!$R$4:$W$4,0))))</f>
        <v>822.16279931517522</v>
      </c>
      <c r="H248">
        <f ca="1">IF($C248-H$1&lt;År1,0,G247*(1-VLOOKUP($A248,[1]Hugst!$R$5:$W$9,MATCH(ROUNDUP((H$1)/10,0)*10,[1]Hugst!$R$4:$W$4,0))))</f>
        <v>822.24647977804045</v>
      </c>
      <c r="I248">
        <f ca="1">IF($C248-I$1&lt;År1,0,H247*(1-VLOOKUP($A248,[1]Hugst!$R$5:$W$9,MATCH(ROUNDUP((I$1)/10,0)*10,[1]Hugst!$R$4:$W$4,0))))</f>
        <v>822.33599697519469</v>
      </c>
      <c r="J248">
        <f ca="1">IF($C248-J$1&lt;År1,0,I247*(1-VLOOKUP($A248,[1]Hugst!$R$5:$W$9,MATCH(ROUNDUP((J$1)/10,0)*10,[1]Hugst!$R$4:$W$4,0))))</f>
        <v>822.43138934022147</v>
      </c>
      <c r="K248">
        <f ca="1">IF($C248-K$1&lt;År1,0,J247*(1-VLOOKUP($A248,[1]Hugst!$R$5:$W$9,MATCH(ROUNDUP((K$1)/10,0)*10,[1]Hugst!$R$4:$W$4,0))))</f>
        <v>822.53269551489041</v>
      </c>
      <c r="L248">
        <f ca="1">IF($C248-L$1&lt;År1,0,K247*(1-VLOOKUP($A248,[1]Hugst!$R$5:$W$9,MATCH(ROUNDUP((L$1)/10,0)*10,[1]Hugst!$R$4:$W$4,0))))</f>
        <v>822.63995435006939</v>
      </c>
      <c r="M248">
        <f ca="1">IF($C248-M$1&lt;År1,0,L247*(1-VLOOKUP($A248,[1]Hugst!$R$5:$W$9,MATCH(ROUNDUP((M$1)/10,0)*10,[1]Hugst!$R$4:$W$4,0))))</f>
        <v>822.75320490685147</v>
      </c>
      <c r="N248">
        <f ca="1">IF($C248-N$1&lt;År1,0,M247*(1-VLOOKUP($A248,[1]Hugst!$R$5:$W$9,MATCH(ROUNDUP((N$1)/10,0)*10,[1]Hugst!$R$4:$W$4,0))))</f>
        <v>822.87248645764532</v>
      </c>
      <c r="O248">
        <f ca="1">IF($C248-O$1&lt;År1,0,N247*(1-VLOOKUP($A248,[1]Hugst!$R$5:$W$9,MATCH(ROUNDUP((O$1)/10,0)*10,[1]Hugst!$R$4:$W$4,0))))</f>
        <v>822.9978384872494</v>
      </c>
      <c r="P248">
        <f ca="1">IF($C248-P$1&lt;År1,0,O247*(1-VLOOKUP($A248,[1]Hugst!$R$5:$W$9,MATCH(ROUNDUP((P$1)/10,0)*10,[1]Hugst!$R$4:$W$4,0))))</f>
        <v>821.76096315532504</v>
      </c>
      <c r="Q248">
        <f ca="1">IF($C248-Q$1&lt;År1,0,P247*(1-VLOOKUP($A248,[1]Hugst!$R$5:$W$9,MATCH(ROUNDUP((Q$1)/10,0)*10,[1]Hugst!$R$4:$W$4,0))))</f>
        <v>819.92472881806634</v>
      </c>
      <c r="R248">
        <f ca="1">IF($C248-R$1&lt;År1,0,Q247*(1-VLOOKUP($A248,[1]Hugst!$R$5:$W$9,MATCH(ROUNDUP((R$1)/10,0)*10,[1]Hugst!$R$4:$W$4,0))))</f>
        <v>818.09319124269916</v>
      </c>
      <c r="S248">
        <f ca="1">IF($C248-S$1&lt;År1,0,R247*(1-VLOOKUP($A248,[1]Hugst!$R$5:$W$9,MATCH(ROUNDUP((S$1)/10,0)*10,[1]Hugst!$R$4:$W$4,0))))</f>
        <v>816.26634199671344</v>
      </c>
      <c r="T248">
        <f ca="1">IF($C248-T$1&lt;År1,0,S247*(1-VLOOKUP($A248,[1]Hugst!$R$5:$W$9,MATCH(ROUNDUP((T$1)/10,0)*10,[1]Hugst!$R$4:$W$4,0))))</f>
        <v>814.444172671415</v>
      </c>
      <c r="U248">
        <f ca="1">IF($C248-U$1&lt;År1,0,T247*(1-VLOOKUP($A248,[1]Hugst!$R$5:$W$9,MATCH(ROUNDUP((U$1)/10,0)*10,[1]Hugst!$R$4:$W$4,0))))</f>
        <v>812.62667488181387</v>
      </c>
      <c r="V248">
        <f ca="1">IF($C248-V$1&lt;År1,0,U247*(1-VLOOKUP($A248,[1]Hugst!$R$5:$W$9,MATCH(ROUNDUP((V$1)/10,0)*10,[1]Hugst!$R$4:$W$4,0))))</f>
        <v>810.81384026671572</v>
      </c>
      <c r="W248">
        <f ca="1">IF($C248-W$1&lt;År1,0,V247*(1-VLOOKUP($A248,[1]Hugst!$R$5:$W$9,MATCH(ROUNDUP((W$1)/10,0)*10,[1]Hugst!$R$4:$W$4,0))))</f>
        <v>809.00566048858821</v>
      </c>
      <c r="X248">
        <f ca="1">IF($C248-X$1&lt;År1,0,W247*(1-VLOOKUP($A248,[1]Hugst!$R$5:$W$9,MATCH(ROUNDUP((X$1)/10,0)*10,[1]Hugst!$R$4:$W$4,0))))</f>
        <v>807.20212723353427</v>
      </c>
      <c r="Y248">
        <f ca="1">IF($C248-Y$1&lt;År1,0,X247*(1-VLOOKUP($A248,[1]Hugst!$R$5:$W$9,MATCH(ROUNDUP((Y$1)/10,0)*10,[1]Hugst!$R$4:$W$4,0))))</f>
        <v>609.96994991123665</v>
      </c>
      <c r="Z248">
        <f ca="1">IF($C248-Z$1&lt;År1,0,Y247*(1-VLOOKUP($A248,[1]Hugst!$R$5:$W$9,MATCH(ROUNDUP((Z$1)/10,0)*10,[1]Hugst!$R$4:$W$4,0))))</f>
        <v>609.19975165562596</v>
      </c>
      <c r="AA248">
        <f ca="1">IF($C248-AA$1&lt;År1,0,Z247*(1-VLOOKUP($A248,[1]Hugst!$R$5:$W$9,MATCH(ROUNDUP((AA$1)/10,0)*10,[1]Hugst!$R$4:$W$4,0))))</f>
        <v>609.79995195793606</v>
      </c>
      <c r="AB248">
        <f ca="1">IF($C248-AB$1&lt;År1,0,AA247*(1-VLOOKUP($A248,[1]Hugst!$R$5:$W$9,MATCH(ROUNDUP((AB$1)/10,0)*10,[1]Hugst!$R$4:$W$4,0))))</f>
        <v>610.40452349919929</v>
      </c>
      <c r="AC248">
        <f ca="1">IF($C248-AC$1&lt;År1,0,AB247*(1-VLOOKUP($A248,[1]Hugst!$R$5:$W$9,MATCH(ROUNDUP((AC$1)/10,0)*10,[1]Hugst!$R$4:$W$4,0))))</f>
        <v>611.01348033816055</v>
      </c>
      <c r="AD248">
        <f ca="1">IF($C248-AD$1&lt;År1,0,AC247*(1-VLOOKUP($A248,[1]Hugst!$R$5:$W$9,MATCH(ROUNDUP((AD$1)/10,0)*10,[1]Hugst!$R$4:$W$4,0))))</f>
        <v>611.6268365900188</v>
      </c>
      <c r="AE248">
        <f ca="1">IF($C248-AE$1&lt;År1,0,AD247*(1-VLOOKUP($A248,[1]Hugst!$R$5:$W$9,MATCH(ROUNDUP((AE$1)/10,0)*10,[1]Hugst!$R$4:$W$4,0))))</f>
        <v>612.24460642679537</v>
      </c>
      <c r="AF248">
        <f ca="1">IF($C248-AF$1&lt;År1,0,AE247*(1-VLOOKUP($A248,[1]Hugst!$R$5:$W$9,MATCH(ROUNDUP((AF$1)/10,0)*10,[1]Hugst!$R$4:$W$4,0))))</f>
        <v>612.86680407738879</v>
      </c>
      <c r="AG248">
        <f ca="1">IF($C248-AG$1&lt;År1,0,AF247*(1-VLOOKUP($A248,[1]Hugst!$R$5:$W$9,MATCH(ROUNDUP((AG$1)/10,0)*10,[1]Hugst!$R$4:$W$4,0))))</f>
        <v>613.49344382791435</v>
      </c>
      <c r="AH248">
        <f ca="1">IF($C248-AH$1&lt;År1,0,AG247*(1-VLOOKUP($A248,[1]Hugst!$R$5:$W$9,MATCH(ROUNDUP((AH$1)/10,0)*10,[1]Hugst!$R$4:$W$4,0))))</f>
        <v>614.12454002181175</v>
      </c>
      <c r="AI248">
        <f ca="1">IF($C248-AI$1&lt;År1,0,AH247*(1-VLOOKUP($A248,[1]Hugst!$R$5:$W$9,MATCH(ROUNDUP((AI$1)/10,0)*10,[1]Hugst!$R$4:$W$4,0))))</f>
        <v>614.76010706014131</v>
      </c>
      <c r="AJ248">
        <f>IF($C248-AJ$1&lt;År1,0,AI247*(1-VLOOKUP($A248,[1]Hugst!$R$5:$W$9,MATCH(ROUNDUP((AJ$1)/10,0)*10,[1]Hugst!$R$4:$W$4,0))))</f>
        <v>0</v>
      </c>
    </row>
    <row r="249" spans="1:36" x14ac:dyDescent="0.55000000000000004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25.766470631497214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821.67276882237286</v>
      </c>
      <c r="G249">
        <f ca="1">IF($C249-G$1&lt;År1,0,F248*(1-VLOOKUP($A249,[1]Hugst!$R$5:$W$9,MATCH(ROUNDUP((G$1)/10,0)*10,[1]Hugst!$R$4:$W$4,0))))</f>
        <v>822.08491735995278</v>
      </c>
      <c r="H249">
        <f ca="1">IF($C249-H$1&lt;År1,0,G248*(1-VLOOKUP($A249,[1]Hugst!$R$5:$W$9,MATCH(ROUNDUP((H$1)/10,0)*10,[1]Hugst!$R$4:$W$4,0))))</f>
        <v>822.16279931517522</v>
      </c>
      <c r="I249">
        <f ca="1">IF($C249-I$1&lt;År1,0,H248*(1-VLOOKUP($A249,[1]Hugst!$R$5:$W$9,MATCH(ROUNDUP((I$1)/10,0)*10,[1]Hugst!$R$4:$W$4,0))))</f>
        <v>822.24647977804045</v>
      </c>
      <c r="J249">
        <f ca="1">IF($C249-J$1&lt;År1,0,I248*(1-VLOOKUP($A249,[1]Hugst!$R$5:$W$9,MATCH(ROUNDUP((J$1)/10,0)*10,[1]Hugst!$R$4:$W$4,0))))</f>
        <v>822.33599697519469</v>
      </c>
      <c r="K249">
        <f ca="1">IF($C249-K$1&lt;År1,0,J248*(1-VLOOKUP($A249,[1]Hugst!$R$5:$W$9,MATCH(ROUNDUP((K$1)/10,0)*10,[1]Hugst!$R$4:$W$4,0))))</f>
        <v>822.43138934022147</v>
      </c>
      <c r="L249">
        <f ca="1">IF($C249-L$1&lt;År1,0,K248*(1-VLOOKUP($A249,[1]Hugst!$R$5:$W$9,MATCH(ROUNDUP((L$1)/10,0)*10,[1]Hugst!$R$4:$W$4,0))))</f>
        <v>822.53269551489041</v>
      </c>
      <c r="M249">
        <f ca="1">IF($C249-M$1&lt;År1,0,L248*(1-VLOOKUP($A249,[1]Hugst!$R$5:$W$9,MATCH(ROUNDUP((M$1)/10,0)*10,[1]Hugst!$R$4:$W$4,0))))</f>
        <v>822.63995435006939</v>
      </c>
      <c r="N249">
        <f ca="1">IF($C249-N$1&lt;År1,0,M248*(1-VLOOKUP($A249,[1]Hugst!$R$5:$W$9,MATCH(ROUNDUP((N$1)/10,0)*10,[1]Hugst!$R$4:$W$4,0))))</f>
        <v>822.75320490685147</v>
      </c>
      <c r="O249">
        <f ca="1">IF($C249-O$1&lt;År1,0,N248*(1-VLOOKUP($A249,[1]Hugst!$R$5:$W$9,MATCH(ROUNDUP((O$1)/10,0)*10,[1]Hugst!$R$4:$W$4,0))))</f>
        <v>822.87248645764532</v>
      </c>
      <c r="P249">
        <f ca="1">IF($C249-P$1&lt;År1,0,O248*(1-VLOOKUP($A249,[1]Hugst!$R$5:$W$9,MATCH(ROUNDUP((P$1)/10,0)*10,[1]Hugst!$R$4:$W$4,0))))</f>
        <v>821.19125786617985</v>
      </c>
      <c r="Q249">
        <f ca="1">IF($C249-Q$1&lt;År1,0,P248*(1-VLOOKUP($A249,[1]Hugst!$R$5:$W$9,MATCH(ROUNDUP((Q$1)/10,0)*10,[1]Hugst!$R$4:$W$4,0))))</f>
        <v>819.95709762644753</v>
      </c>
      <c r="R249">
        <f ca="1">IF($C249-R$1&lt;År1,0,Q248*(1-VLOOKUP($A249,[1]Hugst!$R$5:$W$9,MATCH(ROUNDUP((R$1)/10,0)*10,[1]Hugst!$R$4:$W$4,0))))</f>
        <v>818.1248940474901</v>
      </c>
      <c r="S249">
        <f ca="1">IF($C249-S$1&lt;År1,0,R248*(1-VLOOKUP($A249,[1]Hugst!$R$5:$W$9,MATCH(ROUNDUP((S$1)/10,0)*10,[1]Hugst!$R$4:$W$4,0))))</f>
        <v>816.2973769204591</v>
      </c>
      <c r="T249">
        <f ca="1">IF($C249-T$1&lt;År1,0,S248*(1-VLOOKUP($A249,[1]Hugst!$R$5:$W$9,MATCH(ROUNDUP((T$1)/10,0)*10,[1]Hugst!$R$4:$W$4,0))))</f>
        <v>814.47453783135484</v>
      </c>
      <c r="U249">
        <f ca="1">IF($C249-U$1&lt;År1,0,T248*(1-VLOOKUP($A249,[1]Hugst!$R$5:$W$9,MATCH(ROUNDUP((U$1)/10,0)*10,[1]Hugst!$R$4:$W$4,0))))</f>
        <v>812.65636838994112</v>
      </c>
      <c r="V249">
        <f ca="1">IF($C249-V$1&lt;År1,0,U248*(1-VLOOKUP($A249,[1]Hugst!$R$5:$W$9,MATCH(ROUNDUP((V$1)/10,0)*10,[1]Hugst!$R$4:$W$4,0))))</f>
        <v>810.84286022963431</v>
      </c>
      <c r="W249">
        <f ca="1">IF($C249-W$1&lt;År1,0,V248*(1-VLOOKUP($A249,[1]Hugst!$R$5:$W$9,MATCH(ROUNDUP((W$1)/10,0)*10,[1]Hugst!$R$4:$W$4,0))))</f>
        <v>809.03400500759369</v>
      </c>
      <c r="X249">
        <f ca="1">IF($C249-X$1&lt;År1,0,W248*(1-VLOOKUP($A249,[1]Hugst!$R$5:$W$9,MATCH(ROUNDUP((X$1)/10,0)*10,[1]Hugst!$R$4:$W$4,0))))</f>
        <v>807.22979440458892</v>
      </c>
      <c r="Y249">
        <f ca="1">IF($C249-Y$1&lt;År1,0,X248*(1-VLOOKUP($A249,[1]Hugst!$R$5:$W$9,MATCH(ROUNDUP((Y$1)/10,0)*10,[1]Hugst!$R$4:$W$4,0))))</f>
        <v>805.43022012497283</v>
      </c>
      <c r="Z249">
        <f ca="1">IF($C249-Z$1&lt;År1,0,Y248*(1-VLOOKUP($A249,[1]Hugst!$R$5:$W$9,MATCH(ROUNDUP((Z$1)/10,0)*10,[1]Hugst!$R$4:$W$4,0))))</f>
        <v>609.22608411866202</v>
      </c>
      <c r="AA249">
        <f ca="1">IF($C249-AA$1&lt;År1,0,Z248*(1-VLOOKUP($A249,[1]Hugst!$R$5:$W$9,MATCH(ROUNDUP((AA$1)/10,0)*10,[1]Hugst!$R$4:$W$4,0))))</f>
        <v>608.45682512921667</v>
      </c>
      <c r="AB249">
        <f ca="1">IF($C249-AB$1&lt;År1,0,AA248*(1-VLOOKUP($A249,[1]Hugst!$R$5:$W$9,MATCH(ROUNDUP((AB$1)/10,0)*10,[1]Hugst!$R$4:$W$4,0))))</f>
        <v>609.05629347993863</v>
      </c>
      <c r="AC249">
        <f ca="1">IF($C249-AC$1&lt;År1,0,AB248*(1-VLOOKUP($A249,[1]Hugst!$R$5:$W$9,MATCH(ROUNDUP((AC$1)/10,0)*10,[1]Hugst!$R$4:$W$4,0))))</f>
        <v>609.66012773883438</v>
      </c>
      <c r="AD249">
        <f ca="1">IF($C249-AD$1&lt;År1,0,AC248*(1-VLOOKUP($A249,[1]Hugst!$R$5:$W$9,MATCH(ROUNDUP((AD$1)/10,0)*10,[1]Hugst!$R$4:$W$4,0))))</f>
        <v>610.26834194750427</v>
      </c>
      <c r="AE249">
        <f ca="1">IF($C249-AE$1&lt;År1,0,AD248*(1-VLOOKUP($A249,[1]Hugst!$R$5:$W$9,MATCH(ROUNDUP((AE$1)/10,0)*10,[1]Hugst!$R$4:$W$4,0))))</f>
        <v>610.88095020393337</v>
      </c>
      <c r="AF249">
        <f ca="1">IF($C249-AF$1&lt;År1,0,AE248*(1-VLOOKUP($A249,[1]Hugst!$R$5:$W$9,MATCH(ROUNDUP((AF$1)/10,0)*10,[1]Hugst!$R$4:$W$4,0))))</f>
        <v>611.49796666286022</v>
      </c>
      <c r="AG249">
        <f ca="1">IF($C249-AG$1&lt;År1,0,AF248*(1-VLOOKUP($A249,[1]Hugst!$R$5:$W$9,MATCH(ROUNDUP((AG$1)/10,0)*10,[1]Hugst!$R$4:$W$4,0))))</f>
        <v>612.11940553583099</v>
      </c>
      <c r="AH249">
        <f ca="1">IF($C249-AH$1&lt;År1,0,AG248*(1-VLOOKUP($A249,[1]Hugst!$R$5:$W$9,MATCH(ROUNDUP((AH$1)/10,0)*10,[1]Hugst!$R$4:$W$4,0))))</f>
        <v>612.7452810915388</v>
      </c>
      <c r="AI249">
        <f ca="1">IF($C249-AI$1&lt;År1,0,AH248*(1-VLOOKUP($A249,[1]Hugst!$R$5:$W$9,MATCH(ROUNDUP((AI$1)/10,0)*10,[1]Hugst!$R$4:$W$4,0))))</f>
        <v>613.3756076559315</v>
      </c>
      <c r="AJ249">
        <f ca="1">IF($C249-AJ$1&lt;År1,0,AI248*(1-VLOOKUP($A249,[1]Hugst!$R$5:$W$9,MATCH(ROUNDUP((AJ$1)/10,0)*10,[1]Hugst!$R$4:$W$4,0))))</f>
        <v>614.34776796394249</v>
      </c>
    </row>
    <row r="250" spans="1:36" x14ac:dyDescent="0.55000000000000004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55000000000000004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55000000000000004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55000000000000004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55000000000000004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55000000000000004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55000000000000004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55000000000000004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55000000000000004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55000000000000004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55000000000000004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55000000000000004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55000000000000004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55000000000000004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55000000000000004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55000000000000004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55000000000000004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55000000000000004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55000000000000004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55000000000000004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55000000000000004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55000000000000004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55000000000000004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55000000000000004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55000000000000004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55000000000000004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55000000000000004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55000000000000004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55000000000000004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55000000000000004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55000000000000004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55000000000000004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55000000000000004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55000000000000004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55000000000000004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55000000000000004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55000000000000004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55000000000000004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55000000000000004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55000000000000004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55000000000000004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55000000000000004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55000000000000004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55000000000000004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55000000000000004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55000000000000004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55000000000000004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55000000000000004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55000000000000004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55000000000000004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55000000000000004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55000000000000004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55000000000000004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55000000000000004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55000000000000004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55000000000000004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55000000000000004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55000000000000004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55000000000000004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55000000000000004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55000000000000004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55000000000000004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295" t="s">
        <v>271</v>
      </c>
      <c r="F1" s="73"/>
    </row>
    <row r="2" spans="1:7" s="298" customFormat="1" x14ac:dyDescent="0.55000000000000004">
      <c r="A2" s="297"/>
      <c r="C2" s="404" t="s">
        <v>317</v>
      </c>
      <c r="D2" s="404"/>
      <c r="E2" s="404"/>
    </row>
    <row r="3" spans="1:7" x14ac:dyDescent="0.55000000000000004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55000000000000004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05"/>
    </row>
    <row r="5" spans="1:7" x14ac:dyDescent="0.55000000000000004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05"/>
    </row>
    <row r="6" spans="1:7" x14ac:dyDescent="0.55000000000000004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06"/>
    </row>
    <row r="7" spans="1:7" x14ac:dyDescent="0.55000000000000004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06"/>
    </row>
    <row r="8" spans="1:7" x14ac:dyDescent="0.55000000000000004">
      <c r="A8" s="296"/>
      <c r="C8" s="1" t="s">
        <v>240</v>
      </c>
      <c r="F8" s="73"/>
    </row>
    <row r="9" spans="1:7" x14ac:dyDescent="0.55000000000000004">
      <c r="A9" s="296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55000000000000004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55000000000000004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05" t="s">
        <v>271</v>
      </c>
    </row>
    <row r="2" spans="1:10" ht="15.6" x14ac:dyDescent="0.6">
      <c r="A2" s="203" t="s">
        <v>25</v>
      </c>
    </row>
    <row r="3" spans="1:10" x14ac:dyDescent="0.55000000000000004">
      <c r="A3" s="6" t="s">
        <v>301</v>
      </c>
    </row>
    <row r="4" spans="1:10" x14ac:dyDescent="0.55000000000000004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55000000000000004">
      <c r="A5" s="2" t="s">
        <v>220</v>
      </c>
      <c r="B5" s="84">
        <v>0</v>
      </c>
      <c r="C5" s="3">
        <v>0.2</v>
      </c>
      <c r="D5" s="3">
        <v>0.4</v>
      </c>
      <c r="F5" s="24" t="str">
        <f>A5</f>
        <v>Planteprotein*</v>
      </c>
      <c r="G5" s="24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140682.1084576633</v>
      </c>
      <c r="J5" s="10">
        <f>SUMIFS('Resultat-Produktion &amp; forbrug'!$N$3:$N$1000,'Resultat-Produktion &amp; forbrug'!$A$3:$A$1000,Adfærd!$G5,'Resultat-Produktion &amp; forbrug'!$D$3:$D$1000,Adfærd!J$4)</f>
        <v>41874.515539294342</v>
      </c>
    </row>
    <row r="6" spans="1:10" x14ac:dyDescent="0.55000000000000004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880.09999999999991</v>
      </c>
      <c r="J6" s="10">
        <f>SUMIFS('Resultat-Produktion &amp; forbrug'!$N$3:$N$1000,'Resultat-Produktion &amp; forbrug'!$A$3:$A$1000,Adfærd!$G6,'Resultat-Produktion &amp; forbrug'!$D$3:$D$1000,Adfærd!J$4)</f>
        <v>880.09999999999991</v>
      </c>
    </row>
    <row r="7" spans="1:10" x14ac:dyDescent="0.55000000000000004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382.5</v>
      </c>
      <c r="J7" s="10">
        <f>SUMIFS('Resultat-Produktion &amp; forbrug'!$N$3:$N$1000,'Resultat-Produktion &amp; forbrug'!$A$3:$A$1000,Adfærd!$G7,'Resultat-Produktion &amp; forbrug'!$D$3:$D$1000,Adfærd!J$4)</f>
        <v>382.5</v>
      </c>
    </row>
    <row r="8" spans="1:10" x14ac:dyDescent="0.55000000000000004">
      <c r="A8" s="2" t="s">
        <v>206</v>
      </c>
      <c r="B8" s="84">
        <v>0</v>
      </c>
      <c r="C8" s="3"/>
      <c r="D8" s="3"/>
    </row>
    <row r="9" spans="1:10" x14ac:dyDescent="0.55000000000000004">
      <c r="A9" s="1" t="s">
        <v>221</v>
      </c>
      <c r="B9" s="13"/>
      <c r="C9" s="13"/>
      <c r="D9" s="13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55000000000000004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B14" s="13"/>
      <c r="C14" s="13"/>
      <c r="D14" s="13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55000000000000004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55000000000000004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55000000000000004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55000000000000004">
      <c r="A20" s="2" t="s">
        <v>13</v>
      </c>
      <c r="B20" s="108">
        <f>B32*B34</f>
        <v>89.78</v>
      </c>
      <c r="C20" s="108">
        <f>$B20*(1-SUM(C$5:C$8))</f>
        <v>71.823999999999998</v>
      </c>
      <c r="D20" s="108">
        <f>$B20*(1-SUM(D$5:D$8))</f>
        <v>53.868000000000002</v>
      </c>
    </row>
    <row r="21" spans="1:9" hidden="1" x14ac:dyDescent="0.55000000000000004">
      <c r="A21" s="2" t="s">
        <v>14</v>
      </c>
      <c r="B21" s="108">
        <f>B32*B33</f>
        <v>44.22</v>
      </c>
      <c r="C21" s="108">
        <f>$B21*(1-SUM(C$5:C$8))</f>
        <v>35.375999999999998</v>
      </c>
      <c r="D21" s="108">
        <f>$B21*(1-SUM(D$5:D$8))</f>
        <v>26.532</v>
      </c>
    </row>
    <row r="22" spans="1:9" hidden="1" x14ac:dyDescent="0.55000000000000004">
      <c r="A22" s="2" t="s">
        <v>49</v>
      </c>
      <c r="B22" s="108">
        <f>SUM($B$20:$B$21,$B$27)*B5</f>
        <v>0</v>
      </c>
      <c r="C22" s="108">
        <f t="shared" ref="C22:D22" si="1">SUM($B$20:$B$21,$B$27)*C5</f>
        <v>32</v>
      </c>
      <c r="D22" s="108">
        <f t="shared" si="1"/>
        <v>64</v>
      </c>
      <c r="F22" s="1" t="s">
        <v>205</v>
      </c>
    </row>
    <row r="23" spans="1:9" hidden="1" x14ac:dyDescent="0.55000000000000004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55000000000000004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55000000000000004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3">
        <v>26</v>
      </c>
      <c r="C27" s="108">
        <f>$B27*(1-SUM(C$5:C$8))</f>
        <v>20.8</v>
      </c>
      <c r="D27" s="108">
        <f>$B27*(1-SUM(D$5:D$8))</f>
        <v>15.6</v>
      </c>
    </row>
    <row r="28" spans="1:9" hidden="1" x14ac:dyDescent="0.55000000000000004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55000000000000004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55000000000000004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55000000000000004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55000000000000004">
      <c r="A32" s="4" t="s">
        <v>18</v>
      </c>
      <c r="B32" s="97">
        <v>134</v>
      </c>
      <c r="C32" s="13"/>
    </row>
    <row r="33" spans="1:4" hidden="1" x14ac:dyDescent="0.55000000000000004">
      <c r="A33" s="4" t="s">
        <v>20</v>
      </c>
      <c r="B33" s="99">
        <v>0.33</v>
      </c>
      <c r="C33" s="13" t="s">
        <v>152</v>
      </c>
    </row>
    <row r="34" spans="1:4" hidden="1" x14ac:dyDescent="0.55000000000000004">
      <c r="A34" s="5" t="s">
        <v>21</v>
      </c>
      <c r="B34" s="110">
        <v>0.67</v>
      </c>
      <c r="C34" s="13"/>
    </row>
    <row r="36" spans="1:4" x14ac:dyDescent="0.55000000000000004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5625" defaultRowHeight="11.7" x14ac:dyDescent="0.45"/>
  <cols>
    <col min="1" max="1" width="15.83984375" style="114" customWidth="1"/>
    <col min="2" max="2" width="10.15625" style="114" bestFit="1" customWidth="1"/>
    <col min="3" max="3" width="10.15625" style="114" customWidth="1"/>
    <col min="4" max="4" width="11.83984375" style="114" bestFit="1" customWidth="1"/>
    <col min="5" max="5" width="11" style="114" customWidth="1"/>
    <col min="6" max="6" width="13.41796875" style="114" customWidth="1"/>
    <col min="7" max="7" width="24.26171875" style="114" customWidth="1"/>
    <col min="8" max="8" width="10" style="114" hidden="1" customWidth="1"/>
    <col min="9" max="12" width="9.26171875" style="114" hidden="1" customWidth="1"/>
    <col min="13" max="13" width="24.26171875" style="114" hidden="1" customWidth="1"/>
    <col min="14" max="14" width="12.68359375" style="114" hidden="1" customWidth="1"/>
    <col min="15" max="15" width="9.26171875" style="114" hidden="1" customWidth="1"/>
    <col min="16" max="16" width="9.83984375" style="114" hidden="1" customWidth="1"/>
    <col min="17" max="22" width="0" style="114" hidden="1" customWidth="1"/>
    <col min="23" max="23" width="2.578125" style="114" hidden="1" customWidth="1"/>
    <col min="24" max="16384" width="9.15625" style="114"/>
  </cols>
  <sheetData>
    <row r="1" spans="1:29" ht="12" thickBot="1" x14ac:dyDescent="0.5">
      <c r="A1" s="204" t="s">
        <v>271</v>
      </c>
    </row>
    <row r="2" spans="1:29" ht="46.5" customHeight="1" x14ac:dyDescent="0.45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10" t="s">
        <v>324</v>
      </c>
      <c r="G2" s="411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45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>SUM(C12:C14)/SUM(C12:C15)</f>
        <v>0.73155031690147754</v>
      </c>
      <c r="AB3" s="209">
        <f>SUM(D12:D14)/SUM(D12:D15)</f>
        <v>0.8068119346222018</v>
      </c>
      <c r="AC3" s="209">
        <f>SUM(E12:E14)/SUM(E12:E15)</f>
        <v>0.78911321116899646</v>
      </c>
    </row>
    <row r="4" spans="1:29" x14ac:dyDescent="0.45">
      <c r="A4" s="161" t="s">
        <v>136</v>
      </c>
      <c r="B4" s="209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45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>
        <f t="shared" ref="AA5:AC6" si="0">C12/C$29</f>
        <v>0.22267199142680771</v>
      </c>
      <c r="AB5" s="321">
        <f t="shared" si="0"/>
        <v>0.39645373789996108</v>
      </c>
      <c r="AC5" s="321">
        <f t="shared" si="0"/>
        <v>0.36928693081137037</v>
      </c>
    </row>
    <row r="6" spans="1:29" x14ac:dyDescent="0.45">
      <c r="A6" s="161" t="s">
        <v>140</v>
      </c>
      <c r="B6" s="209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>
        <f t="shared" si="0"/>
        <v>0.33257225498473725</v>
      </c>
      <c r="AB6" s="321">
        <f t="shared" si="0"/>
        <v>0.33118846318466977</v>
      </c>
      <c r="AC6" s="321">
        <f t="shared" si="0"/>
        <v>0.33872867269452439</v>
      </c>
    </row>
    <row r="7" spans="1:29" x14ac:dyDescent="0.45">
      <c r="A7" s="161" t="s">
        <v>101</v>
      </c>
      <c r="B7" s="209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" thickBot="1" x14ac:dyDescent="0.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5" customHeight="1" x14ac:dyDescent="0.45">
      <c r="B10" s="115"/>
      <c r="C10" s="408" t="s">
        <v>210</v>
      </c>
      <c r="D10" s="408"/>
      <c r="E10" s="408"/>
      <c r="F10" s="407" t="s">
        <v>325</v>
      </c>
      <c r="G10" s="407"/>
      <c r="J10" s="409" t="s">
        <v>211</v>
      </c>
      <c r="K10" s="409"/>
      <c r="L10" s="409"/>
    </row>
    <row r="11" spans="1:29" x14ac:dyDescent="0.45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45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12485034.123782061</v>
      </c>
      <c r="E12" s="118">
        <f>SUMIFS('Resultater - Danmark'!J$3:J$504,'Resultater - Danmark'!$F$3:$F$504,$A12)*D3</f>
        <v>13384026.259465635</v>
      </c>
      <c r="F12" s="217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4161678.0412606858</v>
      </c>
      <c r="G12" s="217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1487114.028829515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0.39645373789996108</v>
      </c>
      <c r="L12" s="119">
        <f t="shared" ref="L12:L28" si="3">E12/E$29</f>
        <v>0.36928693081137037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45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10429714.413001494</v>
      </c>
      <c r="E13" s="121">
        <f>SUMIFS('Resultater - Danmark'!J$3:J$504,'Resultater - Danmark'!$F$3:$F$504,$A13)*D4</f>
        <v>12276506.618354082</v>
      </c>
      <c r="F13" s="218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18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0.33118846318466977</v>
      </c>
      <c r="L13" s="122">
        <f t="shared" si="3"/>
        <v>0.33872867269452439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45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6782.1960455237531</v>
      </c>
      <c r="E14" s="121">
        <f>SUMIFS('Resultater - Danmark'!J$3:J$504,'Resultater - Danmark'!$F$3:$F$504,$A14)*D5</f>
        <v>8404.7671078658786</v>
      </c>
      <c r="F14" s="218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18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2.1536400675881427E-4</v>
      </c>
      <c r="L14" s="122">
        <f t="shared" si="3"/>
        <v>2.3190111774123702E-4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45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5488473.8162016999</v>
      </c>
      <c r="E15" s="121">
        <f>SUMIFS('Resultater - Danmark'!J$3:J$504,'Resultater - Danmark'!$F$3:$F$504,$A15)*D6</f>
        <v>6859902.6806595214</v>
      </c>
      <c r="F15" s="218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18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762211.40896216873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0.17428274029739535</v>
      </c>
      <c r="L15" s="122">
        <f t="shared" si="3"/>
        <v>0.18927580964762611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45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2189034.0302520017</v>
      </c>
      <c r="E16" s="121">
        <f>SUMIFS('Resultater - Danmark'!J$3:J$504,'Resultater - Danmark'!$F$3:$F$504,$A16)*D7</f>
        <v>2591309.4281481998</v>
      </c>
      <c r="F16" s="218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729678.01008400088</v>
      </c>
      <c r="G16" s="218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287923.26979424478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6.9511281673672085E-2</v>
      </c>
      <c r="L16" s="122">
        <f t="shared" si="3"/>
        <v>7.1498418110666664E-2</v>
      </c>
      <c r="M16" s="222" t="s">
        <v>156</v>
      </c>
      <c r="N16" s="223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45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8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18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45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18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45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718058.01774869044</v>
      </c>
      <c r="G19" s="218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700822.02997791977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45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3440673.5939957341</v>
      </c>
      <c r="G20" s="218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3943177.206576284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45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2389282.9756574859</v>
      </c>
      <c r="G21" s="218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2313891.3389375587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45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4574065.4754918609</v>
      </c>
      <c r="G22" s="218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2982756.1787720937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45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2001163.0190917291</v>
      </c>
      <c r="G23" s="218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1964071.9525106084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45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1794004.450102187</v>
      </c>
      <c r="G24" s="218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1830597.0172306283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45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18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2.381573814512717E-2</v>
      </c>
      <c r="L25" s="122">
        <f t="shared" si="3"/>
        <v>2.7039784977946693E-2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45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18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4.532674792415657E-3</v>
      </c>
      <c r="L26" s="122">
        <f t="shared" si="3"/>
        <v>3.9384826401245585E-3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45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880.09999999999991</v>
      </c>
      <c r="G27" s="218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" thickBot="1" x14ac:dyDescent="0.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382.5</v>
      </c>
      <c r="G28" s="219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45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31491780.579282783</v>
      </c>
      <c r="E29" s="129">
        <f>SUM(E12:E28)</f>
        <v>36242891.753735304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45">
      <c r="A30" s="132" t="s">
        <v>123</v>
      </c>
      <c r="C30" s="133">
        <f>SUMPRODUCT(C12:C28,$H$12:$H$28)/C29</f>
        <v>0.13822427556900557</v>
      </c>
      <c r="D30" s="133">
        <f>SUMPRODUCT(D12:D28,$H$12:$H$28)/D29</f>
        <v>8.7541055706116339E-2</v>
      </c>
      <c r="E30" s="133">
        <f>SUMPRODUCT(E12:E28,$H$12:$H$28)/E29</f>
        <v>8.8684979317323748E-2</v>
      </c>
      <c r="F30" s="142"/>
      <c r="G30" s="142"/>
    </row>
    <row r="31" spans="1:23" x14ac:dyDescent="0.45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45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600506310.45722592</v>
      </c>
      <c r="E32" s="114">
        <f>SUMPRODUCT(E12:E28,$I$12:$I$28)</f>
        <v>691433626.95155263</v>
      </c>
    </row>
    <row r="33" spans="1:15" x14ac:dyDescent="0.45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21.558176545414412</v>
      </c>
      <c r="E33" s="114">
        <f>E32*[1]Energiindhold!$C$10</f>
        <v>24.822467207560742</v>
      </c>
    </row>
    <row r="34" spans="1:15" x14ac:dyDescent="0.45">
      <c r="C34" s="229"/>
    </row>
    <row r="35" spans="1:15" x14ac:dyDescent="0.45">
      <c r="A35" s="161"/>
      <c r="B35" s="161" t="s">
        <v>27</v>
      </c>
      <c r="C35" s="161" t="s">
        <v>28</v>
      </c>
    </row>
    <row r="36" spans="1:15" x14ac:dyDescent="0.45">
      <c r="A36" s="161" t="s">
        <v>158</v>
      </c>
      <c r="B36" s="162">
        <v>0.8</v>
      </c>
      <c r="C36" s="162">
        <v>0.2</v>
      </c>
    </row>
    <row r="38" spans="1:15" hidden="1" x14ac:dyDescent="0.45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45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10904939.805455904</v>
      </c>
      <c r="E39" s="118">
        <f>SUMIFS('Resultater - Vestdanmark'!J$3:J$504,'Resultater - Vestdanmark'!$F$3:$F$504,$A39)*D3</f>
        <v>11690156.331739446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1580094.3183261557</v>
      </c>
      <c r="M39" s="118">
        <f>SUMIFS('Resultater - Østdanmark'!J$3:J$504,'Resultater - Østdanmark'!$F$3:$F$504,$A39)*D3</f>
        <v>1693869.9277261887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45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9737622.5335018374</v>
      </c>
      <c r="E40" s="121">
        <f>SUMIFS('Resultater - Vestdanmark'!J$3:J$504,'Resultater - Vestdanmark'!$F$3:$F$504,$A40)*D4</f>
        <v>11461865.852294842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692091.87949965673</v>
      </c>
      <c r="M40" s="121">
        <f>SUMIFS('Resultater - Østdanmark'!J$3:J$504,'Resultater - Østdanmark'!$F$3:$F$504,$A40)*D4</f>
        <v>814640.76605924184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45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6257.0446016591122</v>
      </c>
      <c r="E41" s="121">
        <f>SUMIFS('Resultater - Vestdanmark'!J$3:J$504,'Resultater - Vestdanmark'!$F$3:$F$504,$A41)*D5</f>
        <v>7753.9785502341792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525.15144386464101</v>
      </c>
      <c r="M41" s="121">
        <f>SUMIFS('Resultater - Østdanmark'!J$3:J$504,'Resultater - Østdanmark'!$F$3:$F$504,$A41)*D5</f>
        <v>650.78855763169781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45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2980433.248128525</v>
      </c>
      <c r="E42" s="121">
        <f>SUMIFS('Resultater - Vestdanmark'!J$3:J$504,'Resultater - Vestdanmark'!$F$3:$F$504,$A42)*D6</f>
        <v>3709649.3380054114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2508040.5680731749</v>
      </c>
      <c r="M42" s="121">
        <f>SUMIFS('Resultater - Østdanmark'!J$3:J$504,'Resultater - Østdanmark'!$F$3:$F$504,$A42)*D6</f>
        <v>3150253.3426541099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45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1929250.7965815454</v>
      </c>
      <c r="E43" s="121">
        <f>SUMIFS('Resultater - Vestdanmark'!J$3:J$504,'Resultater - Vestdanmark'!$F$3:$F$504,$A43)*D7</f>
        <v>2283371.9816891025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259783.2336704561</v>
      </c>
      <c r="M43" s="121">
        <f>SUMIFS('Resultater - Østdanmark'!J$3:J$504,'Resultater - Østdanmark'!$F$3:$F$504,$A43)*D7</f>
        <v>307937.44645909779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45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45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45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45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45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45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45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45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45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45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45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" hidden="1" thickBot="1" x14ac:dyDescent="0.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45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26074657.716868471</v>
      </c>
      <c r="E56" s="129">
        <f ca="1">SUM(E39:E55)</f>
        <v>29790372.874202605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5417122.8624143098</v>
      </c>
      <c r="M56" s="129">
        <f ca="1">SUM(M39:M55)</f>
        <v>6452518.8795327013</v>
      </c>
      <c r="N56" s="130"/>
      <c r="O56" s="130"/>
    </row>
    <row r="57" spans="1:15" hidden="1" x14ac:dyDescent="0.45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8.6929776861628449E-2</v>
      </c>
      <c r="E57" s="133">
        <f ca="1">SUMPRODUCT(E39:E55,$F$39:$F$55)/E56</f>
        <v>8.8064606154896724E-2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9.0483371589363953E-2</v>
      </c>
      <c r="M57" s="133">
        <f ca="1">SUMPRODUCT(M39:M55,$N$39:$N$55)/M56</f>
        <v>9.1549155025274234E-2</v>
      </c>
    </row>
    <row r="58" spans="1:15" hidden="1" x14ac:dyDescent="0.45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45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492782535.68274039</v>
      </c>
      <c r="E59" s="114">
        <f ca="1">SUMPRODUCT(E39:E55,$I$12:$I$28)</f>
        <v>563663167.57084477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107723774.77448551</v>
      </c>
      <c r="M59" s="114">
        <f ca="1">SUMPRODUCT(M39:M55,$I$12:$I$28)</f>
        <v>127770459.38070776</v>
      </c>
    </row>
    <row r="60" spans="1:15" hidden="1" x14ac:dyDescent="0.45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17.690893031010383</v>
      </c>
      <c r="E60" s="114">
        <f ca="1">E59*[1]Energiindhold!$C$10</f>
        <v>20.235507715793329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3.8672835144040305</v>
      </c>
      <c r="M60" s="114">
        <f ca="1">M59*[1]Energiindhold!$C$10</f>
        <v>4.5869594917674092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4" sqref="E4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13.26171875" style="1" bestFit="1" customWidth="1"/>
    <col min="5" max="5" width="45.68359375" style="1" customWidth="1"/>
    <col min="6" max="16384" width="9.15625" style="1"/>
  </cols>
  <sheetData>
    <row r="1" spans="1:4" x14ac:dyDescent="0.55000000000000004">
      <c r="A1" s="205" t="s">
        <v>271</v>
      </c>
    </row>
    <row r="2" spans="1:4" ht="15.6" x14ac:dyDescent="0.6">
      <c r="A2" s="203" t="s">
        <v>308</v>
      </c>
    </row>
    <row r="3" spans="1:4" x14ac:dyDescent="0.55000000000000004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3">
        <v>0</v>
      </c>
      <c r="C4" s="388">
        <v>0</v>
      </c>
      <c r="D4" s="388">
        <v>0</v>
      </c>
    </row>
    <row r="5" spans="1:4" x14ac:dyDescent="0.55000000000000004">
      <c r="A5" s="285"/>
    </row>
    <row r="6" spans="1:4" x14ac:dyDescent="0.55000000000000004">
      <c r="A6" s="285"/>
    </row>
    <row r="7" spans="1:4" ht="15.6" x14ac:dyDescent="0.6">
      <c r="A7" s="203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22">
        <f>SUMIFS('Forbrug af biomasse'!$E$2:$E$403,'Forbrug af biomasse'!$D$2:$D$403,'Forbrug til andet'!B$15,'Forbrug af biomasse'!$C$2:$C$403,'Forbrug til andet'!$A16,'Forbrug af biomasse'!$A$2:$A$403,"Materialer")</f>
        <v>0</v>
      </c>
      <c r="C16" s="322">
        <f>SUMIFS('Forbrug af biomasse'!$E$2:$E$403,'Forbrug af biomasse'!$D$2:$D$403,'Forbrug til andet'!C$15,'Forbrug af biomasse'!$C$2:$C$403,'Forbrug til andet'!$A16,'Forbrug af biomasse'!$A$2:$A$403,"Materialer")</f>
        <v>0</v>
      </c>
      <c r="D16" s="322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22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55000000000000004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809789.15928333369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703268.18873094791</v>
      </c>
    </row>
    <row r="4" spans="1:9" hidden="1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55949.560086021185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48589.864819642906</v>
      </c>
    </row>
    <row r="5" spans="1:9" hidden="1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94087.082412375472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81710.716021056694</v>
      </c>
    </row>
    <row r="6" spans="1:9" hidden="1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179394.47433816589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155796.63618588899</v>
      </c>
    </row>
    <row r="7" spans="1:9" hidden="1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6942.1581713830101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6028.9755019603408</v>
      </c>
    </row>
    <row r="8" spans="1:9" hidden="1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41355.317643651651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35915.372538925141</v>
      </c>
    </row>
    <row r="9" spans="1:9" hidden="1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4037.1409759488074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3506.0889482883485</v>
      </c>
    </row>
    <row r="10" spans="1:9" hidden="1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138250.29972976272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120064.63258721215</v>
      </c>
    </row>
    <row r="11" spans="1:9" hidden="1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2540.3874452133937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2206.2207882002126</v>
      </c>
    </row>
    <row r="12" spans="1:9" hidden="1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44929.041857570082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39019.003312607769</v>
      </c>
    </row>
    <row r="13" spans="1:9" hidden="1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47261.400630257056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41044.559854992149</v>
      </c>
    </row>
    <row r="14" spans="1:9" hidden="1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12741.4251138164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11065.397528382413</v>
      </c>
    </row>
    <row r="15" spans="1:9" hidden="1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4686.7049638673298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4070.2082428126114</v>
      </c>
    </row>
    <row r="16" spans="1:9" hidden="1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112966.14252431852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98106.394152410197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20843.531266124886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16500.437390404819</v>
      </c>
    </row>
    <row r="18" spans="1:9" hidden="1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1786.7951054397183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1414.4868444007736</v>
      </c>
    </row>
    <row r="19" spans="1:9" hidden="1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1913.2698208119741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1514.6084646686793</v>
      </c>
    </row>
    <row r="20" spans="1:9" hidden="1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17656.329249729286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13977.341536317093</v>
      </c>
    </row>
    <row r="21" spans="1:9" hidden="1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82.579316026090069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65.372552109030366</v>
      </c>
    </row>
    <row r="22" spans="1:9" hidden="1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1303.7133622629699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1032.0631583197971</v>
      </c>
    </row>
    <row r="23" spans="1:9" hidden="1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34.203336491457428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27.076506620423842</v>
      </c>
    </row>
    <row r="24" spans="1:9" hidden="1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4415.1367500105207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3495.1701121787992</v>
      </c>
    </row>
    <row r="25" spans="1:9" hidden="1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75.215650030725556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59.54322750136015</v>
      </c>
    </row>
    <row r="26" spans="1:9" hidden="1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1330.2565696985414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1053.0756502454326</v>
      </c>
    </row>
    <row r="27" spans="1:9" hidden="1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3283.4655055701205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2599.3012559376307</v>
      </c>
    </row>
    <row r="28" spans="1:9" hidden="1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377.24740533545247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298.64167990319493</v>
      </c>
    </row>
    <row r="29" spans="1:9" hidden="1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619.57934642519353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490.4797600535137</v>
      </c>
    </row>
    <row r="30" spans="1:9" hidden="1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17512.450507812609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13863.442305783894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8269.0161200631464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476.12351737499114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616.55839503976472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14219.782896462779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16.527831515094178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874.82296878583463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9.4603904307598334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1176.4921633749784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33.714690278143649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596.27468777483512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1897.1467002204627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169.09751393390181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399.1587138370042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14762.990467149724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126383.27919450874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149178.10063989804</v>
      </c>
    </row>
    <row r="46" spans="1:9" hidden="1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8732.0122677605341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10306.941022348496</v>
      </c>
    </row>
    <row r="47" spans="1:9" hidden="1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14684.111127942995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17332.576125678694</v>
      </c>
    </row>
    <row r="48" spans="1:9" hidden="1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27997.981544106817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33047.771312158278</v>
      </c>
    </row>
    <row r="49" spans="1:9" hidden="1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1083.4582117187358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1278.8735913249209</v>
      </c>
    </row>
    <row r="50" spans="1:9" hidden="1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6454.2981293560397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7618.4123567416955</v>
      </c>
    </row>
    <row r="51" spans="1:9" hidden="1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630.07402514807984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743.71583751571029</v>
      </c>
    </row>
    <row r="52" spans="1:9" hidden="1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21576.636374009206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25468.255397287427</v>
      </c>
    </row>
    <row r="53" spans="1:9" hidden="1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396.47665329920017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467.98622780004507</v>
      </c>
    </row>
    <row r="54" spans="1:9" hidden="1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7012.0469951120949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8276.7582784319511</v>
      </c>
    </row>
    <row r="55" spans="1:9" hidden="1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7376.0567457626612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8706.4217874225778</v>
      </c>
    </row>
    <row r="56" spans="1:9" hidden="1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1988.5461160291493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2347.2055363235422</v>
      </c>
    </row>
    <row r="57" spans="1:9" hidden="1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731.451063724959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863.37750605116003</v>
      </c>
    </row>
    <row r="58" spans="1:9" hidden="1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17630.554035587287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20810.447244450646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3253.0366715917453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3500.0927797828404</v>
      </c>
    </row>
    <row r="60" spans="1:9" hidden="1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278.86397599348209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300.04266396380046</v>
      </c>
    </row>
    <row r="61" spans="1:9" hidden="1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298.60280440418097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321.28058341456835</v>
      </c>
    </row>
    <row r="62" spans="1:9" hidden="1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2755.6120794375188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2964.8906289157476</v>
      </c>
    </row>
    <row r="63" spans="1:9" hidden="1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12.888101345112323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13.866904992824622</v>
      </c>
    </row>
    <row r="64" spans="1:9" hidden="1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203.46971549768895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218.92248812844184</v>
      </c>
    </row>
    <row r="65" spans="1:9" hidden="1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5.3380929784355526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5.7435014043323305</v>
      </c>
    </row>
    <row r="66" spans="1:9" hidden="1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689.0675852617577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741.39972076519973</v>
      </c>
    </row>
    <row r="67" spans="1:9" hidden="1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11.73885867531555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12.630381591197606</v>
      </c>
    </row>
    <row r="68" spans="1:9" hidden="1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207.61229700497469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223.3796833853948</v>
      </c>
    </row>
    <row r="69" spans="1:9" hidden="1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512.44837370169512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551.36693307767916</v>
      </c>
    </row>
    <row r="70" spans="1:9" hidden="1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58.876762682411666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63.34823513098074</v>
      </c>
    </row>
    <row r="71" spans="1:9" hidden="1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96.697354644394366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104.0411612234726</v>
      </c>
    </row>
    <row r="72" spans="1:9" hidden="1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2733.1570156701764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2940.7301860753714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1290.5400881023411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74.308294619218273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96.225876682506637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2219.2724751704914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2.5794881555349294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136.5330644925869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1.4764771192515349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183.61438387933188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5.2618302746235761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93.060211386823994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296.08647922515894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26.390941481013577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62.296446668202975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2304.0505353355065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277847.44549518183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252961.21164089115</v>
      </c>
    </row>
    <row r="88" spans="1:9" hidden="1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6055.6397331754633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5513.2483274579954</v>
      </c>
    </row>
    <row r="89" spans="1:9" hidden="1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38413.381365538749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34972.772472795026</v>
      </c>
    </row>
    <row r="90" spans="1:9" hidden="1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23337.085725305184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21246.830147095647</v>
      </c>
    </row>
    <row r="91" spans="1:9" hidden="1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3656.9274374465294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3329.3838415920754</v>
      </c>
    </row>
    <row r="92" spans="1:9" hidden="1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2345.9279292965525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2135.807908398976</v>
      </c>
    </row>
    <row r="93" spans="1:9" hidden="1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24387.347223432687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22203.021846582469</v>
      </c>
    </row>
    <row r="94" spans="1:9" hidden="1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6897.6493288624933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6279.8408262972243</v>
      </c>
    </row>
    <row r="95" spans="1:9" hidden="1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1604.9535438553075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1461.2011003283492</v>
      </c>
    </row>
    <row r="96" spans="1:9" hidden="1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11460.146724373322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10433.684555973852</v>
      </c>
    </row>
    <row r="97" spans="1:9" hidden="1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35457.355952106635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32281.512278228936</v>
      </c>
    </row>
    <row r="98" spans="1:9" hidden="1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2514.9530700143437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2289.6938090504755</v>
      </c>
    </row>
    <row r="99" spans="1:9" hidden="1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1195.4478510811762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1088.3740043895341</v>
      </c>
    </row>
    <row r="100" spans="1:9" hidden="1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29775.268629829476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27108.358027589973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4153.0281200981244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3287.676142844382</v>
      </c>
    </row>
    <row r="102" spans="1:9" hidden="1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112.30451890716081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88.904018192866161</v>
      </c>
    </row>
    <row r="103" spans="1:9" hidden="1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453.61549532985964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359.09721747448225</v>
      </c>
    </row>
    <row r="104" spans="1:9" hidden="1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1333.8196227610581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1055.8962823747061</v>
      </c>
    </row>
    <row r="105" spans="1:9" hidden="1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25.261099168726226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19.997532084392677</v>
      </c>
    </row>
    <row r="106" spans="1:9" hidden="1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42.946180543416538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33.997634765724179</v>
      </c>
    </row>
    <row r="107" spans="1:9" hidden="1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119.98259301094923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94.982238788545629</v>
      </c>
    </row>
    <row r="108" spans="1:9" hidden="1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127.91995950888544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101.26572392701387</v>
      </c>
    </row>
    <row r="109" spans="1:9" hidden="1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27.594964857400839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21.845098323620871</v>
      </c>
    </row>
    <row r="110" spans="1:9" hidden="1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197.0414329626538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155.98459715892352</v>
      </c>
    </row>
    <row r="111" spans="1:9" hidden="1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1430.5114592593595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1132.4407783112672</v>
      </c>
    </row>
    <row r="112" spans="1:9" hidden="1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43.241152898637949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34.231144760604046</v>
      </c>
    </row>
    <row r="113" spans="1:9" hidden="1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91.773876584838561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72.651274168880292</v>
      </c>
    </row>
    <row r="114" spans="1:9" hidden="1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2659.7407767838267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2105.5398723801477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1796.6458108942293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32.633012539823845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159.40463041598321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1171.3986150504631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5.5133034466362671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31.425171951535479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36.188775432258431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37.170486845663731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13.488257970641145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96.312703873303633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901.3113802822603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21.136023483224019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64.473732983194068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2242.1606682189854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43363.474152427225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53658.438832916305</v>
      </c>
    </row>
    <row r="130" spans="1:9" hidden="1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945.0998427499278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1169.4769179456355</v>
      </c>
    </row>
    <row r="131" spans="1:9" hidden="1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5995.1520050262798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7418.4668881686412</v>
      </c>
    </row>
    <row r="132" spans="1:9" hidden="1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3642.2041305389598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4506.9033645354402</v>
      </c>
    </row>
    <row r="133" spans="1:9" hidden="1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570.73433994830236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706.23293609528866</v>
      </c>
    </row>
    <row r="134" spans="1:9" hidden="1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366.12748029483765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453.05016238766149</v>
      </c>
    </row>
    <row r="135" spans="1:9" hidden="1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3806.1177747553907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4709.7319068508268</v>
      </c>
    </row>
    <row r="136" spans="1:9" hidden="1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1076.511744966979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1332.0874480024415</v>
      </c>
    </row>
    <row r="137" spans="1:9" hidden="1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250.48407909880524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309.95174855449835</v>
      </c>
    </row>
    <row r="138" spans="1:9" hidden="1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1788.5778124744493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2213.2058149035443</v>
      </c>
    </row>
    <row r="139" spans="1:9" hidden="1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5533.8069983056603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6847.5935135637137</v>
      </c>
    </row>
    <row r="140" spans="1:9" hidden="1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392.50712653403053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485.6926261622221</v>
      </c>
    </row>
    <row r="141" spans="1:9" hidden="1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186.57278600688875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230.86721305232541</v>
      </c>
    </row>
    <row r="142" spans="1:9" hidden="1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4647.0072428057565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5750.2577634281761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648.16045804999635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697.38584848214157</v>
      </c>
    </row>
    <row r="144" spans="1:9" hidden="1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17.527294858343019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18.858428101517063</v>
      </c>
    </row>
    <row r="145" spans="1:9" hidden="1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70.795481930093715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76.17213704004169</v>
      </c>
    </row>
    <row r="146" spans="1:9" hidden="1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208.16838043091659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223.97799929160431</v>
      </c>
    </row>
    <row r="147" spans="1:9" hidden="1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3.9424836852925322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4.2419007451742043</v>
      </c>
    </row>
    <row r="148" spans="1:9" hidden="1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6.7025830905910215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7.211619495759674</v>
      </c>
    </row>
    <row r="149" spans="1:9" hidden="1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18.725607001708841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20.147747621812712</v>
      </c>
    </row>
    <row r="150" spans="1:9" hidden="1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19.964386744161317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21.480608105730209</v>
      </c>
    </row>
    <row r="151" spans="1:9" hidden="1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4.3067286193631373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4.6338087353135169</v>
      </c>
    </row>
    <row r="152" spans="1:9" hidden="1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30.752131156021115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33.087641821589841</v>
      </c>
    </row>
    <row r="153" spans="1:9" hidden="1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223.25901387284802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240.21471055087486</v>
      </c>
    </row>
    <row r="154" spans="1:9" hidden="1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6.74861923851575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7.261151918916009</v>
      </c>
    </row>
    <row r="155" spans="1:9" hidden="1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14.323090565263824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15.410876338853395</v>
      </c>
    </row>
    <row r="156" spans="1:9" hidden="1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415.10405186799608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446.6296698988192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280.40136933031323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5.0930135177759759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24.878179313477148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182.81943703099714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0.86045776334785684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4.9045066051529362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5.6479591715085418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5.8011742475891381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2.1051038451289652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15.031462454215021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140.66709403249149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3.2986857459366963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10.062374511827977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349.9325898376452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9723529.5356878359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8686398.2742639016</v>
      </c>
    </row>
    <row r="172" spans="1:9" hidden="1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1408911.3784681347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1258634.050691002</v>
      </c>
    </row>
    <row r="173" spans="1:9" hidden="1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637730.00302184175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981800.42573609971</v>
      </c>
    </row>
    <row r="174" spans="1:9" hidden="1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92405.237660897488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142260.04930899799</v>
      </c>
    </row>
    <row r="175" spans="1:9" hidden="1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55000000000000004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55000000000000004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55000000000000004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3615.8703437693521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4977.6607022998596</v>
      </c>
    </row>
    <row r="187" spans="1:9" hidden="1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364.53368246961463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5025.6642058609605</v>
      </c>
    </row>
    <row r="188" spans="1:9" hidden="1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3615.8703437693521</v>
      </c>
    </row>
    <row r="189" spans="1:9" hidden="1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363.33149692104462</v>
      </c>
    </row>
    <row r="190" spans="1:9" hidden="1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32547.837708886895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45747.463772336472</v>
      </c>
    </row>
    <row r="191" spans="1:9" hidden="1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3275.7985272638125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45173.285182142659</v>
      </c>
    </row>
    <row r="192" spans="1:9" hidden="1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31749.414907659091</v>
      </c>
    </row>
    <row r="193" spans="1:9" hidden="1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3172.5768775227571</v>
      </c>
    </row>
    <row r="194" spans="1:9" hidden="1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3615.8703437693521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4977.1213052648709</v>
      </c>
    </row>
    <row r="195" spans="1:9" hidden="1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364.53368246961463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5025.6642058609605</v>
      </c>
    </row>
    <row r="196" spans="1:9" hidden="1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3615.8703437693521</v>
      </c>
    </row>
    <row r="197" spans="1:9" hidden="1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363.87089395603351</v>
      </c>
    </row>
    <row r="198" spans="1:9" hidden="1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32550.034856919305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45902.389129639385</v>
      </c>
    </row>
    <row r="199" spans="1:9" hidden="1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3273.6013792313997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45142.599783169004</v>
      </c>
    </row>
    <row r="200" spans="1:9" hidden="1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31629.311727902626</v>
      </c>
    </row>
    <row r="201" spans="1:9" hidden="1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3168.4400989500195</v>
      </c>
    </row>
    <row r="202" spans="1:9" hidden="1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698.19114071466845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890.85122692804998</v>
      </c>
    </row>
    <row r="208" spans="1:9" hidden="1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70.681612143180047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905.02086990301564</v>
      </c>
    </row>
    <row r="209" spans="1:9" hidden="1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698.19114071466845</v>
      </c>
    </row>
    <row r="210" spans="1:9" hidden="1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70.448513209516364</v>
      </c>
    </row>
    <row r="211" spans="1:9" hidden="1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6284.6906411072023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8195.9946084659714</v>
      </c>
    </row>
    <row r="212" spans="1:9" hidden="1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635.16413461343438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8139.0053057825789</v>
      </c>
    </row>
    <row r="213" spans="1:9" hidden="1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6130.4559698886542</v>
      </c>
    </row>
    <row r="214" spans="1:9" hidden="1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615.1498726600563</v>
      </c>
    </row>
    <row r="215" spans="1:9" hidden="1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698.19114071466845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890.74664001646488</v>
      </c>
    </row>
    <row r="216" spans="1:9" hidden="1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70.681612143180047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905.02086990301564</v>
      </c>
    </row>
    <row r="217" spans="1:9" hidden="1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698.19114071466845</v>
      </c>
    </row>
    <row r="218" spans="1:9" hidden="1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70.553100121101537</v>
      </c>
    </row>
    <row r="219" spans="1:9" hidden="1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6285.1166592572836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8223.7326928204147</v>
      </c>
    </row>
    <row r="220" spans="1:9" hidden="1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634.73811646335264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8135.2384124486625</v>
      </c>
    </row>
    <row r="221" spans="1:9" hidden="1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6107.2868835642512</v>
      </c>
    </row>
    <row r="222" spans="1:9" hidden="1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614.34776796394249</v>
      </c>
    </row>
    <row r="223" spans="1:9" hidden="1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55000000000000004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55000000000000004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55000000000000004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55000000000000004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55000000000000004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55000000000000004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55000000000000004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55000000000000004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55000000000000004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55000000000000004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55000000000000004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55000000000000004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55000000000000004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55000000000000004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55000000000000004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55000000000000004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55000000000000004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10904939.805455904</v>
      </c>
    </row>
    <row r="104" spans="1:5" x14ac:dyDescent="0.55000000000000004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55000000000000004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55000000000000004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55000000000000004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55000000000000004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55000000000000004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1929250.7965815454</v>
      </c>
    </row>
    <row r="110" spans="1:5" x14ac:dyDescent="0.55000000000000004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55000000000000004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55000000000000004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55000000000000004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55000000000000004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55000000000000004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55000000000000004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11690156.331739446</v>
      </c>
    </row>
    <row r="121" spans="1:5" x14ac:dyDescent="0.55000000000000004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55000000000000004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55000000000000004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55000000000000004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55000000000000004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55000000000000004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2283371.9816891025</v>
      </c>
    </row>
    <row r="127" spans="1:5" x14ac:dyDescent="0.55000000000000004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55000000000000004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55000000000000004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55000000000000004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55000000000000004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55000000000000004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55000000000000004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1580094.3183261557</v>
      </c>
    </row>
    <row r="155" spans="1:5" x14ac:dyDescent="0.55000000000000004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55000000000000004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55000000000000004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55000000000000004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55000000000000004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55000000000000004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259783.2336704561</v>
      </c>
    </row>
    <row r="161" spans="1:5" x14ac:dyDescent="0.55000000000000004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55000000000000004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55000000000000004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55000000000000004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55000000000000004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55000000000000004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55000000000000004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1693869.9277261887</v>
      </c>
    </row>
    <row r="172" spans="1:5" x14ac:dyDescent="0.55000000000000004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55000000000000004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55000000000000004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55000000000000004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55000000000000004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55000000000000004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307937.44645909779</v>
      </c>
    </row>
    <row r="178" spans="1:18" x14ac:dyDescent="0.55000000000000004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55000000000000004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55000000000000004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55000000000000004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55000000000000004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55000000000000004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55000000000000004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55000000000000004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5734288.3153172266</v>
      </c>
      <c r="G203" s="293"/>
    </row>
    <row r="204" spans="1:7" x14ac:dyDescent="0.55000000000000004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754028.76978801878</v>
      </c>
      <c r="G204" s="293"/>
    </row>
    <row r="205" spans="1:7" x14ac:dyDescent="0.55000000000000004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55000000000000004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62908.541627737373</v>
      </c>
      <c r="G206" s="293"/>
    </row>
    <row r="207" spans="1:7" x14ac:dyDescent="0.55000000000000004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820432.23039507493</v>
      </c>
      <c r="G207" s="293"/>
    </row>
    <row r="208" spans="1:7" x14ac:dyDescent="0.55000000000000004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5517603.3385994658</v>
      </c>
      <c r="G208" s="293"/>
    </row>
    <row r="209" spans="1:7" x14ac:dyDescent="0.55000000000000004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208821.40901429488</v>
      </c>
      <c r="G209" s="293"/>
    </row>
    <row r="210" spans="1:7" x14ac:dyDescent="0.55000000000000004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55000000000000004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55000000000000004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11936022.044118334</v>
      </c>
      <c r="G212" s="293"/>
    </row>
    <row r="213" spans="1:7" x14ac:dyDescent="0.55000000000000004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1478350.7282518283</v>
      </c>
      <c r="G213" s="293"/>
    </row>
    <row r="214" spans="1:7" x14ac:dyDescent="0.55000000000000004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55000000000000004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55000000000000004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38444.108772506181</v>
      </c>
      <c r="G216" s="293"/>
    </row>
    <row r="217" spans="1:7" x14ac:dyDescent="0.55000000000000004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4709403.3246320067</v>
      </c>
      <c r="G217" s="293"/>
    </row>
    <row r="218" spans="1:7" x14ac:dyDescent="0.55000000000000004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5470784.8849928668</v>
      </c>
    </row>
    <row r="219" spans="1:7" x14ac:dyDescent="0.55000000000000004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719379.45387000521</v>
      </c>
    </row>
    <row r="220" spans="1:7" x14ac:dyDescent="0.55000000000000004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60017.752814183521</v>
      </c>
    </row>
    <row r="222" spans="1:7" x14ac:dyDescent="0.55000000000000004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782731.52628497675</v>
      </c>
    </row>
    <row r="223" spans="1:7" x14ac:dyDescent="0.55000000000000004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5264057.0697440123</v>
      </c>
    </row>
    <row r="224" spans="1:7" x14ac:dyDescent="0.55000000000000004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199225.59614708141</v>
      </c>
    </row>
    <row r="225" spans="1:5" x14ac:dyDescent="0.55000000000000004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11387535.016591122</v>
      </c>
    </row>
    <row r="228" spans="1:5" x14ac:dyDescent="0.55000000000000004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1410417.1911333126</v>
      </c>
    </row>
    <row r="229" spans="1:5" x14ac:dyDescent="0.55000000000000004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36677.515608667709</v>
      </c>
    </row>
    <row r="232" spans="1:5" x14ac:dyDescent="0.55000000000000004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4492995.6620617937</v>
      </c>
    </row>
    <row r="233" spans="1:5" x14ac:dyDescent="0.55000000000000004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700622.1199230341</v>
      </c>
    </row>
    <row r="249" spans="1:5" x14ac:dyDescent="0.55000000000000004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92128.125779914451</v>
      </c>
    </row>
    <row r="250" spans="1:5" x14ac:dyDescent="0.55000000000000004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7686.2399260183547</v>
      </c>
    </row>
    <row r="252" spans="1:5" x14ac:dyDescent="0.55000000000000004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100241.37903515603</v>
      </c>
    </row>
    <row r="253" spans="1:5" x14ac:dyDescent="0.55000000000000004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674147.29351119313</v>
      </c>
    </row>
    <row r="254" spans="1:5" x14ac:dyDescent="0.55000000000000004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25514.0464210887</v>
      </c>
    </row>
    <row r="255" spans="1:5" x14ac:dyDescent="0.55000000000000004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1458357.2726296766</v>
      </c>
    </row>
    <row r="258" spans="1:5" x14ac:dyDescent="0.55000000000000004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180626.6382614313</v>
      </c>
    </row>
    <row r="259" spans="1:5" x14ac:dyDescent="0.55000000000000004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4697.1466214556613</v>
      </c>
    </row>
    <row r="262" spans="1:5" x14ac:dyDescent="0.55000000000000004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575400.46112831845</v>
      </c>
    </row>
    <row r="263" spans="1:5" x14ac:dyDescent="0.55000000000000004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662441.233045817</v>
      </c>
    </row>
    <row r="264" spans="1:5" x14ac:dyDescent="0.55000000000000004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87107.539862645164</v>
      </c>
    </row>
    <row r="265" spans="1:5" x14ac:dyDescent="0.55000000000000004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7267.3729665242781</v>
      </c>
    </row>
    <row r="267" spans="1:5" x14ac:dyDescent="0.55000000000000004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94778.655771754129</v>
      </c>
    </row>
    <row r="268" spans="1:5" x14ac:dyDescent="0.55000000000000004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637409.17060556682</v>
      </c>
    </row>
    <row r="269" spans="1:5" x14ac:dyDescent="0.55000000000000004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24123.640819434757</v>
      </c>
    </row>
    <row r="270" spans="1:5" x14ac:dyDescent="0.55000000000000004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1378883.0846623355</v>
      </c>
    </row>
    <row r="273" spans="1:7" x14ac:dyDescent="0.55000000000000004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170783.26471332053</v>
      </c>
    </row>
    <row r="274" spans="1:7" x14ac:dyDescent="0.55000000000000004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4441.1723684315039</v>
      </c>
    </row>
    <row r="277" spans="1:7" x14ac:dyDescent="0.55000000000000004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544043.61513285921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55000000000000004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55000000000000004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55000000000000004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55000000000000004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55000000000000004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55000000000000004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55000000000000004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55000000000000004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55000000000000004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55000000000000004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55000000000000004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55000000000000004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55000000000000004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2293765.6188591849</v>
      </c>
      <c r="F302">
        <v>1</v>
      </c>
    </row>
    <row r="303" spans="1:7" x14ac:dyDescent="0.55000000000000004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159083.12542284423</v>
      </c>
      <c r="F303">
        <v>1</v>
      </c>
    </row>
    <row r="304" spans="1:7" x14ac:dyDescent="0.55000000000000004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170203.15251490066</v>
      </c>
      <c r="F304">
        <v>1</v>
      </c>
    </row>
    <row r="305" spans="1:7" x14ac:dyDescent="0.55000000000000004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2217144.8993992088</v>
      </c>
      <c r="F305">
        <v>1</v>
      </c>
    </row>
    <row r="306" spans="1:7" x14ac:dyDescent="0.55000000000000004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55000000000000004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55000000000000004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55000000000000004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55000000000000004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55000000000000004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610444.4261939266</v>
      </c>
      <c r="F311">
        <v>1</v>
      </c>
      <c r="G311">
        <v>1</v>
      </c>
    </row>
    <row r="312" spans="1:7" x14ac:dyDescent="0.55000000000000004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55000000000000004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55000000000000004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1146907.9751365485</v>
      </c>
      <c r="F314">
        <v>1</v>
      </c>
    </row>
    <row r="315" spans="1:7" x14ac:dyDescent="0.55000000000000004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64095.241196414951</v>
      </c>
      <c r="F315">
        <v>1</v>
      </c>
    </row>
    <row r="316" spans="1:7" x14ac:dyDescent="0.55000000000000004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39668.631585604686</v>
      </c>
      <c r="F316">
        <v>1</v>
      </c>
    </row>
    <row r="317" spans="1:7" x14ac:dyDescent="0.55000000000000004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647645.86028338596</v>
      </c>
      <c r="F317">
        <v>1</v>
      </c>
    </row>
    <row r="318" spans="1:7" x14ac:dyDescent="0.55000000000000004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55000000000000004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55000000000000004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55000000000000004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55000000000000004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55000000000000004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178235.22139277839</v>
      </c>
      <c r="F323">
        <v>1</v>
      </c>
      <c r="G323">
        <v>1</v>
      </c>
    </row>
    <row r="324" spans="1:7" x14ac:dyDescent="0.55000000000000004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55000000000000004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55000000000000004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2621642.4459828315</v>
      </c>
      <c r="F326">
        <v>1</v>
      </c>
    </row>
    <row r="327" spans="1:7" x14ac:dyDescent="0.55000000000000004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151027.97877060805</v>
      </c>
      <c r="F327">
        <v>1</v>
      </c>
    </row>
    <row r="328" spans="1:7" x14ac:dyDescent="0.55000000000000004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146472.78733520172</v>
      </c>
      <c r="F328">
        <v>1</v>
      </c>
    </row>
    <row r="329" spans="1:7" x14ac:dyDescent="0.55000000000000004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2287577.6202536402</v>
      </c>
      <c r="F329">
        <v>1</v>
      </c>
    </row>
    <row r="330" spans="1:7" x14ac:dyDescent="0.55000000000000004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55000000000000004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55000000000000004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55000000000000004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55000000000000004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55000000000000004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659548.66396073136</v>
      </c>
      <c r="F335">
        <v>1</v>
      </c>
      <c r="G335">
        <v>1</v>
      </c>
    </row>
    <row r="336" spans="1:7" x14ac:dyDescent="0.55000000000000004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55000000000000004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55000000000000004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1321534.7605934532</v>
      </c>
      <c r="F338">
        <v>1</v>
      </c>
    </row>
    <row r="339" spans="1:7" x14ac:dyDescent="0.55000000000000004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64013.646347353635</v>
      </c>
      <c r="F339">
        <v>1</v>
      </c>
    </row>
    <row r="340" spans="1:7" x14ac:dyDescent="0.55000000000000004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36959.622363047813</v>
      </c>
      <c r="F340">
        <v>1</v>
      </c>
    </row>
    <row r="341" spans="1:7" x14ac:dyDescent="0.55000000000000004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637918.49942824384</v>
      </c>
      <c r="F341">
        <v>1</v>
      </c>
    </row>
    <row r="342" spans="1:7" x14ac:dyDescent="0.55000000000000004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55000000000000004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55000000000000004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55000000000000004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55000000000000004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55000000000000004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181156.38422629872</v>
      </c>
      <c r="F347">
        <v>1</v>
      </c>
      <c r="G347">
        <v>1</v>
      </c>
    </row>
    <row r="348" spans="1:7" x14ac:dyDescent="0.55000000000000004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55000000000000004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3634979.9351519686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243453.07671148074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19339631.292659696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590491.77533861843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1298906.2590821604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96046.599229779691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21610883.072868608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475615.83979339601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526698.10610871855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32782.169963176602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4017892.007010099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335173.45257844625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188207.76974735426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12952.924335184269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4680862.224178886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288937.99053379206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497134.76694638823</v>
      </c>
      <c r="G393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471962.43365815014</v>
      </c>
      <c r="G394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200297.62873879672</v>
      </c>
      <c r="G396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200042.64483548011</v>
      </c>
      <c r="G397">
        <v>1</v>
      </c>
    </row>
    <row r="398" spans="1:7" x14ac:dyDescent="0.55000000000000004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55000000000000004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55000000000000004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55000000000000004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55000000000000004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55000000000000004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55000000000000004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55000000000000004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55000000000000004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55000000000000004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55000000000000004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55000000000000004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55000000000000004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55000000000000004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55000000000000004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55000000000000004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55000000000000004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55000000000000004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754028.76978801878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3047794.3886472038</v>
      </c>
      <c r="F14">
        <f>E14-D14</f>
        <v>2293765.6188591849</v>
      </c>
      <c r="G14">
        <f t="shared" si="3"/>
        <v>2293765.6188591849</v>
      </c>
      <c r="H14">
        <f t="shared" si="1"/>
        <v>1146907.9751365485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159083.12542284423</v>
      </c>
      <c r="F15">
        <f t="shared" si="2"/>
        <v>159083.12542284423</v>
      </c>
      <c r="G15">
        <f t="shared" si="3"/>
        <v>159083.12542284423</v>
      </c>
      <c r="H15">
        <f t="shared" si="1"/>
        <v>64095.241196414951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170203.15251490066</v>
      </c>
      <c r="F16">
        <f t="shared" si="2"/>
        <v>170203.15251490066</v>
      </c>
      <c r="G16">
        <f t="shared" si="3"/>
        <v>170203.15251490066</v>
      </c>
      <c r="H16">
        <f t="shared" si="1"/>
        <v>39668.631585604686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2217144.8993992088</v>
      </c>
      <c r="F17">
        <f t="shared" ca="1" si="2"/>
        <v>2217144.8993992088</v>
      </c>
      <c r="G17">
        <f t="shared" ca="1" si="3"/>
        <v>2217144.8993992088</v>
      </c>
      <c r="H17">
        <f t="shared" ca="1" si="1"/>
        <v>647645.86028338596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92128.125779914451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1239036.100916463</v>
      </c>
      <c r="F20">
        <f t="shared" si="2"/>
        <v>1146907.9751365485</v>
      </c>
      <c r="G20">
        <f t="shared" si="3"/>
        <v>1146907.9751365485</v>
      </c>
      <c r="H20">
        <f t="shared" si="1"/>
        <v>2293765.6188591849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64095.241196414951</v>
      </c>
      <c r="F21">
        <f t="shared" si="2"/>
        <v>64095.241196414951</v>
      </c>
      <c r="G21">
        <f t="shared" si="3"/>
        <v>64095.241196414951</v>
      </c>
      <c r="H21">
        <f t="shared" si="1"/>
        <v>159083.12542284423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39668.631585604686</v>
      </c>
      <c r="F22">
        <f t="shared" si="2"/>
        <v>39668.631585604686</v>
      </c>
      <c r="G22">
        <f t="shared" si="3"/>
        <v>39668.631585604686</v>
      </c>
      <c r="H22">
        <f t="shared" si="1"/>
        <v>170203.15251490066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647645.86028338596</v>
      </c>
      <c r="F23">
        <f t="shared" ca="1" si="2"/>
        <v>647645.86028338596</v>
      </c>
      <c r="G23">
        <f t="shared" ca="1" si="3"/>
        <v>647645.86028338596</v>
      </c>
      <c r="H23">
        <f t="shared" ca="1" si="1"/>
        <v>2217144.8993992088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719379.45387000521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3341021.8998528365</v>
      </c>
      <c r="F26">
        <f t="shared" si="2"/>
        <v>2621642.4459828315</v>
      </c>
      <c r="G26">
        <f t="shared" si="3"/>
        <v>2621642.4459828315</v>
      </c>
      <c r="H26">
        <f t="shared" si="1"/>
        <v>1321534.7605934532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151027.97877060805</v>
      </c>
      <c r="F27">
        <f t="shared" si="2"/>
        <v>151027.97877060805</v>
      </c>
      <c r="G27">
        <f t="shared" si="3"/>
        <v>151027.97877060805</v>
      </c>
      <c r="H27">
        <f t="shared" si="1"/>
        <v>64013.646347353635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146472.78733520172</v>
      </c>
      <c r="F28">
        <f t="shared" si="2"/>
        <v>146472.78733520172</v>
      </c>
      <c r="G28">
        <f t="shared" si="3"/>
        <v>146472.78733520172</v>
      </c>
      <c r="H28">
        <f t="shared" si="1"/>
        <v>36959.622363047813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2287577.6202536402</v>
      </c>
      <c r="F29">
        <f t="shared" ca="1" si="2"/>
        <v>2287577.6202536402</v>
      </c>
      <c r="G29">
        <f t="shared" ca="1" si="3"/>
        <v>2287577.6202536402</v>
      </c>
      <c r="H29">
        <f t="shared" ca="1" si="1"/>
        <v>637918.49942824384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87107.539862645164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1408642.3004560983</v>
      </c>
      <c r="F32">
        <f t="shared" si="2"/>
        <v>1321534.7605934532</v>
      </c>
      <c r="G32">
        <f t="shared" si="3"/>
        <v>1321534.7605934532</v>
      </c>
      <c r="H32">
        <f t="shared" si="1"/>
        <v>2621642.4459828315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64013.646347353635</v>
      </c>
      <c r="F33">
        <f t="shared" si="2"/>
        <v>64013.646347353635</v>
      </c>
      <c r="G33">
        <f t="shared" si="3"/>
        <v>64013.646347353635</v>
      </c>
      <c r="H33">
        <f t="shared" si="1"/>
        <v>151027.97877060805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36959.622363047813</v>
      </c>
      <c r="F34">
        <f t="shared" si="2"/>
        <v>36959.622363047813</v>
      </c>
      <c r="G34">
        <f t="shared" si="3"/>
        <v>36959.622363047813</v>
      </c>
      <c r="H34">
        <f t="shared" si="1"/>
        <v>146472.78733520172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637918.49942824384</v>
      </c>
      <c r="F35">
        <f t="shared" ca="1" si="2"/>
        <v>637918.49942824384</v>
      </c>
      <c r="G35">
        <f t="shared" ca="1" si="3"/>
        <v>637918.49942824384</v>
      </c>
      <c r="H35">
        <f t="shared" ca="1" si="1"/>
        <v>2287577.6202536402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5500000000000000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387359.23061650008</v>
      </c>
      <c r="O3">
        <f>SUMIF($F$3:$F$494,"Roer",J3:J494)</f>
        <v>370630.07456563454</v>
      </c>
    </row>
    <row r="4" spans="1:21" hidden="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-9039.6758594233797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-12444.151755749648</v>
      </c>
    </row>
    <row r="18" spans="1:10" hidden="1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-2004.9352535828805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-27641.153132235282</v>
      </c>
    </row>
    <row r="22" spans="1:10" hidden="1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-50622.184812770931</v>
      </c>
    </row>
    <row r="26" spans="1:10" hidden="1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693.04550820382815</v>
      </c>
    </row>
    <row r="28" spans="1:10" hidden="1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362.03869831543261</v>
      </c>
    </row>
    <row r="29" spans="1:10" hidden="1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-5268.3067053551467</v>
      </c>
    </row>
    <row r="30" spans="1:10" hidden="1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-3699.2133289461258</v>
      </c>
    </row>
    <row r="31" spans="1:10" hidden="1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-406847.97136108618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-571843.29715420585</v>
      </c>
    </row>
    <row r="34" spans="1:10" hidden="1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7480.0902236379161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103150.49782466076</v>
      </c>
    </row>
    <row r="36" spans="1:10" hidden="1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1870.0225559094786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25787.624456165187</v>
      </c>
    </row>
    <row r="37" spans="1:10" hidden="1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-52412.776436221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-722772.56291428255</v>
      </c>
    </row>
    <row r="38" spans="1:10" hidden="1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-47171.498792598904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-650495.30662285443</v>
      </c>
    </row>
    <row r="39" spans="1:10" hidden="1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76669.397759457366</v>
      </c>
    </row>
    <row r="40" spans="1:10" hidden="1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26539.406916735243</v>
      </c>
    </row>
    <row r="41" spans="1:10" hidden="1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-15874.707453829546</v>
      </c>
    </row>
    <row r="42" spans="1:10" hidden="1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-483498.232736637</v>
      </c>
    </row>
    <row r="43" spans="1:10" hidden="1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3521.5783523746609</v>
      </c>
    </row>
    <row r="44" spans="1:10" hidden="1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1760.7891761873307</v>
      </c>
    </row>
    <row r="45" spans="1:10" hidden="1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-39657.210969034466</v>
      </c>
    </row>
    <row r="46" spans="1:10" hidden="1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-22208.038142659298</v>
      </c>
    </row>
    <row r="47" spans="1:10" hidden="1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-9039.6758594233797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-12442.803263162177</v>
      </c>
    </row>
    <row r="50" spans="1:10" hidden="1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-1549.2681504958623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-21359.072874909081</v>
      </c>
    </row>
    <row r="54" spans="1:10" hidden="1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-49718.217226828594</v>
      </c>
    </row>
    <row r="58" spans="1:10" hidden="1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508.87649855594589</v>
      </c>
    </row>
    <row r="60" spans="1:10" hidden="1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277.56899921233418</v>
      </c>
    </row>
    <row r="61" spans="1:10" hidden="1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-4821.2893449174444</v>
      </c>
    </row>
    <row r="62" spans="1:10" hidden="1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-941.78349023914541</v>
      </c>
    </row>
    <row r="63" spans="1:10" hidden="1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-309225.33114073338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-436072.69673157413</v>
      </c>
    </row>
    <row r="66" spans="1:10" hidden="1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1898.2610482430161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26176.809225603654</v>
      </c>
    </row>
    <row r="68" spans="1:10" hidden="1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6643.9136688505532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91618.832289612736</v>
      </c>
    </row>
    <row r="69" spans="1:10" hidden="1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-26188.811033851198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-361140.79826535203</v>
      </c>
    </row>
    <row r="70" spans="1:10" hidden="1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-13094.405516925604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-180570.3991326761</v>
      </c>
    </row>
    <row r="71" spans="1:10" hidden="1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19741.906414244215</v>
      </c>
    </row>
    <row r="72" spans="1:10" hidden="1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26110.26332206493</v>
      </c>
    </row>
    <row r="73" spans="1:10" hidden="1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-142331.90277556182</v>
      </c>
    </row>
    <row r="74" spans="1:10" hidden="1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-136181.75882846964</v>
      </c>
    </row>
    <row r="75" spans="1:10" hidden="1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1634.6399328059003</v>
      </c>
    </row>
    <row r="76" spans="1:10" hidden="1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891.62178153049126</v>
      </c>
    </row>
    <row r="77" spans="1:10" hidden="1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-41189.721286350257</v>
      </c>
    </row>
    <row r="78" spans="1:10" hidden="1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-11275.91917567507</v>
      </c>
    </row>
    <row r="79" spans="1:10" hidden="1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13478450.427395193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12040811.734315882</v>
      </c>
    </row>
    <row r="96" spans="1:10" hidden="1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14539919.740607873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12989062.590821607</v>
      </c>
    </row>
    <row r="97" spans="1:10" hidden="1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1863912.8013176599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1665104.1045661613</v>
      </c>
    </row>
    <row r="98" spans="1:10" hidden="1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152350.23515445206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136100.25195811957</v>
      </c>
    </row>
    <row r="99" spans="1:10" hidden="1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-8318187811.8948736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-7430953131.6845398</v>
      </c>
    </row>
    <row r="100" spans="1:10" hidden="1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-638835.89049469074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-570696.36661913828</v>
      </c>
    </row>
    <row r="101" spans="1:10" hidden="1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1089273.4501434613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973089.34814258514</v>
      </c>
    </row>
    <row r="102" spans="1:10" hidden="1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301413.69568640337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464033.51472467376</v>
      </c>
    </row>
    <row r="103" spans="1:10" hidden="1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326708.60613861453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502975.62773999455</v>
      </c>
    </row>
    <row r="105" spans="1:10" hidden="1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9992.0831801694221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15383.048427697806</v>
      </c>
    </row>
    <row r="106" spans="1:10" hidden="1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-545558885.68509495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-839900810.20446122</v>
      </c>
    </row>
    <row r="107" spans="1:10" hidden="1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-36828.907674511363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-56698.974586259763</v>
      </c>
    </row>
    <row r="108" spans="1:10" hidden="1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78585.517112095433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120984.2626060426</v>
      </c>
    </row>
    <row r="109" spans="1:10" hidden="1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6073985.5470365016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5669396.5034545362</v>
      </c>
    </row>
    <row r="142" spans="1:10" hidden="1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2672553.6406960608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2806351.2692099959</v>
      </c>
    </row>
    <row r="143" spans="1:10" hidden="1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-129566265.48533338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-112522910.19695166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1841213.0503133023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1599016.9195492582</v>
      </c>
    </row>
    <row r="145" spans="1:10" hidden="1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187609.28996138749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159621.9312272981</v>
      </c>
    </row>
    <row r="146" spans="1:10" hidden="1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82548.087583010521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79012.855957512569</v>
      </c>
    </row>
    <row r="147" spans="1:10" hidden="1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-2709659.0645962353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-2145056.8607526263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333323.38154699642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263869.95167718321</v>
      </c>
    </row>
    <row r="149" spans="1:10" hidden="1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86832.772896460694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38206.420074442707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-826901.61200631468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338630.22086863633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635135.25171034865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805741.50306672044</v>
      </c>
    </row>
    <row r="154" spans="1:10" hidden="1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279459.51075255347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398842.04401802667</v>
      </c>
    </row>
    <row r="155" spans="1:10" hidden="1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-13548287.529651336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-15991892.388597069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287356.95004889689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339185.40717711538</v>
      </c>
    </row>
    <row r="157" spans="1:10" hidden="1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19617.641938736997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22685.662347152367</v>
      </c>
    </row>
    <row r="158" spans="1:10" hidden="1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8631.762453044279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11229.402861840423</v>
      </c>
    </row>
    <row r="159" spans="1:10" hidden="1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-283339.49409564101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-304858.08111908543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52021.568218317363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55972.413992129776</v>
      </c>
    </row>
    <row r="161" spans="1:10" hidden="1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9079.7968884218153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3995.1106309055999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-86466.185902856858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52849.803256954823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153054.33393253037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142715.4964922044</v>
      </c>
    </row>
    <row r="166" spans="1:10" hidden="1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-1388431.634276602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-1205795.1003920683</v>
      </c>
    </row>
    <row r="167" spans="1:10" hidden="1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15784.345932466715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13708.047640515055</v>
      </c>
    </row>
    <row r="168" spans="1:10" hidden="1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2184.7595918649358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1856.9674854049474</v>
      </c>
    </row>
    <row r="169" spans="1:10" hidden="1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-16102.966625087563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-12747.647661260922</v>
      </c>
    </row>
    <row r="170" spans="1:10" hidden="1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1320.5831829652263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1045.4178733501305</v>
      </c>
    </row>
    <row r="171" spans="1:10" hidden="1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510.14665094313386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-3140.2879878678937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676.84270476343079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13615.642770067298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17255.600939511984</v>
      </c>
    </row>
    <row r="175" spans="1:10" hidden="1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-123514.23613593586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-145791.58941104097</v>
      </c>
    </row>
    <row r="176" spans="1:10" hidden="1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2463.4528333907592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2907.7676813213752</v>
      </c>
    </row>
    <row r="177" spans="1:10" hidden="1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194.35520299885178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224.52425050805272</v>
      </c>
    </row>
    <row r="178" spans="1:10" hidden="1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-1432.5124645092346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-1541.3064899524566</v>
      </c>
    </row>
    <row r="179" spans="1:10" hidden="1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206.10257768821452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221.75530646820951</v>
      </c>
    </row>
    <row r="180" spans="1:10" hidden="1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45.382410161935432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-279.35856724443283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105.63441057001521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18681.417518152328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18478.993734755764</v>
      </c>
    </row>
    <row r="184" spans="1:10" hidden="1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-14786657.169740809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-12798130.913545679</v>
      </c>
    </row>
    <row r="185" spans="1:10" hidden="1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3201.9370591217316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2771.3369688067014</v>
      </c>
    </row>
    <row r="186" spans="1:10" hidden="1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1661.890263609042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2234.2783333841066</v>
      </c>
    </row>
    <row r="187" spans="1:10" hidden="1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-1315414.1840596013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-1547410.3740923414</v>
      </c>
    </row>
    <row r="188" spans="1:10" hidden="1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499.72428090339162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587.85935701960341</v>
      </c>
    </row>
    <row r="189" spans="1:10" hidden="1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1879345.3659067894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1754161.903044682</v>
      </c>
    </row>
    <row r="190" spans="1:10" hidden="1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-6203297.6465477478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-5387305.8808387714</v>
      </c>
    </row>
    <row r="191" spans="1:10" hidden="1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94029.352791942845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81660.580247896083</v>
      </c>
    </row>
    <row r="192" spans="1:10" hidden="1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71094.924825440001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60489.05788957436</v>
      </c>
    </row>
    <row r="193" spans="1:10" hidden="1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-156445.60347155639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-123847.57899837565</v>
      </c>
    </row>
    <row r="194" spans="1:10" hidden="1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20848.585632116265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16504.438595791955</v>
      </c>
    </row>
    <row r="195" spans="1:10" hidden="1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55657.468506481237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-78734.067190725124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35825.482843373764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167185.69468962715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212094.1210044933</v>
      </c>
    </row>
    <row r="199" spans="1:10" hidden="1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-551842.49005994131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-651374.25650141481</v>
      </c>
    </row>
    <row r="200" spans="1:10" hidden="1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14675.101302788773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17321.941264705227</v>
      </c>
    </row>
    <row r="201" spans="1:10" hidden="1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6324.5716362053263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7313.6769993758098</v>
      </c>
    </row>
    <row r="202" spans="1:10" hidden="1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-13917.328540041923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-14974.29818798542</v>
      </c>
    </row>
    <row r="203" spans="1:10" hidden="1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3253.8255032782613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3500.9415203195058</v>
      </c>
    </row>
    <row r="204" spans="1:10" hidden="1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4951.2626607788789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-7004.1462084697077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5591.2603281565989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9524662.5838259775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8890223.4506753813</v>
      </c>
    </row>
    <row r="208" spans="1:10" hidden="1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-27806143.522415712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-24148478.608812794</v>
      </c>
    </row>
    <row r="209" spans="1:10" hidden="1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407888.20586070279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354233.93416903727</v>
      </c>
    </row>
    <row r="210" spans="1:10" hidden="1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1124921.4616650923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957106.84810423467</v>
      </c>
    </row>
    <row r="211" spans="1:10" hidden="1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-2295322.8024648074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-1817054.3997212222</v>
      </c>
    </row>
    <row r="212" spans="1:10" hidden="1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282354.62101336458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223521.37391874261</v>
      </c>
    </row>
    <row r="213" spans="1:10" hidden="1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1056967.2697290797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-1493077.2041285918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582324.20314794069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1159476.2659848274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1470927.8800208364</v>
      </c>
    </row>
    <row r="217" spans="1:10" hidden="1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-3384955.9686825145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-3995475.5516399359</v>
      </c>
    </row>
    <row r="218" spans="1:10" hidden="1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63658.85293779755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75140.531490401874</v>
      </c>
    </row>
    <row r="219" spans="1:10" hidden="1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136941.30625818987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158357.67850451884</v>
      </c>
    </row>
    <row r="220" spans="1:10" hidden="1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-279419.06485496444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-300639.9097720568</v>
      </c>
    </row>
    <row r="221" spans="1:10" hidden="1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44066.906169715861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47413.624770642382</v>
      </c>
    </row>
    <row r="222" spans="1:10" hidden="1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128668.96358667292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-181758.41571646326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90882.968121354905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231082.87306728473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215690.40993439485</v>
      </c>
    </row>
    <row r="226" spans="1:10" hidden="1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92481.042050347503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97110.97498056601</v>
      </c>
    </row>
    <row r="227" spans="1:10" hidden="1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127212.19963087571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110478.50195730201</v>
      </c>
    </row>
    <row r="229" spans="1:10" hidden="1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8855.7853733845513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7534.6885227540415</v>
      </c>
    </row>
    <row r="230" spans="1:10" hidden="1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3544.1495452861277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3392.3666279000636</v>
      </c>
    </row>
    <row r="231" spans="1:10" hidden="1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28573.881223510933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22620.041302486134</v>
      </c>
    </row>
    <row r="233" spans="1:10" hidden="1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2753.0794920470639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1101.8023832420477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19498.064764712784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20557.025528933602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26078.931382976833</v>
      </c>
    </row>
    <row r="238" spans="1:10" hidden="1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8227.0707349991244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11741.599702195706</v>
      </c>
    </row>
    <row r="239" spans="1:10" hidden="1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19853.927110021072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23434.833748518609</v>
      </c>
    </row>
    <row r="241" spans="1:10" hidden="1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787.80657165542334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911.01233956935209</v>
      </c>
    </row>
    <row r="242" spans="1:10" hidden="1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315.28590463556941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410.16796500973487</v>
      </c>
    </row>
    <row r="243" spans="1:10" hidden="1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4459.5074741895678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4798.19057931524</v>
      </c>
    </row>
    <row r="245" spans="1:10" hidden="1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244.91267851216364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98.015830509220308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3043.0505702152905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350995.0620325355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327615.23089035868</v>
      </c>
    </row>
    <row r="250" spans="1:10" hidden="1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-545014.03175308905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-473322.00801892707</v>
      </c>
    </row>
    <row r="251" spans="1:10" hidden="1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9179.2246977595587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7971.7746936262402</v>
      </c>
    </row>
    <row r="252" spans="1:10" hidden="1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3568.426949187919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3036.0927286177698</v>
      </c>
    </row>
    <row r="253" spans="1:10" hidden="1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-3591.3503316030301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-2843.0331951445032</v>
      </c>
    </row>
    <row r="254" spans="1:10" hidden="1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546.96930351964966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432.99921841301472</v>
      </c>
    </row>
    <row r="255" spans="1:10" hidden="1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1151.5006496503686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-709.52928230698751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387.41901751756075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31224.358408559085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39611.65973492519</v>
      </c>
    </row>
    <row r="259" spans="1:10" hidden="1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-48484.196235144736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-57228.933696833898</v>
      </c>
    </row>
    <row r="260" spans="1:10" hidden="1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1432.5957620780816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1690.9825107692025</v>
      </c>
    </row>
    <row r="261" spans="1:10" hidden="1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317.44561126012758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367.09121173287576</v>
      </c>
    </row>
    <row r="262" spans="1:10" hidden="1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-319.48486475936778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-343.74855904928995</v>
      </c>
    </row>
    <row r="263" spans="1:10" hidden="1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85.365151416361513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91.848319057306156</v>
      </c>
    </row>
    <row r="264" spans="1:10" hidden="1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102.43696530704723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-63.119396848003106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60.464239728174228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23077.641668552034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21540.436665592773</v>
      </c>
    </row>
    <row r="268" spans="1:10" hidden="1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-355654.24232987512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-308870.91034802975</v>
      </c>
    </row>
    <row r="269" spans="1:10" hidden="1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4993.625292286747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4336.7557767944909</v>
      </c>
    </row>
    <row r="270" spans="1:10" hidden="1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819.9378354889443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697.62036205143568</v>
      </c>
    </row>
    <row r="271" spans="1:10" hidden="1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-10530.191004301578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-8336.0518501904207</v>
      </c>
    </row>
    <row r="272" spans="1:10" hidden="1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801.92627227934429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634.83169327315693</v>
      </c>
    </row>
    <row r="273" spans="1:10" hidden="1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428.7841052512365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-4720.056638940111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960.92579800208387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2052.9763310925769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2604.4346150216716</v>
      </c>
    </row>
    <row r="277" spans="1:10" hidden="1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-31638.836933276172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-37345.300978443593</v>
      </c>
    </row>
    <row r="278" spans="1:10" hidden="1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779.35192422972352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919.91789204731629</v>
      </c>
    </row>
    <row r="279" spans="1:10" hidden="1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72.941290683091623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84.348643775309938</v>
      </c>
    </row>
    <row r="280" spans="1:10" hidden="1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-936.76092229018082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-1007.9044509775689</v>
      </c>
    </row>
    <row r="281" spans="1:10" hidden="1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125.15612341931964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134.66126827006357</v>
      </c>
    </row>
    <row r="282" spans="1:10" hidden="1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38.144435721482829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-419.89405591496137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149.97107830090329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1432412.416579653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1336999.2212154246</v>
      </c>
    </row>
    <row r="286" spans="1:10" hidden="1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-6383668.0305964164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-5543950.0539996875</v>
      </c>
    </row>
    <row r="287" spans="1:10" hidden="1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102154.90940807559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88717.288056772813</v>
      </c>
    </row>
    <row r="288" spans="1:10" hidden="1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50892.944489136768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43300.787966692063</v>
      </c>
    </row>
    <row r="289" spans="1:10" hidden="1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-166282.07121231768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-131634.45628067906</v>
      </c>
    </row>
    <row r="290" spans="1:10" hidden="1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21273.056492958694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16840.463944565974</v>
      </c>
    </row>
    <row r="291" spans="1:10" hidden="1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26614.317234626018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-64347.976722367624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24418.458772822862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127426.74619168128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161655.36038331952</v>
      </c>
    </row>
    <row r="295" spans="1:10" hidden="1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-567888.15601664071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-670313.96107450756</v>
      </c>
    </row>
    <row r="296" spans="1:10" hidden="1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15943.251757329719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18818.818678709384</v>
      </c>
    </row>
    <row r="297" spans="1:10" hidden="1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4527.4128074440168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5235.4589087000395</v>
      </c>
    </row>
    <row r="298" spans="1:10" hidden="1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-14792.376161604447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-15915.80244120938</v>
      </c>
    </row>
    <row r="299" spans="1:10" hidden="1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3320.072400635172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3572.2196246049034</v>
      </c>
    </row>
    <row r="300" spans="1:10" hidden="1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2367.5973539936099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-5724.3662529320109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3810.9733344868055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6584267.2998397611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6145688.3159253355</v>
      </c>
    </row>
    <row r="304" spans="1:10" hidden="1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-22120047.956762034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-19210341.213953946</v>
      </c>
    </row>
    <row r="305" spans="1:10" hidden="1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314338.92779873818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272990.27884775557</v>
      </c>
    </row>
    <row r="306" spans="1:10" hidden="1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252328.77397797129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214686.62993644815</v>
      </c>
    </row>
    <row r="307" spans="1:10" hidden="1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-573967.77750136773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-454372.11458324391</v>
      </c>
    </row>
    <row r="308" spans="1:10" hidden="1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70605.517496821296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55893.692196333228</v>
      </c>
    </row>
    <row r="309" spans="1:10" hidden="1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78443.767955346804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-117649.21633749784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48179.347500273878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852910.00109484978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1082013.6095613998</v>
      </c>
    </row>
    <row r="313" spans="1:10" hidden="1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-2865377.3104684222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-3382184.3167597698</v>
      </c>
    </row>
    <row r="314" spans="1:10" hidden="1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49058.676592866643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57907.028846493602</v>
      </c>
    </row>
    <row r="315" spans="1:10" hidden="1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32686.056791019295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37797.858179720104</v>
      </c>
    </row>
    <row r="316" spans="1:10" hidden="1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-74350.392449743653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-79997.029870565049</v>
      </c>
    </row>
    <row r="317" spans="1:10" hidden="1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11019.358222047258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11856.237738616137</v>
      </c>
    </row>
    <row r="318" spans="1:10" hidden="1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10161.415259418043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-15239.993861984547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7519.3201301005465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442961.98399746383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413456.22306654684</v>
      </c>
    </row>
    <row r="322" spans="1:10" hidden="1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318932.62847817387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334899.54068390297</v>
      </c>
    </row>
    <row r="323" spans="1:10" hidden="1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-16465239.422165707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-14299375.303684922</v>
      </c>
    </row>
    <row r="324" spans="1:10" hidden="1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213925.26933415845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185785.19478028058</v>
      </c>
    </row>
    <row r="325" spans="1:10" hidden="1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10809.20917965933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9196.7025974682201</v>
      </c>
    </row>
    <row r="326" spans="1:10" hidden="1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7782.6306093547182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7449.3291039492578</v>
      </c>
    </row>
    <row r="327" spans="1:10" hidden="1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-277424.12401773623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-219618.2273769585</v>
      </c>
    </row>
    <row r="328" spans="1:10" hidden="1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30596.42621695876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24221.155653387919</v>
      </c>
    </row>
    <row r="329" spans="1:10" hidden="1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4063.8596933860977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2925.9789792379902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-70904.215429572942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25249.110953375803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38023.037354695603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48236.559357763814</v>
      </c>
    </row>
    <row r="334" spans="1:10" hidden="1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27376.586895380828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39071.61307978868</v>
      </c>
    </row>
    <row r="335" spans="1:10" hidden="1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-1413345.6960645134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-1668260.4520965745</v>
      </c>
    </row>
    <row r="336" spans="1:10" hidden="1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33387.180763134565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39408.980710968615</v>
      </c>
    </row>
    <row r="337" spans="1:10" hidden="1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927.84252206902363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1072.9486363712924</v>
      </c>
    </row>
    <row r="338" spans="1:10" hidden="1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668.04661588969691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869.08839546074671</v>
      </c>
    </row>
    <row r="339" spans="1:10" hidden="1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-23813.573651233433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-25622.126527311826</v>
      </c>
    </row>
    <row r="340" spans="1:10" hidden="1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4775.1647853057029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5137.8208961731953</v>
      </c>
    </row>
    <row r="341" spans="1:10" hidden="1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348.83419911435578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251.16062336233614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-6086.2867001685454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3940.6126921453565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722583.38300769683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674452.00080808939</v>
      </c>
    </row>
    <row r="346" spans="1:10" hidden="1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161823.03575800019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169924.47779966748</v>
      </c>
    </row>
    <row r="347" spans="1:10" hidden="1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-7089210.0945385583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-6156683.9782488225</v>
      </c>
    </row>
    <row r="348" spans="1:10" hidden="1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107457.98041248927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93322.784558215499</v>
      </c>
    </row>
    <row r="349" spans="1:10" hidden="1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60241.404140316445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51254.654130936353</v>
      </c>
    </row>
    <row r="350" spans="1:10" hidden="1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13491.103069286513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12913.328639498148</v>
      </c>
    </row>
    <row r="351" spans="1:10" hidden="1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-443267.84325196629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-350905.66955158015</v>
      </c>
    </row>
    <row r="352" spans="1:10" hidden="1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52508.17683125849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41567.231253975689</v>
      </c>
    </row>
    <row r="353" spans="1:10" hidden="1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40607.881429595029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9094.1624221768107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-227657.60402645552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77691.371837711937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64280.683609759835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81547.378279523546</v>
      </c>
    </row>
    <row r="358" spans="1:10" hidden="1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14395.702429570072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20545.414133959795</v>
      </c>
    </row>
    <row r="359" spans="1:10" hidden="1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-630652.85176270746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-744399.06282463029</v>
      </c>
    </row>
    <row r="360" spans="1:10" hidden="1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16770.898677093697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19795.742179015411</v>
      </c>
    </row>
    <row r="361" spans="1:10" hidden="1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5359.0474550258386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6197.1536358313933</v>
      </c>
    </row>
    <row r="362" spans="1:10" hidden="1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1200.162290383349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1561.3388264120483</v>
      </c>
    </row>
    <row r="363" spans="1:10" hidden="1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-39432.902356345432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-42427.685500327403</v>
      </c>
    </row>
    <row r="364" spans="1:10" hidden="1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8194.9177713524823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8817.2914781160543</v>
      </c>
    </row>
    <row r="365" spans="1:10" hidden="1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3612.458353765709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809.01248368382153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-20252.315179000871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12125.24300357354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681666.24358917749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636260.35788198875</v>
      </c>
    </row>
    <row r="370" spans="1:10" hidden="1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-1401556.7625198041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-1217193.7281220653</v>
      </c>
    </row>
    <row r="371" spans="1:10" hidden="1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25045.74757996669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21751.189595528846</v>
      </c>
    </row>
    <row r="372" spans="1:10" hidden="1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24219.283422536049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20606.275913320449</v>
      </c>
    </row>
    <row r="373" spans="1:10" hidden="1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-37724.740533545249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-29864.167990319493</v>
      </c>
    </row>
    <row r="374" spans="1:10" hidden="1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4022.0965366134983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3184.0263165202896</v>
      </c>
    </row>
    <row r="375" spans="1:10" hidden="1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12665.403793649248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-15218.776254051163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4819.5656604456844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60640.713808308901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76929.661453004082</v>
      </c>
    </row>
    <row r="379" spans="1:10" hidden="1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-124681.84147502766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-147169.78712748608</v>
      </c>
    </row>
    <row r="380" spans="1:10" hidden="1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3908.8738997635878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4613.8887020818765</v>
      </c>
    </row>
    <row r="381" spans="1:10" hidden="1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2154.5362536001721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2491.4860877014721</v>
      </c>
    </row>
    <row r="382" spans="1:10" hidden="1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-3355.9754728974644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-3610.8494024659017</v>
      </c>
    </row>
    <row r="383" spans="1:10" hidden="1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627.72604906684671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675.39952168612194</v>
      </c>
    </row>
    <row r="384" spans="1:10" hidden="1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1126.7084646489125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-1353.8552979759963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752.18654816204321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122311.56856922057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114164.37754230494</v>
      </c>
    </row>
    <row r="388" spans="1:10" hidden="1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-562404.59566407953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-488424.98913751339</v>
      </c>
    </row>
    <row r="389" spans="1:10" hidden="1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9212.6295495401591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8000.785417389644</v>
      </c>
    </row>
    <row r="390" spans="1:10" hidden="1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19403.411727071914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16508.830948142655</v>
      </c>
    </row>
    <row r="391" spans="1:10" hidden="1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-74349.52157102323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-58857.571206421642</v>
      </c>
    </row>
    <row r="392" spans="1:10" hidden="1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6605.7656279918092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5229.3452951281679</v>
      </c>
    </row>
    <row r="393" spans="1:10" hidden="1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14583.896422630054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-47899.045660440504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11376.699665900886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10880.780579654938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13803.511102842323</v>
      </c>
    </row>
    <row r="397" spans="1:10" hidden="1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-50031.252758787188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-59055.02141389934</v>
      </c>
    </row>
    <row r="398" spans="1:10" hidden="1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1437.8092360554006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1697.1363006584095</v>
      </c>
    </row>
    <row r="399" spans="1:10" hidden="1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1726.1185345643742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1996.0677419117933</v>
      </c>
    </row>
    <row r="400" spans="1:10" hidden="1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-6614.0990576765735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-7116.4154276855252</v>
      </c>
    </row>
    <row r="401" spans="1:10" hidden="1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1030.9576413628836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1109.2550626029447</v>
      </c>
    </row>
    <row r="402" spans="1:10" hidden="1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1297.3766817588239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-4261.0769521050834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1775.5542831174796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1666849.3227890774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1555820.2516659971</v>
      </c>
    </row>
    <row r="406" spans="1:10" hidden="1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-5648307.1262159264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-4905319.7076205099</v>
      </c>
    </row>
    <row r="407" spans="1:10" hidden="1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222056.91007661269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192847.18639970126</v>
      </c>
    </row>
    <row r="408" spans="1:10" hidden="1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310081.75317351293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263824.07976752869</v>
      </c>
    </row>
    <row r="409" spans="1:10" hidden="1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-875622.52539063047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-693172.11528919474</v>
      </c>
    </row>
    <row r="410" spans="1:10" hidden="1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186712.39494001362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147807.78474553581</v>
      </c>
    </row>
    <row r="411" spans="1:10" hidden="1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304965.29453590809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-738149.52335748624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420770.24224480294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260144.11396130113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330022.47762612061</v>
      </c>
    </row>
    <row r="415" spans="1:10" hidden="1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-881527.70177936438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-1040522.3622225323</v>
      </c>
    </row>
    <row r="416" spans="1:10" hidden="1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34656.280763401985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40906.978933269958</v>
      </c>
    </row>
    <row r="417" spans="1:10" hidden="1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48394.262055981795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55962.683587051535</v>
      </c>
    </row>
    <row r="418" spans="1:10" hidden="1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-136657.85078350882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-147036.50930376857</v>
      </c>
    </row>
    <row r="419" spans="1:10" hidden="1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29140.084759424091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31353.16646117426</v>
      </c>
    </row>
    <row r="420" spans="1:10" hidden="1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47595.739609650402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-115202.52676677532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65669.344165373885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610444.4261939266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659548.66396073136</v>
      </c>
    </row>
    <row r="424" spans="1:10" hidden="1" x14ac:dyDescent="0.5500000000000000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661314.79504342063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714511.05262412573</v>
      </c>
    </row>
    <row r="425" spans="1:10" ht="14.7" hidden="1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-472893.63203247666</v>
      </c>
      <c r="J425" s="317">
        <f t="shared" ca="1" si="0"/>
        <v>-1116274.2073436431</v>
      </c>
    </row>
    <row r="426" spans="1:10" hidden="1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hidden="1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1329115.7893830882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1206135.7873952007</v>
      </c>
    </row>
    <row r="431" spans="1:10" hidden="1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25463.771576319879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23107.667838715166</v>
      </c>
    </row>
    <row r="432" spans="1:10" hidden="1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118535.6583697202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107567.82876571713</v>
      </c>
    </row>
    <row r="433" spans="1:10" hidden="1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116959.18666245982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106137.22432994761</v>
      </c>
    </row>
    <row r="434" spans="1:10" hidden="1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0" hidden="1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0" hidden="1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0" hidden="1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0" hidden="1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0" ht="14.7" hidden="1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0" hidden="1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5160247872.9641237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4923122890.5634422</v>
      </c>
    </row>
    <row r="441" spans="1:10" hidden="1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143291678.15206847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136707103.6323069</v>
      </c>
    </row>
    <row r="442" spans="1:10" hidden="1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68150920.09671548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65019232.215365477</v>
      </c>
    </row>
    <row r="444" spans="1:10" hidden="1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124943353.51064506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119201925.72817004</v>
      </c>
    </row>
    <row r="445" spans="1:10" hidden="1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1461749863.1000643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1394579173.0295696</v>
      </c>
    </row>
    <row r="446" spans="1:10" hidden="1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210568868.50395426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200892755.94747537</v>
      </c>
    </row>
    <row r="447" spans="1:10" hidden="1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1985113980.2530456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1893893533.2475684</v>
      </c>
    </row>
    <row r="450" spans="1:13" hidden="1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142417948.40723878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135873523.7321099</v>
      </c>
    </row>
    <row r="451" spans="1:13" hidden="1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105721299.124392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100863167.9238362</v>
      </c>
    </row>
    <row r="454" spans="1:13" hidden="1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3500161357.7877212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3339321080.1891551</v>
      </c>
    </row>
    <row r="455" spans="1:13" hidden="1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130859277.66547085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140281875.98087335</v>
      </c>
      <c r="L458" s="114"/>
      <c r="M458" s="114"/>
    </row>
    <row r="459" spans="1:13" hidden="1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-138793.7123601487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-148787.63425551826</v>
      </c>
      <c r="L459" s="114"/>
      <c r="M459" s="114"/>
    </row>
    <row r="460" spans="1:13" hidden="1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14"/>
      <c r="M460" s="114"/>
    </row>
    <row r="461" spans="1:13" hidden="1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14"/>
      <c r="M461" s="114"/>
    </row>
    <row r="462" spans="1:13" hidden="1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14"/>
      <c r="M462" s="114"/>
    </row>
    <row r="463" spans="1:13" hidden="1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115755047.79489273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137002318.90134615</v>
      </c>
      <c r="L463" s="114"/>
      <c r="M463" s="114"/>
    </row>
    <row r="464" spans="1:13" hidden="1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idden="1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4.7" hidden="1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26"/>
      <c r="M473" s="114"/>
    </row>
    <row r="474" spans="1:13" hidden="1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23970432.839117184</v>
      </c>
      <c r="J474" s="262">
        <f ca="1">SUMIFS('Forbrug af biomasse'!$E$1:$E$425,'Forbrug af biomasse'!$A$1:$A$425,"Biogas",'Forbrug af biomasse'!$B$1:$B$425,$A$1,'Forbrug af biomasse'!$D$1:$D$425,J$2)*'[1]Processer - data'!J474</f>
        <v>27386289.783254456</v>
      </c>
    </row>
    <row r="475" spans="1:13" hidden="1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19265393.656305432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6884203.1731354501</v>
      </c>
    </row>
    <row r="476" spans="1:13" hidden="1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</row>
    <row r="477" spans="1:13" hidden="1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3" hidden="1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3408343.0739607303</v>
      </c>
      <c r="J478" s="262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1344652.3892169157</v>
      </c>
    </row>
    <row r="479" spans="1:13" hidden="1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135377419.04861787</v>
      </c>
      <c r="J479" s="262">
        <f ca="1">J474*'[1]Processer - data'!J$479*Biogasanlæg!AC$3</f>
        <v>151276181.51008025</v>
      </c>
    </row>
    <row r="480" spans="1:13" hidden="1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94478684.054178953</v>
      </c>
      <c r="J480" s="262">
        <f ca="1">-SUMIFS('Resultater - Vestdanmark'!J$3:J$504,'Resultater - Vestdanmark'!$F$3:$F$504,"Gødning",'Resultater - Vestdanmark'!$A$3:$A$504,"&lt;&gt;Gødning")-SUM(J475:J479)</f>
        <v>76098534.366943359</v>
      </c>
    </row>
    <row r="481" spans="1:10" hidden="1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23.707917223893222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27.096788612133071</v>
      </c>
    </row>
    <row r="482" spans="1:10" hidden="1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5.5679093897995475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5.2859792569712818</v>
      </c>
    </row>
    <row r="483" spans="1:10" hidden="1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3.1317380062741718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2.6950992869677113</v>
      </c>
    </row>
    <row r="484" spans="1:10" hidden="1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32.134342362444997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33.155163855017776</v>
      </c>
    </row>
    <row r="485" spans="1:10" hidden="1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17.675623452548628</v>
      </c>
      <c r="J489" s="262">
        <f ca="1">SUM(J455:J473)*'[1]Processer - data'!$H$489</f>
        <v>20.218057854314736</v>
      </c>
    </row>
    <row r="490" spans="1:10" hidden="1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idden="1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idden="1" x14ac:dyDescent="0.55000000000000004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idden="1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248567.38347319412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235981.21682907507</v>
      </c>
    </row>
    <row r="494" spans="1:10" hidden="1" x14ac:dyDescent="0.55000000000000004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159083.12542284423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151027.97877060805</v>
      </c>
    </row>
    <row r="495" spans="1:10" hidden="1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hidden="1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2327318.8289159178</v>
      </c>
      <c r="O3">
        <f>SUMIF($F$3:$F$494,"Roer",J3:J494)</f>
        <v>2337477.1247217245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-1745.4778517866712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-2227.128067320125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-388.74886678749027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-4977.6147844665857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-9774.675970005359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134.37873141535894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70.197844769217355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-1021.5034415379873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-717.26255851061512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-78558.633013840023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-102449.93260582464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1450.359353356155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18584.932348929669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362.58983833903869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4646.2330872324164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-10162.62615381495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-130224.08489252126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-9146.3635384334557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-117201.67640326916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14804.000910544277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5124.461853649942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-3065.2279849443271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-93358.086627161494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682.81985233315891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341.40992616657951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-7689.3734082507035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-4306.0491086203938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-1745.4778517866712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-2226.8666000411622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-300.39685160851519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-3846.3386970878164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-9600.1281848266917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98.669102553257162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53.819510483594826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-934.82857660459536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-182.60802384285103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-59708.608262944195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-78125.460581793945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368.06516821556829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4717.3752719237382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1288.2280887544882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16510.813451733076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-5077.9049317068211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-65081.9072995893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-2538.9524658534115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-32540.953649794665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3811.9541499192064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5041.6167789254023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-27482.79097603913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-26295.262970901636</v>
      </c>
    </row>
    <row r="75" spans="1:10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316.95009619302101</v>
      </c>
    </row>
    <row r="76" spans="1:10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172.88187065073879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-7986.5209835312526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-2186.3552918716778</v>
      </c>
    </row>
    <row r="79" spans="1:10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1952988.5831660042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1744678.8839594168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2106792.4244348742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1882077.697473543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270075.58773904614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241268.78111974653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22075.109561151701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19720.533875316727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-1205281416.9381351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-1076723671.3446317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-92565.477565356443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-82692.257130398822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157832.58049843548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140997.83929614452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43673.974961465974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67237.117600826576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47339.134513113473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72879.717433274796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1447.8240268074526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2228.9593388658977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-79049908.661767974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-121699204.38236851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-5336.4024749168302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-8215.5178475946341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11386.814719455808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17530.270626073881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2084050.3344257106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2039246.8076430438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916982.14714731264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1009427.1697833068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-44455591.27922909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-40473793.862542585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631740.1718426185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575156.48210019176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37380.741624504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31804.321470647974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16447.52631478176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15743.13912797075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-539893.65561275615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-427397.89856976963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66413.956396181908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52575.512055640822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18866.541727284082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8301.278360004997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-179664.58108942292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73575.69013436354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217921.79508532432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289820.22811654169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95885.589837542706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143461.01291768815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-4648564.429140199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-5752184.6428886279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98595.286934975142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122002.89014246491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3908.7723467472688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4520.0687181011817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1719.8598325687983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2237.4340154600854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-56454.775896154686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-60742.307402794533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10365.183946224923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11152.381345135931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1972.8077447778558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868.03540770225663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-18786.891745130986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11482.911177039396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80624.580909897224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78811.842544630956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-731385.4874893059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-665876.76831841504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8314.7353168252139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7570.0012878250072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668.32024489630624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568.04829658669155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-4925.9143379016141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-3899.5187564565722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403.96777729301078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319.79442119759216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170.17315830973379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-1047.5276548608908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225.77911770185256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7172.3254347012626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9529.068234941742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-65063.714754106462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-80510.554714862898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1297.6754540709871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1605.7578489325772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59.453459936151162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68.682203132754523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-438.20706162026494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-471.48726782611277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63.046994143995903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67.835180254034697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15.138525470443948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-93.187575770572892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35.237203340751556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9783.9656136094072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10155.835680921973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-7744173.8641299726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-7033700.8847205834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1676.9413805428985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1523.0939127777801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870.37705660953077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1227.9328596023838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-688918.12583214056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-850438.37969803414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261.7191749980247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323.08052695286244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106608.02609870829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104316.13541177972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-351889.18939448288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-320371.18625984638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5333.9231193684018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4856.1744113576542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2341.9683848098084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1992.5959771691309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-5153.5416652099848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-4079.7161718869015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686.78219350116785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543.67978439085914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1999.3136675764706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-2828.265475638193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1286.9140372049574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9483.8007032319092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12612.769099787905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-31303.899565208612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-38735.788884145048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832.46198972801631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1030.0976024091992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208.34042452151999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240.9229681486313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-458.45668339642583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-493.27477350996162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107.18566025740772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115.32601487078831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177.85801932949062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-251.60118884434561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200.84785551753669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1239045.2272479183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1212407.8686837186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-3617248.2874223036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-3293258.6727998252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53061.400367151742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48308.798032371655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84980.422510922348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72303.131473377405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-173396.55095893756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-137266.5167087118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21330.035748549595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16885.570631500424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87070.949319648353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-122996.85458029863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47970.758066042312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150834.06061179863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200598.39281857893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-440342.47938216024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-544884.61677233479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8281.2590168387123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10247.320794745501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10345.015595838293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11962.881752867897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-21108.273775694943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-22711.369128168677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3328.9651168256592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3581.7877097122109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10599.504003883205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-14972.911892838667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7486.7657097291467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25011.0032259613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24473.309325586044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10009.584917996119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11018.695408532636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13768.673952842209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12535.44166868988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556.60814878842689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473.5739241097595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222.75861871719212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213.21868463998723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1795.9395424508079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1421.7258869816826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188.69321574877262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75.516393701736774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1336.3771558211863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2224.9672811996788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2959.0455820935849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890.4480455951458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1332.260444849855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2148.8681891719052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2659.0330812372476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49.515603525166988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57.25939264236181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19.816503711315526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25.780077324653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280.2911424634209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301.5782184506599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16.786061216032433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6.7179034628308028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208.56753298943369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2120272.3666309444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2074690.127950958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-3292291.8751634127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-2997407.9492886332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55449.374019831092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50482.885713731193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12517.758857842748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10650.372611813169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-12598.17226614967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-9973.1350727972913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1918.7249568494972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1518.926933045944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4404.8286088494915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-2714.1581574193824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1481.9916710354134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188618.44926271809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250848.89728861582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-292880.76276742725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-362413.87023217109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8653.9485464476275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10708.490908973283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1113.5740394346815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1287.7268703374107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-1120.727579052274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-1205.8426951654908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299.45418401697356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322.1966221612609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391.85151612828713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-241.45025458199012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231.29349779165415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14579.879478444771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14266.436943055836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-224693.49613974305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-204568.1540459689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3154.8481412322071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2872.2747726789935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300.81712710490376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255.94154097920685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-3863.2950800361177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-3058.3137653069221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294.20908139110975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232.90576175411474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171.54393463577347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-1888.3561158897603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384.4382062290137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1297.0193362616476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1724.9419212967514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-19988.629512084659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-24734.149534648968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492.37514342930405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609.27040632584715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26.760552521066295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30.945659045667725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-343.67694382517834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-369.77793707801862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45.917024263352396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49.404252493297051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15.260469098523433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-167.98728684129142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59.999026405684226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365368.49630260066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357513.6969538377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-1628295.8470880429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-1482452.6806612848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26056.871057764576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23723.009807037786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7538.409460440268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6413.8373782303861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-24630.179120331726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-19498.074644865439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3151.0263736701345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2494.4580038008457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4298.8523698269883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-10393.745959660684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3944.1684127256626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32503.012474549269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43226.656086236741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-144852.44558777445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-179242.00593450078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4066.6792980326218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5032.1535954322571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670.6134196310735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775.49124664058297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-2191.0893448665042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-2357.4944797882763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491.77868259591696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529.12745535169461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382.42391891119854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-924.62283421490145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615.56385632134629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328505.37764160649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321443.07245526294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-1103623.8926179989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-1004774.5322075558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15683.146427924519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14278.43871545724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7310.7331386987926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6220.1255733481139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-16629.594736155108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-13164.544110511803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2045.6568959672113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1619.4105069429652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2478.3786375117384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-3717.0486845663731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1522.1944167942595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42553.789092187304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56593.462150456879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-142960.75973161479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-176901.21309472423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2447.6586910633646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3028.7597275212329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947.01462218635811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1095.1190782167434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-2154.157329695006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-2317.7576146082893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319.26437104690592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343.5113196545683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321.04315183027779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-481.49746254989844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237.56791475979776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180850.19946895647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176962.22871234283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130212.14361764863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143339.40525699768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-6722341.7389692813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-6120235.1827391293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87340.288846896408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79517.395786744615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2562.7461024155755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2180.4383045050563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1845.1771937392143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1766.1550266490954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-65774.246822829649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-52069.09653379993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7254.0803616706435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5742.5729500663792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1050.6677999978285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756.48081599843658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-18331.53249783807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6527.8897055573198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15523.846601815052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20645.593349773331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11177.169553306836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16722.930613316392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-577033.38048377947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-714027.43798623187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13631.143346047418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16867.32637900643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219.98138509174163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254.38446885892324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158.38659726605397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206.05141977572777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-5645.9396839249739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-6074.7279289433245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1132.1397096248984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1218.1215348625653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90.187380520044826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64.934913974432277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-1573.5448415774297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1018.8035956650152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542110.38764641772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530455.93915692333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121405.98678001313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133645.46083186779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-5318603.392815995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-4842226.8417343404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80619.19051423193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73398.292640921878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26245.446708182742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22330.178267534018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5877.6854838048566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5625.9657866503749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-193119.04700001352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-152879.50507202107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22876.302045661305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18109.646816031141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19292.311795072797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4320.5262325210433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-108157.36563387123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36910.228175255579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48225.889398140862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64136.945370791625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10800.22044245319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16158.951173307649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-473140.49835513387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-585469.24540969741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12582.185802799204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15569.334802619791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2334.7828025371814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2699.9215541654767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522.8761826344321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680.23040874954529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-17179.781117515653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-18484.521976889817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3570.2899146407817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3841.4402337035754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1716.235135989424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384.35201571386619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-9621.6292318224168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5760.555842380928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134549.98924576739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131657.39402040234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-276644.83770157781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-251866.31899555231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4943.6290842174622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4500.8382237168489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2776.0820160925568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2361.948988481679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-4324.1152898637947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-3423.1144760604047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461.02395630298588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364.96200328671159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1583.0881588934792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-1902.2421134901617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602.41248146284659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11969.504823655261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15918.575822466826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-24610.196833683713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-30452.927660371322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771.54904782584674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954.72325957630142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246.95897241424532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285.58110497096658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-384.67129659539768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-413.88565937821244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71.951715723587398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77.416182515363062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140.83079055127538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-169.22257876655252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94.01813294506853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31198.273186752649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30527.563537755221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-143453.74212974115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-130604.88052674409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2349.8851074928657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2139.4106501461033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2874.0892081690904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2445.3355695867021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-11012.865190180628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-8718.1529002656353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978.46502306687921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774.58568059699303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2355.6500489957248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-7736.8479579832883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1837.6106322178643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2775.3839557463766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3691.0599550194943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-12761.578562871189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-15791.317372779056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366.74507457981139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453.81438033402185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255.67764690012893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295.66330068639212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-979.69939466404549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-1054.1039415775722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152.70841400465747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164.30605345996821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209.55753904071793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-688.26641660903363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286.7947229472968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439343.02121372294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429897.89578053559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-1488763.4314914737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-1355417.9013794987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58529.077836022327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53286.746686612882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47094.327700414084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40068.844879368684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-132987.03883919134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-105276.99361900738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28357.34325880753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22448.622597871479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46317.254630880241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-112108.03341094927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63905.378088374506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68567.985969771791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91190.462741325726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-232350.36214028782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-287512.88817140879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9134.5959628474156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11303.249297160308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7349.9817798334125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8499.4519441085085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-20755.202593399805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-22331.48349494096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4425.7125317214068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4761.829035912132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7228.7044799639698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-17496.62949188226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9973.6717247752149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178235.22139277839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181156.38422629872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193088.1565088433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196252.74957849027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-135559.93500491785</v>
      </c>
      <c r="J425" s="317">
        <f t="shared" ca="1" si="0"/>
        <v>-250413.3836601582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192585.04353697354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174765.59603194657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3689.6270413861289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3348.2344068927573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17175.47493616951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15586.268067463632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16947.048733725202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15378.977611848217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630485180.59811664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596126454.72628307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17507546.498152919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16553460.645971967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8326759.919853217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7872987.3804013012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15265726.519730898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14433810.197402386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178598324.94762093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168865485.73604327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25727553.085700322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24325512.290727098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242543570.99880138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229325991.38809943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17400793.165847108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16452524.910325797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12917153.209003069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12213224.013186635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427653849.21707672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404348556.99855918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18961131.819913868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20326439.132714264</v>
      </c>
    </row>
    <row r="459" spans="1:10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-20110.808517250414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-21558.898968585887</v>
      </c>
    </row>
    <row r="460" spans="1:10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15586994.020227365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18476246.787545867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4979961.0474174749</v>
      </c>
      <c r="J474" s="262">
        <f ca="1">SUMIFS('Forbrug af biomasse'!$E$1:$E$425,'Forbrug af biomasse'!$A$1:$A$425,"Biogas",'Forbrug af biomasse'!$B$1:$B$425,$A$1,'Forbrug af biomasse'!$D$1:$D$425,J$2)*'[1]Processer - data'!J474</f>
        <v>5931800.6059544124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2791499.962376208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997501.17966097756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62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62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458950.37948447245</v>
      </c>
      <c r="J478" s="262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181340.94069257975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28125244.049070694</v>
      </c>
      <c r="J479" s="262">
        <f ca="1">J474*'[1]Processer - data'!J$479*Biogasanlæg!AC$3</f>
        <v>32766035.5692522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53627752.412551403</v>
      </c>
      <c r="J480" s="262">
        <f ca="1">-SUMIFS('Resultater - Østdanmark'!J$3:J$504,'Resultater - Østdanmark'!$F$3:$F$504,"Gødning",'Resultater - Østdanmark'!$A$3:$A$504,"&lt;&gt;Gødning")-SUM(J475:J479)</f>
        <v>46230078.485406727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11.854218719820096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13.659127355928229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2.243333441874523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2.240477622157377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0.72990282117512606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0.68005705148007967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9.3866998993191597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9.2457157245424533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3.8658304062705384</v>
      </c>
      <c r="J489" s="262">
        <f ca="1">SUM(J455:J473)*'[1]Processer - data'!$H$489</f>
        <v>4.585324935791073</v>
      </c>
    </row>
    <row r="490" spans="1:10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4.7" thickBot="1" x14ac:dyDescent="0.6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100148.81436939836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100021.32241774006</v>
      </c>
    </row>
    <row r="494" spans="1:10" ht="14.7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64095.241196414951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64013.646347353635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11635959.929105369</v>
      </c>
      <c r="O3" s="94">
        <f ca="1">SUMIF($F$3:$F$509,$L$3,J$3:J$509)</f>
        <v>5982305.0276574073</v>
      </c>
      <c r="Q3" s="94"/>
      <c r="U3" s="94"/>
    </row>
    <row r="4" spans="1:21" x14ac:dyDescent="0.55000000000000004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1337078.362473448</v>
      </c>
      <c r="O4" s="94">
        <f t="shared" si="0"/>
        <v>1252601.7206708463</v>
      </c>
    </row>
    <row r="5" spans="1:21" x14ac:dyDescent="0.55000000000000004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4104323.8031063229</v>
      </c>
      <c r="O5" s="94">
        <f t="shared" si="0"/>
        <v>4076660.8574560597</v>
      </c>
    </row>
    <row r="6" spans="1:21" x14ac:dyDescent="0.55000000000000004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16724.542422002487</v>
      </c>
      <c r="O6" s="94">
        <f t="shared" si="0"/>
        <v>16790.36275477802</v>
      </c>
    </row>
    <row r="7" spans="1:21" x14ac:dyDescent="0.55000000000000004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5640.3218955660459</v>
      </c>
      <c r="O7" s="94">
        <f>SUMIFS(J$3:J$509,$F$3:$F$509,$L$3,$C$3:$C$509,$L7)+SUMIFS(J$3:J$509,$F$3:$F$509,$L$3,$C$3:$C$509,"",$A$3:$A$509,"Grøntsager I drivhus")</f>
        <v>5205.3707655569469</v>
      </c>
    </row>
    <row r="8" spans="1:21" x14ac:dyDescent="0.55000000000000004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1390681.8200790717</v>
      </c>
      <c r="O8" s="94">
        <f>SUMIFS(J$3:J$509,$F$3:$F$509,$L$3,$C$3:$C$509,$L8)</f>
        <v>1149606.2154155094</v>
      </c>
    </row>
    <row r="9" spans="1:21" x14ac:dyDescent="0.55000000000000004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2123929.0919314814</v>
      </c>
      <c r="O9" s="94">
        <f>SUMIFS(J$3:J$509,$F$3:$F$509,$L$3,$C$3:$C$509,$L9)</f>
        <v>0</v>
      </c>
    </row>
    <row r="10" spans="1:21" x14ac:dyDescent="0.55000000000000004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55000000000000004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55000000000000004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55000000000000004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55000000000000004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55000000000000004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55000000000000004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55000000000000004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-10785.15371121005</v>
      </c>
      <c r="J17" s="256">
        <f ca="1">'Resultater - Vestdanmark'!J17+'Resultater - Østdanmark'!J17</f>
        <v>-14671.279823069774</v>
      </c>
    </row>
    <row r="18" spans="1:10" x14ac:dyDescent="0.55000000000000004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55000000000000004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55000000000000004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55000000000000004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-2393.6841203703707</v>
      </c>
      <c r="J21" s="256">
        <f ca="1">'Resultater - Vestdanmark'!J21+'Resultater - Østdanmark'!J21</f>
        <v>-32618.767916701869</v>
      </c>
    </row>
    <row r="22" spans="1:10" x14ac:dyDescent="0.55000000000000004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55000000000000004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55000000000000004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55000000000000004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-60396.86078277629</v>
      </c>
    </row>
    <row r="26" spans="1:10" x14ac:dyDescent="0.55000000000000004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55000000000000004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827.42423961918712</v>
      </c>
    </row>
    <row r="28" spans="1:10" x14ac:dyDescent="0.55000000000000004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432.23654308464995</v>
      </c>
    </row>
    <row r="29" spans="1:10" x14ac:dyDescent="0.55000000000000004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-6289.8101468931345</v>
      </c>
    </row>
    <row r="30" spans="1:10" x14ac:dyDescent="0.55000000000000004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-4416.4758874567406</v>
      </c>
    </row>
    <row r="31" spans="1:10" x14ac:dyDescent="0.55000000000000004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55000000000000004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55000000000000004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-485406.60437492619</v>
      </c>
      <c r="J33" s="256">
        <f ca="1">'Resultater - Vestdanmark'!J33+'Resultater - Østdanmark'!J33</f>
        <v>-674293.22976003052</v>
      </c>
    </row>
    <row r="34" spans="1:10" x14ac:dyDescent="0.55000000000000004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55000000000000004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8930.4495769940713</v>
      </c>
      <c r="J35" s="256">
        <f ca="1">'Resultater - Vestdanmark'!J35+'Resultater - Østdanmark'!J35</f>
        <v>121735.43017359043</v>
      </c>
    </row>
    <row r="36" spans="1:10" x14ac:dyDescent="0.55000000000000004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2232.6123942485174</v>
      </c>
      <c r="J36" s="256">
        <f ca="1">'Resultater - Vestdanmark'!J36+'Resultater - Østdanmark'!J36</f>
        <v>30433.857543397604</v>
      </c>
    </row>
    <row r="37" spans="1:10" x14ac:dyDescent="0.55000000000000004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-62575.402590035948</v>
      </c>
      <c r="J37" s="256">
        <f ca="1">'Resultater - Vestdanmark'!J37+'Resultater - Østdanmark'!J37</f>
        <v>-852996.64780680381</v>
      </c>
    </row>
    <row r="38" spans="1:10" x14ac:dyDescent="0.55000000000000004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-56317.86233103236</v>
      </c>
      <c r="J38" s="256">
        <f ca="1">'Resultater - Vestdanmark'!J38+'Resultater - Østdanmark'!J38</f>
        <v>-767696.98302612361</v>
      </c>
    </row>
    <row r="39" spans="1:10" x14ac:dyDescent="0.55000000000000004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91473.398670001639</v>
      </c>
    </row>
    <row r="40" spans="1:10" x14ac:dyDescent="0.55000000000000004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31663.868770385183</v>
      </c>
    </row>
    <row r="41" spans="1:10" x14ac:dyDescent="0.55000000000000004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-18939.935438773871</v>
      </c>
    </row>
    <row r="42" spans="1:10" x14ac:dyDescent="0.55000000000000004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-576856.31936379848</v>
      </c>
    </row>
    <row r="43" spans="1:10" x14ac:dyDescent="0.55000000000000004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4204.3982047078198</v>
      </c>
    </row>
    <row r="44" spans="1:10" x14ac:dyDescent="0.55000000000000004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2102.1991023539103</v>
      </c>
    </row>
    <row r="45" spans="1:10" x14ac:dyDescent="0.55000000000000004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-47346.584377285166</v>
      </c>
    </row>
    <row r="46" spans="1:10" x14ac:dyDescent="0.55000000000000004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-26514.087251279692</v>
      </c>
    </row>
    <row r="47" spans="1:10" x14ac:dyDescent="0.55000000000000004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55000000000000004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55000000000000004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-10785.15371121005</v>
      </c>
      <c r="J49" s="256">
        <f ca="1">'Resultater - Vestdanmark'!J49+'Resultater - Østdanmark'!J49</f>
        <v>-14669.66986320334</v>
      </c>
    </row>
    <row r="50" spans="1:10" x14ac:dyDescent="0.55000000000000004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55000000000000004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55000000000000004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55000000000000004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-1849.6650021043774</v>
      </c>
      <c r="J53" s="256">
        <f ca="1">'Resultater - Vestdanmark'!J53+'Resultater - Østdanmark'!J53</f>
        <v>-25205.411571996898</v>
      </c>
    </row>
    <row r="54" spans="1:10" x14ac:dyDescent="0.55000000000000004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55000000000000004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55000000000000004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55000000000000004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-59318.345411655289</v>
      </c>
    </row>
    <row r="58" spans="1:10" x14ac:dyDescent="0.55000000000000004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55000000000000004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607.54560110920306</v>
      </c>
    </row>
    <row r="60" spans="1:10" x14ac:dyDescent="0.55000000000000004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331.38850969592897</v>
      </c>
    </row>
    <row r="61" spans="1:10" x14ac:dyDescent="0.55000000000000004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-5756.11792152204</v>
      </c>
    </row>
    <row r="62" spans="1:10" x14ac:dyDescent="0.55000000000000004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-1124.3915140819963</v>
      </c>
    </row>
    <row r="63" spans="1:10" x14ac:dyDescent="0.55000000000000004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55000000000000004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55000000000000004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-368933.93940367759</v>
      </c>
      <c r="J65" s="256">
        <f ca="1">'Resultater - Vestdanmark'!J65+'Resultater - Østdanmark'!J65</f>
        <v>-514198.15731336805</v>
      </c>
    </row>
    <row r="66" spans="1:10" x14ac:dyDescent="0.55000000000000004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55000000000000004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2266.3262164585844</v>
      </c>
      <c r="J67" s="256">
        <f ca="1">'Resultater - Vestdanmark'!J67+'Resultater - Østdanmark'!J67</f>
        <v>30894.184497527393</v>
      </c>
    </row>
    <row r="68" spans="1:10" x14ac:dyDescent="0.55000000000000004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7932.1417576050417</v>
      </c>
      <c r="J68" s="256">
        <f ca="1">'Resultater - Vestdanmark'!J68+'Resultater - Østdanmark'!J68</f>
        <v>108129.64574134581</v>
      </c>
    </row>
    <row r="69" spans="1:10" x14ac:dyDescent="0.55000000000000004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-31266.715965558018</v>
      </c>
      <c r="J69" s="256">
        <f ca="1">'Resultater - Vestdanmark'!J69+'Resultater - Østdanmark'!J69</f>
        <v>-426222.70556494134</v>
      </c>
    </row>
    <row r="70" spans="1:10" x14ac:dyDescent="0.55000000000000004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-15633.357982779016</v>
      </c>
      <c r="J70" s="256">
        <f ca="1">'Resultater - Vestdanmark'!J70+'Resultater - Østdanmark'!J70</f>
        <v>-213111.35278247076</v>
      </c>
    </row>
    <row r="71" spans="1:10" x14ac:dyDescent="0.55000000000000004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23553.86056416342</v>
      </c>
    </row>
    <row r="72" spans="1:10" x14ac:dyDescent="0.55000000000000004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31151.880100990333</v>
      </c>
    </row>
    <row r="73" spans="1:10" x14ac:dyDescent="0.55000000000000004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-169814.69375160095</v>
      </c>
    </row>
    <row r="74" spans="1:10" x14ac:dyDescent="0.55000000000000004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-162477.02179937129</v>
      </c>
    </row>
    <row r="75" spans="1:10" x14ac:dyDescent="0.55000000000000004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1951.5900289989213</v>
      </c>
    </row>
    <row r="76" spans="1:10" x14ac:dyDescent="0.55000000000000004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1064.5036521812301</v>
      </c>
    </row>
    <row r="77" spans="1:10" x14ac:dyDescent="0.55000000000000004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-49176.242269881506</v>
      </c>
    </row>
    <row r="78" spans="1:10" x14ac:dyDescent="0.55000000000000004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-13462.274467546747</v>
      </c>
    </row>
    <row r="79" spans="1:10" x14ac:dyDescent="0.55000000000000004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55000000000000004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55000000000000004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55000000000000004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55000000000000004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55000000000000004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55000000000000004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55000000000000004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55000000000000004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55000000000000004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55000000000000004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55000000000000004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55000000000000004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55000000000000004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55000000000000004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55000000000000004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55000000000000004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15431439.010561198</v>
      </c>
      <c r="J95" s="256">
        <f>'Resultater - Vestdanmark'!J95+'Resultater - Østdanmark'!J95</f>
        <v>13785490.618275298</v>
      </c>
    </row>
    <row r="96" spans="1:10" x14ac:dyDescent="0.55000000000000004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16646712.165042747</v>
      </c>
      <c r="J96" s="256">
        <f>'Resultater - Vestdanmark'!J96+'Resultater - Østdanmark'!J96</f>
        <v>14871140.28829515</v>
      </c>
    </row>
    <row r="97" spans="1:10" x14ac:dyDescent="0.55000000000000004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>'Resultater - Vestdanmark'!H97+'Resultater - Østdanmark'!H97</f>
        <v>2263500</v>
      </c>
      <c r="I97" s="255">
        <f>'Resultater - Vestdanmark'!I97+'Resultater - Østdanmark'!I97</f>
        <v>2133988.3890567059</v>
      </c>
      <c r="J97" s="256">
        <f>'Resultater - Vestdanmark'!J97+'Resultater - Østdanmark'!J97</f>
        <v>1906372.8856859079</v>
      </c>
    </row>
    <row r="98" spans="1:10" x14ac:dyDescent="0.55000000000000004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174425.34471560377</v>
      </c>
      <c r="J98" s="256">
        <f>'Resultater - Vestdanmark'!J98+'Resultater - Østdanmark'!J98</f>
        <v>155820.7858334363</v>
      </c>
    </row>
    <row r="99" spans="1:10" x14ac:dyDescent="0.55000000000000004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-9523469228.8330078</v>
      </c>
      <c r="J99" s="256">
        <f>'Resultater - Vestdanmark'!J99+'Resultater - Østdanmark'!J99</f>
        <v>-8507676803.029171</v>
      </c>
    </row>
    <row r="100" spans="1:10" x14ac:dyDescent="0.55000000000000004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-731401.36806004716</v>
      </c>
      <c r="J100" s="256">
        <f>'Resultater - Vestdanmark'!J100+'Resultater - Østdanmark'!J100</f>
        <v>-653388.62374953716</v>
      </c>
    </row>
    <row r="101" spans="1:10" x14ac:dyDescent="0.55000000000000004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1247106.0306418969</v>
      </c>
      <c r="J101" s="256">
        <f>'Resultater - Vestdanmark'!J101+'Resultater - Østdanmark'!J101</f>
        <v>1114087.1874387297</v>
      </c>
    </row>
    <row r="102" spans="1:10" x14ac:dyDescent="0.55000000000000004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345087.67064786935</v>
      </c>
      <c r="J102" s="256">
        <f>'Resultater - Vestdanmark'!J102+'Resultater - Østdanmark'!J102</f>
        <v>531270.63232550037</v>
      </c>
    </row>
    <row r="103" spans="1:10" x14ac:dyDescent="0.55000000000000004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55000000000000004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374047.740651728</v>
      </c>
      <c r="J104" s="256">
        <f>'Resultater - Vestdanmark'!J104+'Resultater - Østdanmark'!J104</f>
        <v>575855.34517326939</v>
      </c>
    </row>
    <row r="105" spans="1:10" x14ac:dyDescent="0.55000000000000004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11439.907206976875</v>
      </c>
      <c r="J105" s="256">
        <f>'Resultater - Vestdanmark'!J105+'Resultater - Østdanmark'!J105</f>
        <v>17612.007766563704</v>
      </c>
    </row>
    <row r="106" spans="1:10" x14ac:dyDescent="0.55000000000000004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-624608794.34686291</v>
      </c>
      <c r="J106" s="256">
        <f>'Resultater - Vestdanmark'!J106+'Resultater - Østdanmark'!J106</f>
        <v>-961600014.58682966</v>
      </c>
    </row>
    <row r="107" spans="1:10" x14ac:dyDescent="0.55000000000000004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-42165.310149428195</v>
      </c>
      <c r="J107" s="256">
        <f>'Resultater - Vestdanmark'!J107+'Resultater - Østdanmark'!J107</f>
        <v>-64914.492433854393</v>
      </c>
    </row>
    <row r="108" spans="1:10" x14ac:dyDescent="0.55000000000000004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>'Resultater - Vestdanmark'!H108+'Resultater - Østdanmark'!H108</f>
        <v>60495.062518513841</v>
      </c>
      <c r="I108" s="255">
        <f>'Resultater - Vestdanmark'!I108+'Resultater - Østdanmark'!I108</f>
        <v>89972.331831551244</v>
      </c>
      <c r="J108" s="256">
        <f>'Resultater - Vestdanmark'!J108+'Resultater - Østdanmark'!J108</f>
        <v>138514.53323211649</v>
      </c>
    </row>
    <row r="109" spans="1:10" x14ac:dyDescent="0.55000000000000004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>'Resultater - Vestdanmark'!H109+'Resultater - Østdanmark'!H109</f>
        <v>440600</v>
      </c>
      <c r="I109" s="255">
        <f>'Resultater - Vestdanmark'!I109+'Resultater - Østdanmark'!I109</f>
        <v>429380.51670086844</v>
      </c>
      <c r="J109" s="256">
        <f>'Resultater - Vestdanmark'!J109+'Resultater - Østdanmark'!J109</f>
        <v>408636.03759135393</v>
      </c>
    </row>
    <row r="110" spans="1:10" x14ac:dyDescent="0.55000000000000004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>'Resultater - Vestdanmark'!H110+'Resultater - Østdanmark'!H110</f>
        <v>12785500</v>
      </c>
      <c r="I110" s="255">
        <f>'Resultater - Vestdanmark'!I110+'Resultater - Østdanmark'!I110</f>
        <v>12459928.725099757</v>
      </c>
      <c r="J110" s="256">
        <f>'Resultater - Vestdanmark'!J110+'Resultater - Østdanmark'!J110</f>
        <v>11857957.463967897</v>
      </c>
    </row>
    <row r="111" spans="1:10" x14ac:dyDescent="0.55000000000000004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>'Resultater - Vestdanmark'!H111+'Resultater - Østdanmark'!H111</f>
        <v>250560.00000000003</v>
      </c>
      <c r="I111" s="255">
        <f>'Resultater - Vestdanmark'!I111+'Resultater - Østdanmark'!I111</f>
        <v>244179.71462680344</v>
      </c>
      <c r="J111" s="256">
        <f>'Resultater - Vestdanmark'!J111+'Resultater - Østdanmark'!J111</f>
        <v>232382.76345639958</v>
      </c>
    </row>
    <row r="112" spans="1:10" x14ac:dyDescent="0.55000000000000004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>'Resultater - Vestdanmark'!H112+'Resultater - Østdanmark'!H112</f>
        <v>4786000</v>
      </c>
      <c r="I112" s="255">
        <f>'Resultater - Vestdanmark'!I112+'Resultater - Østdanmark'!I112</f>
        <v>4664128.8082849663</v>
      </c>
      <c r="J112" s="256">
        <f>'Resultater - Vestdanmark'!J112+'Resultater - Østdanmark'!J112</f>
        <v>4438792.7278988203</v>
      </c>
    </row>
    <row r="113" spans="1:10" x14ac:dyDescent="0.55000000000000004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>'Resultater - Vestdanmark'!H113+'Resultater - Østdanmark'!H113</f>
        <v>54522.149641311174</v>
      </c>
      <c r="I113" s="255">
        <f>'Resultater - Vestdanmark'!I113+'Resultater - Østdanmark'!I113</f>
        <v>53133.792066791335</v>
      </c>
      <c r="J113" s="256">
        <f>'Resultater - Vestdanmark'!J113+'Resultater - Østdanmark'!J113</f>
        <v>50566.761666791324</v>
      </c>
    </row>
    <row r="114" spans="1:10" x14ac:dyDescent="0.55000000000000004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>'Resultater - Vestdanmark'!H114+'Resultater - Østdanmark'!H114</f>
        <v>-3317225912</v>
      </c>
      <c r="I114" s="255">
        <f>'Resultater - Vestdanmark'!I114+'Resultater - Østdanmark'!I114</f>
        <v>-3232755733.3365173</v>
      </c>
      <c r="J114" s="256">
        <f>'Resultater - Vestdanmark'!J114+'Resultater - Østdanmark'!J114</f>
        <v>-3076572974.2965169</v>
      </c>
    </row>
    <row r="115" spans="1:10" x14ac:dyDescent="0.55000000000000004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>'Resultater - Vestdanmark'!H115+'Resultater - Østdanmark'!H115</f>
        <v>-13874.569799999999</v>
      </c>
      <c r="I115" s="255">
        <f>'Resultater - Vestdanmark'!I115+'Resultater - Østdanmark'!I115</f>
        <v>-13521.266340731423</v>
      </c>
      <c r="J115" s="256">
        <f>'Resultater - Vestdanmark'!J115+'Resultater - Østdanmark'!J115</f>
        <v>-12868.019124731421</v>
      </c>
    </row>
    <row r="116" spans="1:10" x14ac:dyDescent="0.55000000000000004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>'Resultater - Vestdanmark'!H116+'Resultater - Østdanmark'!H116</f>
        <v>3588024.4873487833</v>
      </c>
      <c r="I116" s="255">
        <f>'Resultater - Vestdanmark'!I116+'Resultater - Østdanmark'!I116</f>
        <v>3496658.6661670199</v>
      </c>
      <c r="J116" s="256">
        <f>'Resultater - Vestdanmark'!J116+'Resultater - Østdanmark'!J116</f>
        <v>3327726.0764660821</v>
      </c>
    </row>
    <row r="117" spans="1:10" x14ac:dyDescent="0.55000000000000004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>'Resultater - Vestdanmark'!H117+'Resultater - Østdanmark'!H117</f>
        <v>23400.000000000004</v>
      </c>
      <c r="I117" s="255">
        <f>'Resultater - Vestdanmark'!I117+'Resultater - Østdanmark'!I117</f>
        <v>26765.328207443497</v>
      </c>
      <c r="J117" s="256">
        <f>'Resultater - Vestdanmark'!J117+'Resultater - Østdanmark'!J117</f>
        <v>32987.716425747203</v>
      </c>
    </row>
    <row r="118" spans="1:10" x14ac:dyDescent="0.55000000000000004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>'Resultater - Vestdanmark'!H118+'Resultater - Østdanmark'!H118</f>
        <v>1264500</v>
      </c>
      <c r="I118" s="255">
        <f>'Resultater - Vestdanmark'!I118+'Resultater - Østdanmark'!I118</f>
        <v>1446357.1589022353</v>
      </c>
      <c r="J118" s="256">
        <f>'Resultater - Vestdanmark'!J118+'Resultater - Østdanmark'!J118</f>
        <v>1782605.445314416</v>
      </c>
    </row>
    <row r="119" spans="1:10" x14ac:dyDescent="0.55000000000000004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>'Resultater - Vestdanmark'!H119+'Resultater - Østdanmark'!H119</f>
        <v>10440.000000000002</v>
      </c>
      <c r="I119" s="255">
        <f>'Resultater - Vestdanmark'!I119+'Resultater - Østdanmark'!I119</f>
        <v>11941.454123320946</v>
      </c>
      <c r="J119" s="256">
        <f>'Resultater - Vestdanmark'!J119+'Resultater - Østdanmark'!J119</f>
        <v>14717.596559179521</v>
      </c>
    </row>
    <row r="120" spans="1:10" x14ac:dyDescent="0.55000000000000004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>'Resultater - Vestdanmark'!H120+'Resultater - Østdanmark'!H120</f>
        <v>482999.99999999994</v>
      </c>
      <c r="I120" s="255">
        <f>'Resultater - Vestdanmark'!I120+'Resultater - Østdanmark'!I120</f>
        <v>552463.82582030806</v>
      </c>
      <c r="J120" s="256">
        <f>'Resultater - Vestdanmark'!J120+'Resultater - Østdanmark'!J120</f>
        <v>680900.30058273068</v>
      </c>
    </row>
    <row r="121" spans="1:10" x14ac:dyDescent="0.55000000000000004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>'Resultater - Vestdanmark'!H121+'Resultater - Østdanmark'!H121</f>
        <v>9653.6103586888312</v>
      </c>
      <c r="I121" s="255">
        <f>'Resultater - Vestdanmark'!I121+'Resultater - Østdanmark'!I121</f>
        <v>11041.967933208674</v>
      </c>
      <c r="J121" s="256">
        <f>'Resultater - Vestdanmark'!J121+'Resultater - Østdanmark'!J121</f>
        <v>13608.998333208672</v>
      </c>
    </row>
    <row r="122" spans="1:10" x14ac:dyDescent="0.55000000000000004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>'Resultater - Vestdanmark'!H122+'Resultater - Østdanmark'!H122</f>
        <v>-587343064</v>
      </c>
      <c r="I122" s="255">
        <f>'Resultater - Vestdanmark'!I122+'Resultater - Østdanmark'!I122</f>
        <v>-671813242.66348267</v>
      </c>
      <c r="J122" s="256">
        <f>'Resultater - Vestdanmark'!J122+'Resultater - Østdanmark'!J122</f>
        <v>-827996001.70348251</v>
      </c>
    </row>
    <row r="123" spans="1:10" x14ac:dyDescent="0.55000000000000004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>'Resultater - Vestdanmark'!H123+'Resultater - Østdanmark'!H123</f>
        <v>-2961.3935999999999</v>
      </c>
      <c r="I123" s="255">
        <f>'Resultater - Vestdanmark'!I123+'Resultater - Østdanmark'!I123</f>
        <v>-3387.2936604881475</v>
      </c>
      <c r="J123" s="256">
        <f>'Resultater - Vestdanmark'!J123+'Resultater - Østdanmark'!J123</f>
        <v>-4174.7697564881473</v>
      </c>
    </row>
    <row r="124" spans="1:10" x14ac:dyDescent="0.55000000000000004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>'Resultater - Vestdanmark'!H124+'Resultater - Østdanmark'!H124</f>
        <v>531260.59557996574</v>
      </c>
      <c r="I124" s="255">
        <f>'Resultater - Vestdanmark'!I124+'Resultater - Østdanmark'!I124</f>
        <v>607665.13693930302</v>
      </c>
      <c r="J124" s="256">
        <f>'Resultater - Vestdanmark'!J124+'Resultater - Østdanmark'!J124</f>
        <v>748934.78098997765</v>
      </c>
    </row>
    <row r="125" spans="1:10" x14ac:dyDescent="0.55000000000000004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>'Resultater - Vestdanmark'!H125+'Resultater - Østdanmark'!H125</f>
        <v>105566999.99999999</v>
      </c>
      <c r="I125" s="255">
        <f>'Resultater - Vestdanmark'!I125+'Resultater - Østdanmark'!I125</f>
        <v>102904851.25711353</v>
      </c>
      <c r="J125" s="256">
        <f>'Resultater - Vestdanmark'!J125+'Resultater - Østdanmark'!J125</f>
        <v>97982620.213951036</v>
      </c>
    </row>
    <row r="126" spans="1:10" x14ac:dyDescent="0.55000000000000004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>'Resultater - Vestdanmark'!H126+'Resultater - Østdanmark'!H126</f>
        <v>6719.2238038686164</v>
      </c>
      <c r="I126" s="255">
        <f>'Resultater - Vestdanmark'!I126+'Resultater - Østdanmark'!I126</f>
        <v>6549.7809552261278</v>
      </c>
      <c r="J126" s="256">
        <f>'Resultater - Vestdanmark'!J126+'Resultater - Østdanmark'!J126</f>
        <v>6236.4863461782397</v>
      </c>
    </row>
    <row r="127" spans="1:10" x14ac:dyDescent="0.55000000000000004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>'Resultater - Vestdanmark'!H127+'Resultater - Østdanmark'!H127</f>
        <v>148922.51453359297</v>
      </c>
      <c r="I127" s="255">
        <f>'Resultater - Vestdanmark'!I127+'Resultater - Østdanmark'!I127</f>
        <v>145167.04279665722</v>
      </c>
      <c r="J127" s="256">
        <f>'Resultater - Vestdanmark'!J127+'Resultater - Østdanmark'!J127</f>
        <v>138223.29120702157</v>
      </c>
    </row>
    <row r="128" spans="1:10" x14ac:dyDescent="0.55000000000000004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>'Resultater - Vestdanmark'!H128+'Resultater - Østdanmark'!H128</f>
        <v>220000</v>
      </c>
      <c r="I128" s="255">
        <f>'Resultater - Vestdanmark'!I128+'Resultater - Østdanmark'!I128</f>
        <v>214452.12307411386</v>
      </c>
      <c r="J128" s="256">
        <f>'Resultater - Vestdanmark'!J128+'Resultater - Østdanmark'!J128</f>
        <v>204194.26948827977</v>
      </c>
    </row>
    <row r="129" spans="1:10" x14ac:dyDescent="0.55000000000000004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>'Resultater - Vestdanmark'!H129+'Resultater - Østdanmark'!H129</f>
        <v>9291.4831667730468</v>
      </c>
      <c r="I129" s="255">
        <f>'Resultater - Vestdanmark'!I129+'Resultater - Østdanmark'!I129</f>
        <v>9057.1740528266855</v>
      </c>
      <c r="J129" s="256">
        <f>'Resultater - Vestdanmark'!J129+'Resultater - Østdanmark'!J129</f>
        <v>8623.943716826685</v>
      </c>
    </row>
    <row r="130" spans="1:10" x14ac:dyDescent="0.55000000000000004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>'Resultater - Vestdanmark'!H130+'Resultater - Østdanmark'!H130</f>
        <v>-365582337.12</v>
      </c>
      <c r="I130" s="255">
        <f>'Resultater - Vestdanmark'!I130+'Resultater - Østdanmark'!I130</f>
        <v>-356363219.78991097</v>
      </c>
      <c r="J130" s="256">
        <f>'Resultater - Vestdanmark'!J130+'Resultater - Østdanmark'!J130</f>
        <v>-339317355.75471103</v>
      </c>
    </row>
    <row r="131" spans="1:10" x14ac:dyDescent="0.55000000000000004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>'Resultater - Vestdanmark'!H131+'Resultater - Østdanmark'!H131</f>
        <v>-8664.776171999998</v>
      </c>
      <c r="I131" s="255">
        <f>'Resultater - Vestdanmark'!I131+'Resultater - Østdanmark'!I131</f>
        <v>-8446.2711183972406</v>
      </c>
      <c r="J131" s="256">
        <f>'Resultater - Vestdanmark'!J131+'Resultater - Østdanmark'!J131</f>
        <v>-8042.2620032772411</v>
      </c>
    </row>
    <row r="132" spans="1:10" x14ac:dyDescent="0.55000000000000004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>'Resultater - Vestdanmark'!H132+'Resultater - Østdanmark'!H132</f>
        <v>14116.474844810102</v>
      </c>
      <c r="I132" s="255">
        <f>'Resultater - Vestdanmark'!I132+'Resultater - Østdanmark'!I132</f>
        <v>13760.490912690218</v>
      </c>
      <c r="J132" s="256">
        <f>'Resultater - Vestdanmark'!J132+'Resultater - Østdanmark'!J132</f>
        <v>13102.287584934891</v>
      </c>
    </row>
    <row r="133" spans="1:10" x14ac:dyDescent="0.55000000000000004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>'Resultater - Vestdanmark'!H133+'Resultater - Østdanmark'!H133</f>
        <v>1224707</v>
      </c>
      <c r="I133" s="255">
        <f>'Resultater - Vestdanmark'!I133+'Resultater - Østdanmark'!I133</f>
        <v>1411132.4071133996</v>
      </c>
      <c r="J133" s="256">
        <f>'Resultater - Vestdanmark'!J133+'Resultater - Østdanmark'!J133</f>
        <v>1755827.2437861352</v>
      </c>
    </row>
    <row r="134" spans="1:10" x14ac:dyDescent="0.55000000000000004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>'Resultater - Vestdanmark'!H134+'Resultater - Østdanmark'!H134</f>
        <v>2163.7761961313831</v>
      </c>
      <c r="I134" s="255">
        <f>'Resultater - Vestdanmark'!I134+'Resultater - Østdanmark'!I134</f>
        <v>2493.1471054722101</v>
      </c>
      <c r="J134" s="256">
        <f>'Resultater - Vestdanmark'!J134+'Resultater - Østdanmark'!J134</f>
        <v>3102.1437736727353</v>
      </c>
    </row>
    <row r="135" spans="1:10" x14ac:dyDescent="0.55000000000000004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>'Resultater - Vestdanmark'!H135+'Resultater - Østdanmark'!H135</f>
        <v>8147.4854664070526</v>
      </c>
      <c r="I135" s="255">
        <f>'Resultater - Vestdanmark'!I135+'Resultater - Østdanmark'!I135</f>
        <v>9387.6990807862003</v>
      </c>
      <c r="J135" s="256">
        <f>'Resultater - Vestdanmark'!J135+'Resultater - Østdanmark'!J135</f>
        <v>11680.815860666338</v>
      </c>
    </row>
    <row r="136" spans="1:10" x14ac:dyDescent="0.55000000000000004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>'Resultater - Vestdanmark'!H136+'Resultater - Østdanmark'!H136</f>
        <v>15000</v>
      </c>
      <c r="I136" s="255">
        <f>'Resultater - Vestdanmark'!I136+'Resultater - Østdanmark'!I136</f>
        <v>17283.306216671408</v>
      </c>
      <c r="J136" s="256">
        <f>'Resultater - Vestdanmark'!J136+'Resultater - Østdanmark'!J136</f>
        <v>21505.069095540424</v>
      </c>
    </row>
    <row r="137" spans="1:10" x14ac:dyDescent="0.55000000000000004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>'Resultater - Vestdanmark'!H137+'Resultater - Østdanmark'!H137</f>
        <v>1539.2752332269538</v>
      </c>
      <c r="I137" s="255">
        <f>'Resultater - Vestdanmark'!I137+'Resultater - Østdanmark'!I137</f>
        <v>1773.5843471733165</v>
      </c>
      <c r="J137" s="256">
        <f>'Resultater - Vestdanmark'!J137+'Resultater - Østdanmark'!J137</f>
        <v>2206.8146831733166</v>
      </c>
    </row>
    <row r="138" spans="1:10" x14ac:dyDescent="0.55000000000000004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>'Resultater - Vestdanmark'!H138+'Resultater - Østdanmark'!H138</f>
        <v>-60564263.759999998</v>
      </c>
      <c r="I138" s="255">
        <f>'Resultater - Vestdanmark'!I138+'Resultater - Østdanmark'!I138</f>
        <v>-69783381.090089008</v>
      </c>
      <c r="J138" s="256">
        <f>'Resultater - Vestdanmark'!J138+'Resultater - Østdanmark'!J138</f>
        <v>-86829245.125289008</v>
      </c>
    </row>
    <row r="139" spans="1:10" x14ac:dyDescent="0.55000000000000004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>'Resultater - Vestdanmark'!H139+'Resultater - Østdanmark'!H139</f>
        <v>-2703.7617749999999</v>
      </c>
      <c r="I139" s="255">
        <f>'Resultater - Vestdanmark'!I139+'Resultater - Østdanmark'!I139</f>
        <v>-3115.3295129504022</v>
      </c>
      <c r="J139" s="256">
        <f>'Resultater - Vestdanmark'!J139+'Resultater - Østdanmark'!J139</f>
        <v>-3876.3055859504016</v>
      </c>
    </row>
    <row r="140" spans="1:10" x14ac:dyDescent="0.55000000000000004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>'Resultater - Vestdanmark'!H140+'Resultater - Østdanmark'!H140</f>
        <v>2572.4691839803959</v>
      </c>
      <c r="I140" s="255">
        <f>'Resultater - Vestdanmark'!I140+'Resultater - Østdanmark'!I140</f>
        <v>2964.0515093122676</v>
      </c>
      <c r="J140" s="256">
        <f>'Resultater - Vestdanmark'!J140+'Resultater - Østdanmark'!J140</f>
        <v>3688.0751698431277</v>
      </c>
    </row>
    <row r="141" spans="1:10" x14ac:dyDescent="0.55000000000000004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8158035.8814622127</v>
      </c>
      <c r="J141" s="256">
        <f>'Resultater - Vestdanmark'!J141+'Resultater - Østdanmark'!J141</f>
        <v>7708643.31109758</v>
      </c>
    </row>
    <row r="142" spans="1:10" x14ac:dyDescent="0.55000000000000004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3589535.7878433736</v>
      </c>
      <c r="J142" s="256">
        <f>'Resultater - Vestdanmark'!J142+'Resultater - Østdanmark'!J142</f>
        <v>3815778.4389933026</v>
      </c>
    </row>
    <row r="143" spans="1:10" x14ac:dyDescent="0.55000000000000004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-174021856.76456249</v>
      </c>
      <c r="J143" s="256">
        <f>'Resultater - Vestdanmark'!J143+'Resultater - Østdanmark'!J143</f>
        <v>-152996704.05949426</v>
      </c>
    </row>
    <row r="144" spans="1:10" x14ac:dyDescent="0.55000000000000004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2472953.2221559207</v>
      </c>
      <c r="J144" s="256">
        <f>'Resultater - Vestdanmark'!J144+'Resultater - Østdanmark'!J144</f>
        <v>2174173.40164945</v>
      </c>
    </row>
    <row r="145" spans="1:10" x14ac:dyDescent="0.55000000000000004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224990.0315858915</v>
      </c>
      <c r="J145" s="256">
        <f>'Resultater - Vestdanmark'!J145+'Resultater - Østdanmark'!J145</f>
        <v>191426.25269794607</v>
      </c>
    </row>
    <row r="146" spans="1:10" x14ac:dyDescent="0.55000000000000004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98995.613897792282</v>
      </c>
      <c r="J146" s="256">
        <f>'Resultater - Vestdanmark'!J146+'Resultater - Østdanmark'!J146</f>
        <v>94755.995085483315</v>
      </c>
    </row>
    <row r="147" spans="1:10" x14ac:dyDescent="0.55000000000000004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-3249552.7202089913</v>
      </c>
      <c r="J147" s="256">
        <f>'Resultater - Vestdanmark'!J147+'Resultater - Østdanmark'!J147</f>
        <v>-2572454.759322396</v>
      </c>
    </row>
    <row r="148" spans="1:10" x14ac:dyDescent="0.55000000000000004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399737.33794317831</v>
      </c>
      <c r="J148" s="256">
        <f>'Resultater - Vestdanmark'!J148+'Resultater - Østdanmark'!J148</f>
        <v>316445.46373282402</v>
      </c>
    </row>
    <row r="149" spans="1:10" x14ac:dyDescent="0.55000000000000004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105699.31462374478</v>
      </c>
      <c r="J149" s="256">
        <f>'Resultater - Vestdanmark'!J149+'Resultater - Østdanmark'!J149</f>
        <v>0</v>
      </c>
    </row>
    <row r="150" spans="1:10" x14ac:dyDescent="0.55000000000000004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46507.698434447702</v>
      </c>
      <c r="J150" s="256">
        <f>'Resultater - Vestdanmark'!J150+'Resultater - Østdanmark'!J150</f>
        <v>0</v>
      </c>
    </row>
    <row r="151" spans="1:10" x14ac:dyDescent="0.55000000000000004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-1006566.1930957376</v>
      </c>
      <c r="J151" s="256">
        <f>'Resultater - Vestdanmark'!J151+'Resultater - Østdanmark'!J151</f>
        <v>0</v>
      </c>
    </row>
    <row r="152" spans="1:10" x14ac:dyDescent="0.55000000000000004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412205.91100299987</v>
      </c>
      <c r="J152" s="256">
        <f>'Resultater - Vestdanmark'!J152+'Resultater - Østdanmark'!J152</f>
        <v>0</v>
      </c>
    </row>
    <row r="153" spans="1:10" x14ac:dyDescent="0.55000000000000004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853057.04679567297</v>
      </c>
      <c r="J153" s="256">
        <f>'Resultater - Vestdanmark'!J153+'Resultater - Østdanmark'!J153</f>
        <v>1095561.7311832621</v>
      </c>
    </row>
    <row r="154" spans="1:10" x14ac:dyDescent="0.55000000000000004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375345.1005900962</v>
      </c>
      <c r="J154" s="256">
        <f>'Resultater - Vestdanmark'!J154+'Resultater - Østdanmark'!J154</f>
        <v>542303.05693571479</v>
      </c>
    </row>
    <row r="155" spans="1:10" x14ac:dyDescent="0.55000000000000004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-18196851.958791535</v>
      </c>
      <c r="J155" s="256">
        <f>'Resultater - Vestdanmark'!J155+'Resultater - Østdanmark'!J155</f>
        <v>-21744077.031485699</v>
      </c>
    </row>
    <row r="156" spans="1:10" x14ac:dyDescent="0.55000000000000004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385952.23698387202</v>
      </c>
      <c r="J156" s="256">
        <f>'Resultater - Vestdanmark'!J156+'Resultater - Østdanmark'!J156</f>
        <v>461188.29731958028</v>
      </c>
    </row>
    <row r="157" spans="1:10" x14ac:dyDescent="0.55000000000000004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23526.414285484265</v>
      </c>
      <c r="J157" s="256">
        <f>'Resultater - Vestdanmark'!J157+'Resultater - Østdanmark'!J157</f>
        <v>27205.731065253549</v>
      </c>
    </row>
    <row r="158" spans="1:10" x14ac:dyDescent="0.55000000000000004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10351.622285613077</v>
      </c>
      <c r="J158" s="256">
        <f>'Resultater - Vestdanmark'!J158+'Resultater - Østdanmark'!J158</f>
        <v>13466.836877300508</v>
      </c>
    </row>
    <row r="159" spans="1:10" x14ac:dyDescent="0.55000000000000004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-339794.26999179571</v>
      </c>
      <c r="J159" s="256">
        <f>'Resultater - Vestdanmark'!J159+'Resultater - Østdanmark'!J159</f>
        <v>-365600.38852187997</v>
      </c>
    </row>
    <row r="160" spans="1:10" x14ac:dyDescent="0.55000000000000004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62386.752164542282</v>
      </c>
      <c r="J160" s="256">
        <f>'Resultater - Vestdanmark'!J160+'Resultater - Østdanmark'!J160</f>
        <v>67124.795337265707</v>
      </c>
    </row>
    <row r="161" spans="1:10" x14ac:dyDescent="0.55000000000000004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11052.604633199671</v>
      </c>
      <c r="J161" s="256">
        <f>'Resultater - Vestdanmark'!J161+'Resultater - Østdanmark'!J161</f>
        <v>0</v>
      </c>
    </row>
    <row r="162" spans="1:10" x14ac:dyDescent="0.55000000000000004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4863.1460386078561</v>
      </c>
      <c r="J162" s="256">
        <f>'Resultater - Vestdanmark'!J162+'Resultater - Østdanmark'!J162</f>
        <v>0</v>
      </c>
    </row>
    <row r="163" spans="1:10" x14ac:dyDescent="0.55000000000000004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-105253.07764798784</v>
      </c>
      <c r="J163" s="256">
        <f>'Resultater - Vestdanmark'!J163+'Resultater - Østdanmark'!J163</f>
        <v>0</v>
      </c>
    </row>
    <row r="164" spans="1:10" x14ac:dyDescent="0.55000000000000004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64332.714433994217</v>
      </c>
      <c r="J164" s="256">
        <f>'Resultater - Vestdanmark'!J164+'Resultater - Østdanmark'!J164</f>
        <v>0</v>
      </c>
    </row>
    <row r="165" spans="1:10" x14ac:dyDescent="0.55000000000000004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233678.91484242759</v>
      </c>
      <c r="J165" s="256">
        <f>'Resultater - Vestdanmark'!J165+'Resultater - Østdanmark'!J165</f>
        <v>221527.33903683536</v>
      </c>
    </row>
    <row r="166" spans="1:10" x14ac:dyDescent="0.55000000000000004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-2119817.1217659079</v>
      </c>
      <c r="J166" s="256">
        <f>'Resultater - Vestdanmark'!J166+'Resultater - Østdanmark'!J166</f>
        <v>-1871671.8687104834</v>
      </c>
    </row>
    <row r="167" spans="1:10" x14ac:dyDescent="0.55000000000000004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24099.081249291929</v>
      </c>
      <c r="J167" s="256">
        <f>'Resultater - Vestdanmark'!J167+'Resultater - Østdanmark'!J167</f>
        <v>21278.04892834006</v>
      </c>
    </row>
    <row r="168" spans="1:10" x14ac:dyDescent="0.55000000000000004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2853.0798367612419</v>
      </c>
      <c r="J168" s="256">
        <f>'Resultater - Vestdanmark'!J168+'Resultater - Østdanmark'!J168</f>
        <v>2425.015781991639</v>
      </c>
    </row>
    <row r="169" spans="1:10" x14ac:dyDescent="0.55000000000000004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-21028.880962989177</v>
      </c>
      <c r="J169" s="256">
        <f>'Resultater - Vestdanmark'!J169+'Resultater - Østdanmark'!J169</f>
        <v>-16647.166417717493</v>
      </c>
    </row>
    <row r="170" spans="1:10" x14ac:dyDescent="0.55000000000000004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1724.5509602582372</v>
      </c>
      <c r="J170" s="256">
        <f>'Resultater - Vestdanmark'!J170+'Resultater - Østdanmark'!J170</f>
        <v>1365.2122945477226</v>
      </c>
    </row>
    <row r="171" spans="1:10" x14ac:dyDescent="0.55000000000000004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680.31980925286769</v>
      </c>
      <c r="J171" s="256">
        <f>'Resultater - Vestdanmark'!J171+'Resultater - Østdanmark'!J171</f>
        <v>0</v>
      </c>
    </row>
    <row r="172" spans="1:10" x14ac:dyDescent="0.55000000000000004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-4187.815642728785</v>
      </c>
      <c r="J172" s="256">
        <f>'Resultater - Vestdanmark'!J172+'Resultater - Østdanmark'!J172</f>
        <v>0</v>
      </c>
    </row>
    <row r="173" spans="1:10" x14ac:dyDescent="0.55000000000000004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902.62182246528334</v>
      </c>
      <c r="J173" s="256">
        <f>'Resultater - Vestdanmark'!J173+'Resultater - Østdanmark'!J173</f>
        <v>0</v>
      </c>
    </row>
    <row r="174" spans="1:10" x14ac:dyDescent="0.55000000000000004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20787.96820476856</v>
      </c>
      <c r="J174" s="256">
        <f>'Resultater - Vestdanmark'!J174+'Resultater - Østdanmark'!J174</f>
        <v>26784.669174453724</v>
      </c>
    </row>
    <row r="175" spans="1:10" x14ac:dyDescent="0.55000000000000004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-188577.95089004232</v>
      </c>
      <c r="J175" s="256">
        <f>'Resultater - Vestdanmark'!J175+'Resultater - Østdanmark'!J175</f>
        <v>-226302.14412590387</v>
      </c>
    </row>
    <row r="176" spans="1:10" x14ac:dyDescent="0.55000000000000004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3761.1282874617464</v>
      </c>
      <c r="J176" s="256">
        <f>'Resultater - Vestdanmark'!J176+'Resultater - Østdanmark'!J176</f>
        <v>4513.5255302539526</v>
      </c>
    </row>
    <row r="177" spans="1:10" x14ac:dyDescent="0.55000000000000004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253.80866293500293</v>
      </c>
      <c r="J177" s="256">
        <f>'Resultater - Vestdanmark'!J177+'Resultater - Østdanmark'!J177</f>
        <v>293.20645364080724</v>
      </c>
    </row>
    <row r="178" spans="1:10" x14ac:dyDescent="0.55000000000000004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-1870.7195261294996</v>
      </c>
      <c r="J178" s="256">
        <f>'Resultater - Vestdanmark'!J178+'Resultater - Østdanmark'!J178</f>
        <v>-2012.7937577785692</v>
      </c>
    </row>
    <row r="179" spans="1:10" x14ac:dyDescent="0.55000000000000004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269.14957183221043</v>
      </c>
      <c r="J179" s="256">
        <f>'Resultater - Vestdanmark'!J179+'Resultater - Østdanmark'!J179</f>
        <v>289.59048672224424</v>
      </c>
    </row>
    <row r="180" spans="1:10" x14ac:dyDescent="0.55000000000000004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60.520935632379377</v>
      </c>
      <c r="J180" s="256">
        <f>'Resultater - Vestdanmark'!J180+'Resultater - Østdanmark'!J180</f>
        <v>0</v>
      </c>
    </row>
    <row r="181" spans="1:10" x14ac:dyDescent="0.55000000000000004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-372.54614301500573</v>
      </c>
      <c r="J181" s="256">
        <f>'Resultater - Vestdanmark'!J181+'Resultater - Østdanmark'!J181</f>
        <v>0</v>
      </c>
    </row>
    <row r="182" spans="1:10" x14ac:dyDescent="0.55000000000000004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140.87161391076677</v>
      </c>
      <c r="J182" s="256">
        <f>'Resultater - Vestdanmark'!J182+'Resultater - Østdanmark'!J182</f>
        <v>0</v>
      </c>
    </row>
    <row r="183" spans="1:10" x14ac:dyDescent="0.55000000000000004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28465.383131761737</v>
      </c>
      <c r="J183" s="256">
        <f>'Resultater - Vestdanmark'!J183+'Resultater - Østdanmark'!J183</f>
        <v>28634.829415677737</v>
      </c>
    </row>
    <row r="184" spans="1:10" x14ac:dyDescent="0.55000000000000004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-22530831.033870783</v>
      </c>
      <c r="J184" s="256">
        <f>'Resultater - Vestdanmark'!J184+'Resultater - Østdanmark'!J184</f>
        <v>-19831831.798266262</v>
      </c>
    </row>
    <row r="185" spans="1:10" x14ac:dyDescent="0.55000000000000004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4878.8784396646297</v>
      </c>
      <c r="J185" s="256">
        <f>'Resultater - Vestdanmark'!J185+'Resultater - Østdanmark'!J185</f>
        <v>4294.4308815844815</v>
      </c>
    </row>
    <row r="186" spans="1:10" x14ac:dyDescent="0.55000000000000004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2532.2673202185729</v>
      </c>
      <c r="J186" s="256">
        <f>'Resultater - Vestdanmark'!J186+'Resultater - Østdanmark'!J186</f>
        <v>3462.2111929864905</v>
      </c>
    </row>
    <row r="187" spans="1:10" x14ac:dyDescent="0.55000000000000004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-2004332.3098917417</v>
      </c>
      <c r="J187" s="256">
        <f>'Resultater - Vestdanmark'!J187+'Resultater - Østdanmark'!J187</f>
        <v>-2397848.7537903758</v>
      </c>
    </row>
    <row r="188" spans="1:10" x14ac:dyDescent="0.55000000000000004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761.44345590141631</v>
      </c>
      <c r="J188" s="256">
        <f>'Resultater - Vestdanmark'!J188+'Resultater - Østdanmark'!J188</f>
        <v>910.93988397246585</v>
      </c>
    </row>
    <row r="189" spans="1:10" x14ac:dyDescent="0.55000000000000004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1985953.3920054978</v>
      </c>
      <c r="J189" s="256">
        <f>'Resultater - Vestdanmark'!J189+'Resultater - Østdanmark'!J189</f>
        <v>1858478.0384564616</v>
      </c>
    </row>
    <row r="190" spans="1:10" x14ac:dyDescent="0.55000000000000004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-6555186.8359422311</v>
      </c>
      <c r="J190" s="256">
        <f>'Resultater - Vestdanmark'!J190+'Resultater - Østdanmark'!J190</f>
        <v>-5707677.0670986176</v>
      </c>
    </row>
    <row r="191" spans="1:10" x14ac:dyDescent="0.55000000000000004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99363.275911311241</v>
      </c>
      <c r="J191" s="256">
        <f>'Resultater - Vestdanmark'!J191+'Resultater - Østdanmark'!J191</f>
        <v>86516.75465925374</v>
      </c>
    </row>
    <row r="192" spans="1:10" x14ac:dyDescent="0.55000000000000004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73436.893210249807</v>
      </c>
      <c r="J192" s="256">
        <f>'Resultater - Vestdanmark'!J192+'Resultater - Østdanmark'!J192</f>
        <v>62481.653866743494</v>
      </c>
    </row>
    <row r="193" spans="1:10" x14ac:dyDescent="0.55000000000000004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-161599.14513676637</v>
      </c>
      <c r="J193" s="256">
        <f>'Resultater - Vestdanmark'!J193+'Resultater - Østdanmark'!J193</f>
        <v>-127927.29517026256</v>
      </c>
    </row>
    <row r="194" spans="1:10" x14ac:dyDescent="0.55000000000000004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21535.367825617432</v>
      </c>
      <c r="J194" s="256">
        <f>'Resultater - Vestdanmark'!J194+'Resultater - Østdanmark'!J194</f>
        <v>17048.118380182816</v>
      </c>
    </row>
    <row r="195" spans="1:10" x14ac:dyDescent="0.55000000000000004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57656.782174057706</v>
      </c>
      <c r="J195" s="256">
        <f>'Resultater - Vestdanmark'!J195+'Resultater - Østdanmark'!J195</f>
        <v>0</v>
      </c>
    </row>
    <row r="196" spans="1:10" x14ac:dyDescent="0.55000000000000004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-81562.33266636332</v>
      </c>
      <c r="J196" s="256">
        <f>'Resultater - Vestdanmark'!J196+'Resultater - Østdanmark'!J196</f>
        <v>0</v>
      </c>
    </row>
    <row r="197" spans="1:10" x14ac:dyDescent="0.55000000000000004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37112.396880578723</v>
      </c>
      <c r="J197" s="256">
        <f>'Resultater - Vestdanmark'!J197+'Resultater - Østdanmark'!J197</f>
        <v>0</v>
      </c>
    </row>
    <row r="198" spans="1:10" x14ac:dyDescent="0.55000000000000004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176669.49539285907</v>
      </c>
      <c r="J198" s="256">
        <f>'Resultater - Vestdanmark'!J198+'Resultater - Østdanmark'!J198</f>
        <v>224706.89010428119</v>
      </c>
    </row>
    <row r="199" spans="1:10" x14ac:dyDescent="0.55000000000000004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-583146.3896251499</v>
      </c>
      <c r="J199" s="256">
        <f>'Resultater - Vestdanmark'!J199+'Resultater - Østdanmark'!J199</f>
        <v>-690110.0453855599</v>
      </c>
    </row>
    <row r="200" spans="1:10" x14ac:dyDescent="0.55000000000000004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15507.563292516788</v>
      </c>
      <c r="J200" s="256">
        <f>'Resultater - Vestdanmark'!J200+'Resultater - Østdanmark'!J200</f>
        <v>18352.038867114425</v>
      </c>
    </row>
    <row r="201" spans="1:10" x14ac:dyDescent="0.55000000000000004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6532.912060726846</v>
      </c>
      <c r="J201" s="256">
        <f>'Resultater - Vestdanmark'!J201+'Resultater - Østdanmark'!J201</f>
        <v>7554.5999675244411</v>
      </c>
    </row>
    <row r="202" spans="1:10" x14ac:dyDescent="0.55000000000000004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-14375.785223438348</v>
      </c>
      <c r="J202" s="256">
        <f>'Resultater - Vestdanmark'!J202+'Resultater - Østdanmark'!J202</f>
        <v>-15467.572961495382</v>
      </c>
    </row>
    <row r="203" spans="1:10" x14ac:dyDescent="0.55000000000000004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3361.0111635356689</v>
      </c>
      <c r="J203" s="256">
        <f>'Resultater - Vestdanmark'!J203+'Resultater - Østdanmark'!J203</f>
        <v>3616.267535190294</v>
      </c>
    </row>
    <row r="204" spans="1:10" x14ac:dyDescent="0.55000000000000004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5129.1206801083699</v>
      </c>
      <c r="J204" s="256">
        <f>'Resultater - Vestdanmark'!J204+'Resultater - Østdanmark'!J204</f>
        <v>0</v>
      </c>
    </row>
    <row r="205" spans="1:10" x14ac:dyDescent="0.55000000000000004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-7255.7473973140532</v>
      </c>
      <c r="J205" s="256">
        <f>'Resultater - Vestdanmark'!J205+'Resultater - Østdanmark'!J205</f>
        <v>0</v>
      </c>
    </row>
    <row r="206" spans="1:10" x14ac:dyDescent="0.55000000000000004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5792.1081836741359</v>
      </c>
      <c r="J206" s="256">
        <f>'Resultater - Vestdanmark'!J206+'Resultater - Østdanmark'!J206</f>
        <v>0</v>
      </c>
    </row>
    <row r="207" spans="1:10" x14ac:dyDescent="0.55000000000000004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10763707.811073896</v>
      </c>
      <c r="J207" s="256">
        <f>'Resultater - Vestdanmark'!J207+'Resultater - Østdanmark'!J207</f>
        <v>10102631.319359099</v>
      </c>
    </row>
    <row r="208" spans="1:10" x14ac:dyDescent="0.55000000000000004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-31423391.809838016</v>
      </c>
      <c r="J208" s="256">
        <f>'Resultater - Vestdanmark'!J208+'Resultater - Østdanmark'!J208</f>
        <v>-27441737.28161262</v>
      </c>
    </row>
    <row r="209" spans="1:10" x14ac:dyDescent="0.55000000000000004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460949.6062278545</v>
      </c>
      <c r="J209" s="256">
        <f>'Resultater - Vestdanmark'!J209+'Resultater - Østdanmark'!J209</f>
        <v>402542.73220140894</v>
      </c>
    </row>
    <row r="210" spans="1:10" x14ac:dyDescent="0.55000000000000004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1209901.8841760147</v>
      </c>
      <c r="J210" s="256">
        <f>'Resultater - Vestdanmark'!J210+'Resultater - Østdanmark'!J210</f>
        <v>1029409.9795776121</v>
      </c>
    </row>
    <row r="211" spans="1:10" x14ac:dyDescent="0.55000000000000004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-2468719.3534237449</v>
      </c>
      <c r="J211" s="256">
        <f>'Resultater - Vestdanmark'!J211+'Resultater - Østdanmark'!J211</f>
        <v>-1954320.9164299341</v>
      </c>
    </row>
    <row r="212" spans="1:10" x14ac:dyDescent="0.55000000000000004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303684.6567619142</v>
      </c>
      <c r="J212" s="256">
        <f>'Resultater - Vestdanmark'!J212+'Resultater - Østdanmark'!J212</f>
        <v>240406.94455024303</v>
      </c>
    </row>
    <row r="213" spans="1:10" x14ac:dyDescent="0.55000000000000004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1144038.219048728</v>
      </c>
      <c r="J213" s="256">
        <f>'Resultater - Vestdanmark'!J213+'Resultater - Østdanmark'!J213</f>
        <v>0</v>
      </c>
    </row>
    <row r="214" spans="1:10" x14ac:dyDescent="0.55000000000000004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-1616074.0587088903</v>
      </c>
      <c r="J214" s="256">
        <f>'Resultater - Vestdanmark'!J214+'Resultater - Østdanmark'!J214</f>
        <v>0</v>
      </c>
    </row>
    <row r="215" spans="1:10" x14ac:dyDescent="0.55000000000000004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630294.96121398301</v>
      </c>
      <c r="J215" s="256">
        <f>'Resultater - Vestdanmark'!J215+'Resultater - Østdanmark'!J215</f>
        <v>0</v>
      </c>
    </row>
    <row r="216" spans="1:10" x14ac:dyDescent="0.55000000000000004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1310310.3265966261</v>
      </c>
      <c r="J216" s="256">
        <f>'Resultater - Vestdanmark'!J216+'Resultater - Østdanmark'!J216</f>
        <v>1671526.2728394154</v>
      </c>
    </row>
    <row r="217" spans="1:10" x14ac:dyDescent="0.55000000000000004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-3825298.4480646746</v>
      </c>
      <c r="J217" s="256">
        <f>'Resultater - Vestdanmark'!J217+'Resultater - Østdanmark'!J217</f>
        <v>-4540360.168412271</v>
      </c>
    </row>
    <row r="218" spans="1:10" x14ac:dyDescent="0.55000000000000004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71940.111954636261</v>
      </c>
      <c r="J218" s="256">
        <f>'Resultater - Vestdanmark'!J218+'Resultater - Østdanmark'!J218</f>
        <v>85387.852285147383</v>
      </c>
    </row>
    <row r="219" spans="1:10" x14ac:dyDescent="0.55000000000000004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147286.32185402815</v>
      </c>
      <c r="J219" s="256">
        <f>'Resultater - Vestdanmark'!J219+'Resultater - Østdanmark'!J219</f>
        <v>170320.56025738674</v>
      </c>
    </row>
    <row r="220" spans="1:10" x14ac:dyDescent="0.55000000000000004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-300527.33863065939</v>
      </c>
      <c r="J220" s="256">
        <f>'Resultater - Vestdanmark'!J220+'Resultater - Østdanmark'!J220</f>
        <v>-323351.27890022547</v>
      </c>
    </row>
    <row r="221" spans="1:10" x14ac:dyDescent="0.55000000000000004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47395.871286541522</v>
      </c>
      <c r="J221" s="256">
        <f>'Resultater - Vestdanmark'!J221+'Resultater - Østdanmark'!J221</f>
        <v>50995.412480354593</v>
      </c>
    </row>
    <row r="222" spans="1:10" x14ac:dyDescent="0.55000000000000004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139268.46759055613</v>
      </c>
      <c r="J222" s="256">
        <f>'Resultater - Vestdanmark'!J222+'Resultater - Østdanmark'!J222</f>
        <v>0</v>
      </c>
    </row>
    <row r="223" spans="1:10" x14ac:dyDescent="0.55000000000000004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-196731.32760930192</v>
      </c>
      <c r="J223" s="256">
        <f>'Resultater - Vestdanmark'!J223+'Resultater - Østdanmark'!J223</f>
        <v>0</v>
      </c>
    </row>
    <row r="224" spans="1:10" x14ac:dyDescent="0.55000000000000004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98369.733831084057</v>
      </c>
      <c r="J224" s="256">
        <f>'Resultater - Vestdanmark'!J224+'Resultater - Østdanmark'!J224</f>
        <v>0</v>
      </c>
    </row>
    <row r="225" spans="1:10" x14ac:dyDescent="0.55000000000000004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256093.87629324602</v>
      </c>
      <c r="J225" s="256">
        <f>'Resultater - Vestdanmark'!J225+'Resultater - Østdanmark'!J225</f>
        <v>240163.71925998089</v>
      </c>
    </row>
    <row r="226" spans="1:10" x14ac:dyDescent="0.55000000000000004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102490.62696834363</v>
      </c>
      <c r="J226" s="256">
        <f>'Resultater - Vestdanmark'!J226+'Resultater - Østdanmark'!J226</f>
        <v>108129.67038909864</v>
      </c>
    </row>
    <row r="227" spans="1:10" x14ac:dyDescent="0.55000000000000004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55000000000000004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140980.87358371791</v>
      </c>
      <c r="J228" s="256">
        <f>'Resultater - Vestdanmark'!J228+'Resultater - Østdanmark'!J228</f>
        <v>123013.94362599189</v>
      </c>
    </row>
    <row r="229" spans="1:10" x14ac:dyDescent="0.55000000000000004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9412.3935221729789</v>
      </c>
      <c r="J229" s="256">
        <f>'Resultater - Vestdanmark'!J229+'Resultater - Østdanmark'!J229</f>
        <v>8008.2624468638014</v>
      </c>
    </row>
    <row r="230" spans="1:10" x14ac:dyDescent="0.55000000000000004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3766.9081640033201</v>
      </c>
      <c r="J230" s="256">
        <f>'Resultater - Vestdanmark'!J230+'Resultater - Østdanmark'!J230</f>
        <v>3605.5853125400508</v>
      </c>
    </row>
    <row r="231" spans="1:10" x14ac:dyDescent="0.55000000000000004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55000000000000004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30369.82076596174</v>
      </c>
      <c r="J232" s="256">
        <f>'Resultater - Vestdanmark'!J232+'Resultater - Østdanmark'!J232</f>
        <v>24041.767189467817</v>
      </c>
    </row>
    <row r="233" spans="1:10" x14ac:dyDescent="0.55000000000000004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2941.7727077958366</v>
      </c>
      <c r="J233" s="256">
        <f>'Resultater - Vestdanmark'!J233+'Resultater - Østdanmark'!J233</f>
        <v>0</v>
      </c>
    </row>
    <row r="234" spans="1:10" x14ac:dyDescent="0.55000000000000004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1177.3187769437845</v>
      </c>
      <c r="J234" s="256">
        <f>'Resultater - Vestdanmark'!J234+'Resultater - Østdanmark'!J234</f>
        <v>0</v>
      </c>
    </row>
    <row r="235" spans="1:10" x14ac:dyDescent="0.55000000000000004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55000000000000004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20834.441920533969</v>
      </c>
      <c r="J236" s="256">
        <f>'Resultater - Vestdanmark'!J236+'Resultater - Østdanmark'!J236</f>
        <v>0</v>
      </c>
    </row>
    <row r="237" spans="1:10" x14ac:dyDescent="0.55000000000000004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22781.992810133281</v>
      </c>
      <c r="J237" s="256">
        <f>'Resultater - Vestdanmark'!J237+'Resultater - Østdanmark'!J237</f>
        <v>29037.976965070418</v>
      </c>
    </row>
    <row r="238" spans="1:10" x14ac:dyDescent="0.55000000000000004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9117.5187805942696</v>
      </c>
      <c r="J238" s="256">
        <f>'Resultater - Vestdanmark'!J238+'Resultater - Østdanmark'!J238</f>
        <v>13073.860147045561</v>
      </c>
    </row>
    <row r="239" spans="1:10" x14ac:dyDescent="0.55000000000000004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55000000000000004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22002.795299192978</v>
      </c>
      <c r="J240" s="256">
        <f>'Resultater - Vestdanmark'!J240+'Resultater - Østdanmark'!J240</f>
        <v>26093.866829755858</v>
      </c>
    </row>
    <row r="241" spans="1:10" x14ac:dyDescent="0.55000000000000004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837.32217518059031</v>
      </c>
      <c r="J241" s="256">
        <f>'Resultater - Vestdanmark'!J241+'Resultater - Østdanmark'!J241</f>
        <v>968.27173221171392</v>
      </c>
    </row>
    <row r="242" spans="1:10" x14ac:dyDescent="0.55000000000000004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335.10240834688494</v>
      </c>
      <c r="J242" s="256">
        <f>'Resultater - Vestdanmark'!J242+'Resultater - Østdanmark'!J242</f>
        <v>435.94804233438788</v>
      </c>
    </row>
    <row r="243" spans="1:10" x14ac:dyDescent="0.55000000000000004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55000000000000004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4739.798616652989</v>
      </c>
      <c r="J244" s="256">
        <f>'Resultater - Vestdanmark'!J244+'Resultater - Østdanmark'!J244</f>
        <v>5099.7687977658998</v>
      </c>
    </row>
    <row r="245" spans="1:10" x14ac:dyDescent="0.55000000000000004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261.69873972819607</v>
      </c>
      <c r="J245" s="256">
        <f>'Resultater - Vestdanmark'!J245+'Resultater - Østdanmark'!J245</f>
        <v>0</v>
      </c>
    </row>
    <row r="246" spans="1:10" x14ac:dyDescent="0.55000000000000004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104.73373397205111</v>
      </c>
      <c r="J246" s="256">
        <f>'Resultater - Vestdanmark'!J246+'Resultater - Østdanmark'!J246</f>
        <v>0</v>
      </c>
    </row>
    <row r="247" spans="1:10" x14ac:dyDescent="0.55000000000000004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55000000000000004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3251.6181032047243</v>
      </c>
      <c r="J248" s="256">
        <f>'Resultater - Vestdanmark'!J248+'Resultater - Østdanmark'!J248</f>
        <v>0</v>
      </c>
    </row>
    <row r="249" spans="1:10" x14ac:dyDescent="0.55000000000000004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2471267.4286634801</v>
      </c>
      <c r="J249" s="256">
        <f>'Resultater - Vestdanmark'!J249+'Resultater - Østdanmark'!J249</f>
        <v>2402305.3588413168</v>
      </c>
    </row>
    <row r="250" spans="1:10" x14ac:dyDescent="0.55000000000000004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-3837305.9069165019</v>
      </c>
      <c r="J250" s="256">
        <f>'Resultater - Vestdanmark'!J250+'Resultater - Østdanmark'!J250</f>
        <v>-3470729.9573075604</v>
      </c>
    </row>
    <row r="251" spans="1:10" x14ac:dyDescent="0.55000000000000004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64628.598717590648</v>
      </c>
      <c r="J251" s="256">
        <f>'Resultater - Vestdanmark'!J251+'Resultater - Østdanmark'!J251</f>
        <v>58454.660407357434</v>
      </c>
    </row>
    <row r="252" spans="1:10" x14ac:dyDescent="0.55000000000000004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16086.185807030666</v>
      </c>
      <c r="J252" s="256">
        <f>'Resultater - Vestdanmark'!J252+'Resultater - Østdanmark'!J252</f>
        <v>13686.465340430939</v>
      </c>
    </row>
    <row r="253" spans="1:10" x14ac:dyDescent="0.55000000000000004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-16189.522597752701</v>
      </c>
      <c r="J253" s="256">
        <f>'Resultater - Vestdanmark'!J253+'Resultater - Østdanmark'!J253</f>
        <v>-12816.168267941794</v>
      </c>
    </row>
    <row r="254" spans="1:10" x14ac:dyDescent="0.55000000000000004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2465.6942603691468</v>
      </c>
      <c r="J254" s="256">
        <f>'Resultater - Vestdanmark'!J254+'Resultater - Østdanmark'!J254</f>
        <v>1951.9261514589587</v>
      </c>
    </row>
    <row r="255" spans="1:10" x14ac:dyDescent="0.55000000000000004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5556.3292584998599</v>
      </c>
      <c r="J255" s="256">
        <f>'Resultater - Vestdanmark'!J255+'Resultater - Østdanmark'!J255</f>
        <v>0</v>
      </c>
    </row>
    <row r="256" spans="1:10" x14ac:dyDescent="0.55000000000000004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-3423.68743972637</v>
      </c>
      <c r="J256" s="256">
        <f>'Resultater - Vestdanmark'!J256+'Resultater - Østdanmark'!J256</f>
        <v>0</v>
      </c>
    </row>
    <row r="257" spans="1:10" x14ac:dyDescent="0.55000000000000004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1869.4106885529741</v>
      </c>
      <c r="J257" s="256">
        <f>'Resultater - Vestdanmark'!J257+'Resultater - Østdanmark'!J257</f>
        <v>0</v>
      </c>
    </row>
    <row r="258" spans="1:10" x14ac:dyDescent="0.55000000000000004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219842.80767127717</v>
      </c>
      <c r="J258" s="256">
        <f>'Resultater - Vestdanmark'!J258+'Resultater - Østdanmark'!J258</f>
        <v>290460.55702354101</v>
      </c>
    </row>
    <row r="259" spans="1:10" x14ac:dyDescent="0.55000000000000004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-341364.959002572</v>
      </c>
      <c r="J259" s="256">
        <f>'Resultater - Vestdanmark'!J259+'Resultater - Østdanmark'!J259</f>
        <v>-419642.80392900499</v>
      </c>
    </row>
    <row r="260" spans="1:10" x14ac:dyDescent="0.55000000000000004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10086.544308525708</v>
      </c>
      <c r="J260" s="256">
        <f>'Resultater - Vestdanmark'!J260+'Resultater - Østdanmark'!J260</f>
        <v>12399.473419742486</v>
      </c>
    </row>
    <row r="261" spans="1:10" x14ac:dyDescent="0.55000000000000004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1431.0196506948091</v>
      </c>
      <c r="J261" s="256">
        <f>'Resultater - Vestdanmark'!J261+'Resultater - Østdanmark'!J261</f>
        <v>1654.8180820702864</v>
      </c>
    </row>
    <row r="262" spans="1:10" x14ac:dyDescent="0.55000000000000004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-1440.2124438116418</v>
      </c>
      <c r="J262" s="256">
        <f>'Resultater - Vestdanmark'!J262+'Resultater - Østdanmark'!J262</f>
        <v>-1549.5912542147807</v>
      </c>
    </row>
    <row r="263" spans="1:10" x14ac:dyDescent="0.55000000000000004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384.81933543333508</v>
      </c>
      <c r="J263" s="256">
        <f>'Resultater - Vestdanmark'!J263+'Resultater - Østdanmark'!J263</f>
        <v>414.04494121856703</v>
      </c>
    </row>
    <row r="264" spans="1:10" x14ac:dyDescent="0.55000000000000004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494.28848143533435</v>
      </c>
      <c r="J264" s="256">
        <f>'Resultater - Vestdanmark'!J264+'Resultater - Østdanmark'!J264</f>
        <v>0</v>
      </c>
    </row>
    <row r="265" spans="1:10" x14ac:dyDescent="0.55000000000000004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-304.5696514299932</v>
      </c>
      <c r="J265" s="256">
        <f>'Resultater - Vestdanmark'!J265+'Resultater - Østdanmark'!J265</f>
        <v>0</v>
      </c>
    </row>
    <row r="266" spans="1:10" x14ac:dyDescent="0.55000000000000004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291.75773751982837</v>
      </c>
      <c r="J266" s="256">
        <f>'Resultater - Vestdanmark'!J266+'Resultater - Østdanmark'!J266</f>
        <v>0</v>
      </c>
    </row>
    <row r="267" spans="1:10" x14ac:dyDescent="0.55000000000000004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37657.521146996805</v>
      </c>
      <c r="J267" s="256">
        <f>'Resultater - Vestdanmark'!J267+'Resultater - Østdanmark'!J267</f>
        <v>35806.87360864861</v>
      </c>
    </row>
    <row r="268" spans="1:10" x14ac:dyDescent="0.55000000000000004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-580347.73846961814</v>
      </c>
      <c r="J268" s="256">
        <f>'Resultater - Vestdanmark'!J268+'Resultater - Østdanmark'!J268</f>
        <v>-513439.06439399865</v>
      </c>
    </row>
    <row r="269" spans="1:10" x14ac:dyDescent="0.55000000000000004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8148.4734335189542</v>
      </c>
      <c r="J269" s="256">
        <f>'Resultater - Vestdanmark'!J269+'Resultater - Østdanmark'!J269</f>
        <v>7209.0305494734839</v>
      </c>
    </row>
    <row r="270" spans="1:10" x14ac:dyDescent="0.55000000000000004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1120.7549625938482</v>
      </c>
      <c r="J270" s="256">
        <f>'Resultater - Vestdanmark'!J270+'Resultater - Østdanmark'!J270</f>
        <v>953.5619030306425</v>
      </c>
    </row>
    <row r="271" spans="1:10" x14ac:dyDescent="0.55000000000000004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-14393.486084337696</v>
      </c>
      <c r="J271" s="256">
        <f>'Resultater - Vestdanmark'!J271+'Resultater - Østdanmark'!J271</f>
        <v>-11394.365615497343</v>
      </c>
    </row>
    <row r="272" spans="1:10" x14ac:dyDescent="0.55000000000000004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1096.1353536704542</v>
      </c>
      <c r="J272" s="256">
        <f>'Resultater - Vestdanmark'!J272+'Resultater - Østdanmark'!J272</f>
        <v>867.73745502727161</v>
      </c>
    </row>
    <row r="273" spans="1:10" x14ac:dyDescent="0.55000000000000004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600.32803988700994</v>
      </c>
      <c r="J273" s="256">
        <f>'Resultater - Vestdanmark'!J273+'Resultater - Østdanmark'!J273</f>
        <v>0</v>
      </c>
    </row>
    <row r="274" spans="1:10" x14ac:dyDescent="0.55000000000000004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-6608.4127548298711</v>
      </c>
      <c r="J274" s="256">
        <f>'Resultater - Vestdanmark'!J274+'Resultater - Østdanmark'!J274</f>
        <v>0</v>
      </c>
    </row>
    <row r="275" spans="1:10" x14ac:dyDescent="0.55000000000000004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1345.3640042310976</v>
      </c>
      <c r="J275" s="256">
        <f>'Resultater - Vestdanmark'!J275+'Resultater - Østdanmark'!J275</f>
        <v>0</v>
      </c>
    </row>
    <row r="276" spans="1:10" x14ac:dyDescent="0.55000000000000004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3349.9956673542247</v>
      </c>
      <c r="J276" s="256">
        <f>'Resultater - Vestdanmark'!J276+'Resultater - Østdanmark'!J276</f>
        <v>4329.3765363184229</v>
      </c>
    </row>
    <row r="277" spans="1:10" x14ac:dyDescent="0.55000000000000004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-51627.466445360827</v>
      </c>
      <c r="J277" s="256">
        <f>'Resultater - Vestdanmark'!J277+'Resultater - Østdanmark'!J277</f>
        <v>-62079.450513092561</v>
      </c>
    </row>
    <row r="278" spans="1:10" x14ac:dyDescent="0.55000000000000004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1271.7270676590276</v>
      </c>
      <c r="J278" s="256">
        <f>'Resultater - Vestdanmark'!J278+'Resultater - Østdanmark'!J278</f>
        <v>1529.1882983731634</v>
      </c>
    </row>
    <row r="279" spans="1:10" x14ac:dyDescent="0.55000000000000004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99.70184320415791</v>
      </c>
      <c r="J279" s="256">
        <f>'Resultater - Vestdanmark'!J279+'Resultater - Østdanmark'!J279</f>
        <v>115.29430282097766</v>
      </c>
    </row>
    <row r="280" spans="1:10" x14ac:dyDescent="0.55000000000000004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-1280.4378661153592</v>
      </c>
      <c r="J280" s="256">
        <f>'Resultater - Vestdanmark'!J280+'Resultater - Østdanmark'!J280</f>
        <v>-1377.6823880555876</v>
      </c>
    </row>
    <row r="281" spans="1:10" x14ac:dyDescent="0.55000000000000004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171.07314768267204</v>
      </c>
      <c r="J281" s="256">
        <f>'Resultater - Vestdanmark'!J281+'Resultater - Østdanmark'!J281</f>
        <v>184.06552076336061</v>
      </c>
    </row>
    <row r="282" spans="1:10" x14ac:dyDescent="0.55000000000000004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53.404904820006266</v>
      </c>
      <c r="J282" s="256">
        <f>'Resultater - Vestdanmark'!J282+'Resultater - Østdanmark'!J282</f>
        <v>0</v>
      </c>
    </row>
    <row r="283" spans="1:10" x14ac:dyDescent="0.55000000000000004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-587.88134275625282</v>
      </c>
      <c r="J283" s="256">
        <f>'Resultater - Vestdanmark'!J283+'Resultater - Østdanmark'!J283</f>
        <v>0</v>
      </c>
    </row>
    <row r="284" spans="1:10" x14ac:dyDescent="0.55000000000000004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209.97010470658751</v>
      </c>
      <c r="J284" s="256">
        <f>'Resultater - Vestdanmark'!J284+'Resultater - Østdanmark'!J284</f>
        <v>0</v>
      </c>
    </row>
    <row r="285" spans="1:10" x14ac:dyDescent="0.55000000000000004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1797780.9128822538</v>
      </c>
      <c r="J285" s="256">
        <f>'Resultater - Vestdanmark'!J285+'Resultater - Østdanmark'!J285</f>
        <v>1694512.9181692624</v>
      </c>
    </row>
    <row r="286" spans="1:10" x14ac:dyDescent="0.55000000000000004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-8011963.8776844591</v>
      </c>
      <c r="J286" s="256">
        <f>'Resultater - Vestdanmark'!J286+'Resultater - Østdanmark'!J286</f>
        <v>-7026402.7346609719</v>
      </c>
    </row>
    <row r="287" spans="1:10" x14ac:dyDescent="0.55000000000000004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128211.78046584016</v>
      </c>
      <c r="J287" s="256">
        <f>'Resultater - Vestdanmark'!J287+'Resultater - Østdanmark'!J287</f>
        <v>112440.2978638106</v>
      </c>
    </row>
    <row r="288" spans="1:10" x14ac:dyDescent="0.55000000000000004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58431.353949577038</v>
      </c>
      <c r="J288" s="256">
        <f>'Resultater - Vestdanmark'!J288+'Resultater - Østdanmark'!J288</f>
        <v>49714.625344922446</v>
      </c>
    </row>
    <row r="289" spans="1:10" x14ac:dyDescent="0.55000000000000004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-190912.25033264939</v>
      </c>
      <c r="J289" s="256">
        <f>'Resultater - Vestdanmark'!J289+'Resultater - Østdanmark'!J289</f>
        <v>-151132.5309255445</v>
      </c>
    </row>
    <row r="290" spans="1:10" x14ac:dyDescent="0.55000000000000004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24424.082866628829</v>
      </c>
      <c r="J290" s="256">
        <f>'Resultater - Vestdanmark'!J290+'Resultater - Østdanmark'!J290</f>
        <v>19334.92194836682</v>
      </c>
    </row>
    <row r="291" spans="1:10" x14ac:dyDescent="0.55000000000000004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30913.169604453007</v>
      </c>
      <c r="J291" s="256">
        <f>'Resultater - Vestdanmark'!J291+'Resultater - Østdanmark'!J291</f>
        <v>0</v>
      </c>
    </row>
    <row r="292" spans="1:10" x14ac:dyDescent="0.55000000000000004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-74741.72268202831</v>
      </c>
      <c r="J292" s="256">
        <f>'Resultater - Vestdanmark'!J292+'Resultater - Østdanmark'!J292</f>
        <v>0</v>
      </c>
    </row>
    <row r="293" spans="1:10" x14ac:dyDescent="0.55000000000000004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28362.627185548525</v>
      </c>
      <c r="J293" s="256">
        <f>'Resultater - Vestdanmark'!J293+'Resultater - Østdanmark'!J293</f>
        <v>0</v>
      </c>
    </row>
    <row r="294" spans="1:10" x14ac:dyDescent="0.55000000000000004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159929.75866623054</v>
      </c>
      <c r="J294" s="256">
        <f>'Resultater - Vestdanmark'!J294+'Resultater - Østdanmark'!J294</f>
        <v>204882.01646955626</v>
      </c>
    </row>
    <row r="295" spans="1:10" x14ac:dyDescent="0.55000000000000004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-712740.6016044151</v>
      </c>
      <c r="J295" s="256">
        <f>'Resultater - Vestdanmark'!J295+'Resultater - Østdanmark'!J295</f>
        <v>-849555.9670090084</v>
      </c>
    </row>
    <row r="296" spans="1:10" x14ac:dyDescent="0.55000000000000004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20009.93105536234</v>
      </c>
      <c r="J296" s="256">
        <f>'Resultater - Vestdanmark'!J296+'Resultater - Østdanmark'!J296</f>
        <v>23850.972274141641</v>
      </c>
    </row>
    <row r="297" spans="1:10" x14ac:dyDescent="0.55000000000000004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5198.02622707509</v>
      </c>
      <c r="J297" s="256">
        <f>'Resultater - Vestdanmark'!J297+'Resultater - Østdanmark'!J297</f>
        <v>6010.9501553406226</v>
      </c>
    </row>
    <row r="298" spans="1:10" x14ac:dyDescent="0.55000000000000004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-16983.465506470951</v>
      </c>
      <c r="J298" s="256">
        <f>'Resultater - Vestdanmark'!J298+'Resultater - Østdanmark'!J298</f>
        <v>-18273.296920997658</v>
      </c>
    </row>
    <row r="299" spans="1:10" x14ac:dyDescent="0.55000000000000004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3811.851083231089</v>
      </c>
      <c r="J299" s="256">
        <f>'Resultater - Vestdanmark'!J299+'Resultater - Østdanmark'!J299</f>
        <v>4101.3470799565985</v>
      </c>
    </row>
    <row r="300" spans="1:10" x14ac:dyDescent="0.55000000000000004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2750.0212729048085</v>
      </c>
      <c r="J300" s="256">
        <f>'Resultater - Vestdanmark'!J300+'Resultater - Østdanmark'!J300</f>
        <v>0</v>
      </c>
    </row>
    <row r="301" spans="1:10" x14ac:dyDescent="0.55000000000000004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-6648.9890871469124</v>
      </c>
      <c r="J301" s="256">
        <f>'Resultater - Vestdanmark'!J301+'Resultater - Østdanmark'!J301</f>
        <v>0</v>
      </c>
    </row>
    <row r="302" spans="1:10" x14ac:dyDescent="0.55000000000000004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4426.5371908081515</v>
      </c>
      <c r="J302" s="256">
        <f>'Resultater - Vestdanmark'!J302+'Resultater - Østdanmark'!J302</f>
        <v>0</v>
      </c>
    </row>
    <row r="303" spans="1:10" x14ac:dyDescent="0.55000000000000004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6912772.6774813673</v>
      </c>
      <c r="J303" s="256">
        <f>'Resultater - Vestdanmark'!J303+'Resultater - Østdanmark'!J303</f>
        <v>6467131.3883805983</v>
      </c>
    </row>
    <row r="304" spans="1:10" x14ac:dyDescent="0.55000000000000004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-23223671.849380035</v>
      </c>
      <c r="J304" s="256">
        <f>'Resultater - Vestdanmark'!J304+'Resultater - Østdanmark'!J304</f>
        <v>-20215115.746161502</v>
      </c>
    </row>
    <row r="305" spans="1:10" x14ac:dyDescent="0.55000000000000004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330022.07422666269</v>
      </c>
      <c r="J305" s="256">
        <f>'Resultater - Vestdanmark'!J305+'Resultater - Østdanmark'!J305</f>
        <v>287268.71756321279</v>
      </c>
    </row>
    <row r="306" spans="1:10" x14ac:dyDescent="0.55000000000000004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259639.50711667008</v>
      </c>
      <c r="J306" s="256">
        <f>'Resultater - Vestdanmark'!J306+'Resultater - Østdanmark'!J306</f>
        <v>220906.75550979626</v>
      </c>
    </row>
    <row r="307" spans="1:10" x14ac:dyDescent="0.55000000000000004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-590597.37223752285</v>
      </c>
      <c r="J307" s="256">
        <f>'Resultater - Vestdanmark'!J307+'Resultater - Østdanmark'!J307</f>
        <v>-467536.65869375569</v>
      </c>
    </row>
    <row r="308" spans="1:10" x14ac:dyDescent="0.55000000000000004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72651.174392788511</v>
      </c>
      <c r="J308" s="256">
        <f>'Resultater - Vestdanmark'!J308+'Resultater - Østdanmark'!J308</f>
        <v>57513.102703276192</v>
      </c>
    </row>
    <row r="309" spans="1:10" x14ac:dyDescent="0.55000000000000004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80922.146592858538</v>
      </c>
      <c r="J309" s="256">
        <f>'Resultater - Vestdanmark'!J309+'Resultater - Østdanmark'!J309</f>
        <v>0</v>
      </c>
    </row>
    <row r="310" spans="1:10" x14ac:dyDescent="0.55000000000000004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-121366.26502206421</v>
      </c>
      <c r="J310" s="256">
        <f>'Resultater - Vestdanmark'!J310+'Resultater - Østdanmark'!J310</f>
        <v>0</v>
      </c>
    </row>
    <row r="311" spans="1:10" x14ac:dyDescent="0.55000000000000004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49701.541917068134</v>
      </c>
      <c r="J311" s="256">
        <f>'Resultater - Vestdanmark'!J311+'Resultater - Østdanmark'!J311</f>
        <v>0</v>
      </c>
    </row>
    <row r="312" spans="1:10" x14ac:dyDescent="0.55000000000000004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895463.79018703708</v>
      </c>
      <c r="J312" s="256">
        <f>'Resultater - Vestdanmark'!J312+'Resultater - Østdanmark'!J312</f>
        <v>1138607.0717118566</v>
      </c>
    </row>
    <row r="313" spans="1:10" x14ac:dyDescent="0.55000000000000004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-3008338.0702000372</v>
      </c>
      <c r="J313" s="256">
        <f>'Resultater - Vestdanmark'!J313+'Resultater - Østdanmark'!J313</f>
        <v>-3559085.5298544941</v>
      </c>
    </row>
    <row r="314" spans="1:10" x14ac:dyDescent="0.55000000000000004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51506.335283930006</v>
      </c>
      <c r="J314" s="256">
        <f>'Resultater - Vestdanmark'!J314+'Resultater - Østdanmark'!J314</f>
        <v>60935.788574014834</v>
      </c>
    </row>
    <row r="315" spans="1:10" x14ac:dyDescent="0.55000000000000004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33633.071413205653</v>
      </c>
      <c r="J315" s="256">
        <f>'Resultater - Vestdanmark'!J315+'Resultater - Østdanmark'!J315</f>
        <v>38892.977257936851</v>
      </c>
    </row>
    <row r="316" spans="1:10" x14ac:dyDescent="0.55000000000000004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-76504.549779438661</v>
      </c>
      <c r="J316" s="256">
        <f>'Resultater - Vestdanmark'!J316+'Resultater - Østdanmark'!J316</f>
        <v>-82314.787485173336</v>
      </c>
    </row>
    <row r="317" spans="1:10" x14ac:dyDescent="0.55000000000000004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11338.622593094164</v>
      </c>
      <c r="J317" s="256">
        <f>'Resultater - Vestdanmark'!J317+'Resultater - Østdanmark'!J317</f>
        <v>12199.749058270705</v>
      </c>
    </row>
    <row r="318" spans="1:10" x14ac:dyDescent="0.55000000000000004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10482.458411248321</v>
      </c>
      <c r="J318" s="256">
        <f>'Resultater - Vestdanmark'!J318+'Resultater - Østdanmark'!J318</f>
        <v>0</v>
      </c>
    </row>
    <row r="319" spans="1:10" x14ac:dyDescent="0.55000000000000004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-15721.491324534445</v>
      </c>
      <c r="J319" s="256">
        <f>'Resultater - Vestdanmark'!J319+'Resultater - Østdanmark'!J319</f>
        <v>0</v>
      </c>
    </row>
    <row r="320" spans="1:10" x14ac:dyDescent="0.55000000000000004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7756.8880448603441</v>
      </c>
      <c r="J320" s="256">
        <f>'Resultater - Vestdanmark'!J320+'Resultater - Østdanmark'!J320</f>
        <v>0</v>
      </c>
    </row>
    <row r="321" spans="1:10" x14ac:dyDescent="0.55000000000000004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623812.18346642028</v>
      </c>
      <c r="J321" s="256">
        <f>'Resultater - Vestdanmark'!J321+'Resultater - Østdanmark'!J321</f>
        <v>590418.45177888963</v>
      </c>
    </row>
    <row r="322" spans="1:10" x14ac:dyDescent="0.55000000000000004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449144.7720958225</v>
      </c>
      <c r="J322" s="256">
        <f>'Resultater - Vestdanmark'!J322+'Resultater - Østdanmark'!J322</f>
        <v>478238.94594090065</v>
      </c>
    </row>
    <row r="323" spans="1:10" x14ac:dyDescent="0.55000000000000004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-23187581.161134988</v>
      </c>
      <c r="J323" s="256">
        <f>'Resultater - Vestdanmark'!J323+'Resultater - Østdanmark'!J323</f>
        <v>-20419610.486424051</v>
      </c>
    </row>
    <row r="324" spans="1:10" x14ac:dyDescent="0.55000000000000004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301265.55818105489</v>
      </c>
      <c r="J324" s="256">
        <f>'Resultater - Vestdanmark'!J324+'Resultater - Østdanmark'!J324</f>
        <v>265302.59056702518</v>
      </c>
    </row>
    <row r="325" spans="1:10" x14ac:dyDescent="0.55000000000000004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13371.955282074905</v>
      </c>
      <c r="J325" s="256">
        <f>'Resultater - Vestdanmark'!J325+'Resultater - Østdanmark'!J325</f>
        <v>11377.140901973276</v>
      </c>
    </row>
    <row r="326" spans="1:10" x14ac:dyDescent="0.55000000000000004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9627.8078030939323</v>
      </c>
      <c r="J326" s="256">
        <f>'Resultater - Vestdanmark'!J326+'Resultater - Østdanmark'!J326</f>
        <v>9215.4841305983537</v>
      </c>
    </row>
    <row r="327" spans="1:10" x14ac:dyDescent="0.55000000000000004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-343198.37084056588</v>
      </c>
      <c r="J327" s="256">
        <f>'Resultater - Vestdanmark'!J327+'Resultater - Østdanmark'!J327</f>
        <v>-271687.32391075842</v>
      </c>
    </row>
    <row r="328" spans="1:10" x14ac:dyDescent="0.55000000000000004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37850.5065786294</v>
      </c>
      <c r="J328" s="256">
        <f>'Resultater - Vestdanmark'!J328+'Resultater - Østdanmark'!J328</f>
        <v>29963.728603454299</v>
      </c>
    </row>
    <row r="329" spans="1:10" x14ac:dyDescent="0.55000000000000004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5114.5274933839264</v>
      </c>
      <c r="J329" s="256">
        <f>'Resultater - Vestdanmark'!J329+'Resultater - Østdanmark'!J329</f>
        <v>0</v>
      </c>
    </row>
    <row r="330" spans="1:10" x14ac:dyDescent="0.55000000000000004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3682.4597952364265</v>
      </c>
      <c r="J330" s="256">
        <f>'Resultater - Vestdanmark'!J330+'Resultater - Østdanmark'!J330</f>
        <v>0</v>
      </c>
    </row>
    <row r="331" spans="1:10" x14ac:dyDescent="0.55000000000000004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-89235.747927411008</v>
      </c>
      <c r="J331" s="256">
        <f>'Resultater - Vestdanmark'!J331+'Resultater - Østdanmark'!J331</f>
        <v>0</v>
      </c>
    </row>
    <row r="332" spans="1:10" x14ac:dyDescent="0.55000000000000004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31777.000658933124</v>
      </c>
      <c r="J332" s="256">
        <f>'Resultater - Vestdanmark'!J332+'Resultater - Østdanmark'!J332</f>
        <v>0</v>
      </c>
    </row>
    <row r="333" spans="1:10" x14ac:dyDescent="0.55000000000000004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53546.883956510654</v>
      </c>
      <c r="J333" s="256">
        <f>'Resultater - Vestdanmark'!J333+'Resultater - Østdanmark'!J333</f>
        <v>68882.152707537141</v>
      </c>
    </row>
    <row r="334" spans="1:10" x14ac:dyDescent="0.55000000000000004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38553.756448687665</v>
      </c>
      <c r="J334" s="256">
        <f>'Resultater - Vestdanmark'!J334+'Resultater - Østdanmark'!J334</f>
        <v>55794.543693105072</v>
      </c>
    </row>
    <row r="335" spans="1:10" x14ac:dyDescent="0.55000000000000004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-1990379.0765482928</v>
      </c>
      <c r="J335" s="256">
        <f>'Resultater - Vestdanmark'!J335+'Resultater - Østdanmark'!J335</f>
        <v>-2382287.8900828063</v>
      </c>
    </row>
    <row r="336" spans="1:10" x14ac:dyDescent="0.55000000000000004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47018.32410918198</v>
      </c>
      <c r="J336" s="256">
        <f>'Resultater - Vestdanmark'!J336+'Resultater - Østdanmark'!J336</f>
        <v>56276.307089975046</v>
      </c>
    </row>
    <row r="337" spans="1:10" x14ac:dyDescent="0.55000000000000004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1147.8239071607652</v>
      </c>
      <c r="J337" s="256">
        <f>'Resultater - Vestdanmark'!J337+'Resultater - Østdanmark'!J337</f>
        <v>1327.3331052302156</v>
      </c>
    </row>
    <row r="338" spans="1:10" x14ac:dyDescent="0.55000000000000004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826.43321315575088</v>
      </c>
      <c r="J338" s="256">
        <f>'Resultater - Vestdanmark'!J338+'Resultater - Østdanmark'!J338</f>
        <v>1075.1398152364745</v>
      </c>
    </row>
    <row r="339" spans="1:10" x14ac:dyDescent="0.55000000000000004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-29459.513335158408</v>
      </c>
      <c r="J339" s="256">
        <f>'Resultater - Vestdanmark'!J339+'Resultater - Østdanmark'!J339</f>
        <v>-31696.854456255151</v>
      </c>
    </row>
    <row r="340" spans="1:10" x14ac:dyDescent="0.55000000000000004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5907.3044949306013</v>
      </c>
      <c r="J340" s="256">
        <f>'Resultater - Vestdanmark'!J340+'Resultater - Østdanmark'!J340</f>
        <v>6355.9424310357608</v>
      </c>
    </row>
    <row r="341" spans="1:10" x14ac:dyDescent="0.55000000000000004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439.02157963440061</v>
      </c>
      <c r="J341" s="256">
        <f>'Resultater - Vestdanmark'!J341+'Resultater - Østdanmark'!J341</f>
        <v>0</v>
      </c>
    </row>
    <row r="342" spans="1:10" x14ac:dyDescent="0.55000000000000004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316.09553733676842</v>
      </c>
      <c r="J342" s="256">
        <f>'Resultater - Vestdanmark'!J342+'Resultater - Østdanmark'!J342</f>
        <v>0</v>
      </c>
    </row>
    <row r="343" spans="1:10" x14ac:dyDescent="0.55000000000000004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-7659.8315417459753</v>
      </c>
      <c r="J343" s="256">
        <f>'Resultater - Vestdanmark'!J343+'Resultater - Østdanmark'!J343</f>
        <v>0</v>
      </c>
    </row>
    <row r="344" spans="1:10" x14ac:dyDescent="0.55000000000000004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4959.4162878103716</v>
      </c>
      <c r="J344" s="256">
        <f>'Resultater - Vestdanmark'!J344+'Resultater - Østdanmark'!J344</f>
        <v>0</v>
      </c>
    </row>
    <row r="345" spans="1:10" x14ac:dyDescent="0.55000000000000004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1264693.7706541144</v>
      </c>
      <c r="J345" s="256">
        <f>'Resultater - Vestdanmark'!J345+'Resultater - Østdanmark'!J345</f>
        <v>1204907.9399650127</v>
      </c>
    </row>
    <row r="346" spans="1:10" x14ac:dyDescent="0.55000000000000004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283229.02253801329</v>
      </c>
      <c r="J346" s="256">
        <f>'Resultater - Vestdanmark'!J346+'Resultater - Østdanmark'!J346</f>
        <v>303569.93863153527</v>
      </c>
    </row>
    <row r="347" spans="1:10" x14ac:dyDescent="0.55000000000000004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-12407813.487354554</v>
      </c>
      <c r="J347" s="256">
        <f>'Resultater - Vestdanmark'!J347+'Resultater - Østdanmark'!J347</f>
        <v>-10998910.819983162</v>
      </c>
    </row>
    <row r="348" spans="1:10" x14ac:dyDescent="0.55000000000000004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188077.17092672118</v>
      </c>
      <c r="J348" s="256">
        <f>'Resultater - Vestdanmark'!J348+'Resultater - Østdanmark'!J348</f>
        <v>166721.07719913736</v>
      </c>
    </row>
    <row r="349" spans="1:10" x14ac:dyDescent="0.55000000000000004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86486.850848499191</v>
      </c>
      <c r="J349" s="256">
        <f>'Resultater - Vestdanmark'!J349+'Resultater - Østdanmark'!J349</f>
        <v>73584.832398470375</v>
      </c>
    </row>
    <row r="350" spans="1:10" x14ac:dyDescent="0.55000000000000004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19368.78855309137</v>
      </c>
      <c r="J350" s="256">
        <f>'Resultater - Vestdanmark'!J350+'Resultater - Østdanmark'!J350</f>
        <v>18539.294426148525</v>
      </c>
    </row>
    <row r="351" spans="1:10" x14ac:dyDescent="0.55000000000000004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-636386.89025197981</v>
      </c>
      <c r="J351" s="256">
        <f>'Resultater - Vestdanmark'!J351+'Resultater - Østdanmark'!J351</f>
        <v>-503785.17462360126</v>
      </c>
    </row>
    <row r="352" spans="1:10" x14ac:dyDescent="0.55000000000000004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75384.478876919791</v>
      </c>
      <c r="J352" s="256">
        <f>'Resultater - Vestdanmark'!J352+'Resultater - Østdanmark'!J352</f>
        <v>59676.878070006831</v>
      </c>
    </row>
    <row r="353" spans="1:10" x14ac:dyDescent="0.55000000000000004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59900.193224667826</v>
      </c>
      <c r="J353" s="256">
        <f>'Resultater - Vestdanmark'!J353+'Resultater - Østdanmark'!J353</f>
        <v>0</v>
      </c>
    </row>
    <row r="354" spans="1:10" x14ac:dyDescent="0.55000000000000004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13414.688654697853</v>
      </c>
      <c r="J354" s="256">
        <f>'Resultater - Vestdanmark'!J354+'Resultater - Østdanmark'!J354</f>
        <v>0</v>
      </c>
    </row>
    <row r="355" spans="1:10" x14ac:dyDescent="0.55000000000000004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-335814.96966032672</v>
      </c>
      <c r="J355" s="256">
        <f>'Resultater - Vestdanmark'!J355+'Resultater - Østdanmark'!J355</f>
        <v>0</v>
      </c>
    </row>
    <row r="356" spans="1:10" x14ac:dyDescent="0.55000000000000004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114601.60001296751</v>
      </c>
      <c r="J356" s="256">
        <f>'Resultater - Vestdanmark'!J356+'Resultater - Østdanmark'!J356</f>
        <v>0</v>
      </c>
    </row>
    <row r="357" spans="1:10" x14ac:dyDescent="0.55000000000000004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112506.5730079007</v>
      </c>
      <c r="J357" s="256">
        <f>'Resultater - Vestdanmark'!J357+'Resultater - Østdanmark'!J357</f>
        <v>145684.32365031517</v>
      </c>
    </row>
    <row r="358" spans="1:10" x14ac:dyDescent="0.55000000000000004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25195.922872023264</v>
      </c>
      <c r="J358" s="256">
        <f>'Resultater - Vestdanmark'!J358+'Resultater - Østdanmark'!J358</f>
        <v>36704.365307267442</v>
      </c>
    </row>
    <row r="359" spans="1:10" x14ac:dyDescent="0.55000000000000004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-1103793.3501178413</v>
      </c>
      <c r="J359" s="256">
        <f>'Resultater - Vestdanmark'!J359+'Resultater - Østdanmark'!J359</f>
        <v>-1329868.3082343277</v>
      </c>
    </row>
    <row r="360" spans="1:10" x14ac:dyDescent="0.55000000000000004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29353.084479892903</v>
      </c>
      <c r="J360" s="256">
        <f>'Resultater - Vestdanmark'!J360+'Resultater - Østdanmark'!J360</f>
        <v>35365.076981635204</v>
      </c>
    </row>
    <row r="361" spans="1:10" x14ac:dyDescent="0.55000000000000004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7693.8302575630205</v>
      </c>
      <c r="J361" s="256">
        <f>'Resultater - Vestdanmark'!J361+'Resultater - Østdanmark'!J361</f>
        <v>8897.0751899968709</v>
      </c>
    </row>
    <row r="362" spans="1:10" x14ac:dyDescent="0.55000000000000004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1723.0384730177811</v>
      </c>
      <c r="J362" s="256">
        <f>'Resultater - Vestdanmark'!J362+'Resultater - Østdanmark'!J362</f>
        <v>2241.5692351615935</v>
      </c>
    </row>
    <row r="363" spans="1:10" x14ac:dyDescent="0.55000000000000004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-56612.683473861085</v>
      </c>
      <c r="J363" s="256">
        <f>'Resultater - Vestdanmark'!J363+'Resultater - Østdanmark'!J363</f>
        <v>-60912.20747721722</v>
      </c>
    </row>
    <row r="364" spans="1:10" x14ac:dyDescent="0.55000000000000004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11765.207685993264</v>
      </c>
      <c r="J364" s="256">
        <f>'Resultater - Vestdanmark'!J364+'Resultater - Østdanmark'!J364</f>
        <v>12658.73171181963</v>
      </c>
    </row>
    <row r="365" spans="1:10" x14ac:dyDescent="0.55000000000000004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5328.6934897551328</v>
      </c>
      <c r="J365" s="256">
        <f>'Resultater - Vestdanmark'!J365+'Resultater - Østdanmark'!J365</f>
        <v>0</v>
      </c>
    </row>
    <row r="366" spans="1:10" x14ac:dyDescent="0.55000000000000004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1193.3644993976877</v>
      </c>
      <c r="J366" s="256">
        <f>'Resultater - Vestdanmark'!J366+'Resultater - Østdanmark'!J366</f>
        <v>0</v>
      </c>
    </row>
    <row r="367" spans="1:10" x14ac:dyDescent="0.55000000000000004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-29873.944410823286</v>
      </c>
      <c r="J367" s="256">
        <f>'Resultater - Vestdanmark'!J367+'Resultater - Østdanmark'!J367</f>
        <v>0</v>
      </c>
    </row>
    <row r="368" spans="1:10" x14ac:dyDescent="0.55000000000000004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17885.798845954469</v>
      </c>
      <c r="J368" s="256">
        <f>'Resultater - Vestdanmark'!J368+'Resultater - Østdanmark'!J368</f>
        <v>0</v>
      </c>
    </row>
    <row r="369" spans="1:10" x14ac:dyDescent="0.55000000000000004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816216.23283494485</v>
      </c>
      <c r="J369" s="256">
        <f>'Resultater - Vestdanmark'!J369+'Resultater - Østdanmark'!J369</f>
        <v>767917.75190239109</v>
      </c>
    </row>
    <row r="370" spans="1:10" x14ac:dyDescent="0.55000000000000004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-1678201.600221382</v>
      </c>
      <c r="J370" s="256">
        <f>'Resultater - Vestdanmark'!J370+'Resultater - Østdanmark'!J370</f>
        <v>-1469060.0471176177</v>
      </c>
    </row>
    <row r="371" spans="1:10" x14ac:dyDescent="0.55000000000000004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29989.37666418415</v>
      </c>
      <c r="J371" s="256">
        <f>'Resultater - Vestdanmark'!J371+'Resultater - Østdanmark'!J371</f>
        <v>26252.027819245694</v>
      </c>
    </row>
    <row r="372" spans="1:10" x14ac:dyDescent="0.55000000000000004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26995.365438628607</v>
      </c>
      <c r="J372" s="256">
        <f>'Resultater - Vestdanmark'!J372+'Resultater - Østdanmark'!J372</f>
        <v>22968.224901802128</v>
      </c>
    </row>
    <row r="373" spans="1:10" x14ac:dyDescent="0.55000000000000004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-42048.855823409045</v>
      </c>
      <c r="J373" s="256">
        <f>'Resultater - Vestdanmark'!J373+'Resultater - Østdanmark'!J373</f>
        <v>-33287.282466379897</v>
      </c>
    </row>
    <row r="374" spans="1:10" x14ac:dyDescent="0.55000000000000004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4483.1204929164842</v>
      </c>
      <c r="J374" s="256">
        <f>'Resultater - Vestdanmark'!J374+'Resultater - Østdanmark'!J374</f>
        <v>3548.9883198070011</v>
      </c>
    </row>
    <row r="375" spans="1:10" x14ac:dyDescent="0.55000000000000004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14248.491952542727</v>
      </c>
      <c r="J375" s="256">
        <f>'Resultater - Vestdanmark'!J375+'Resultater - Østdanmark'!J375</f>
        <v>0</v>
      </c>
    </row>
    <row r="376" spans="1:10" x14ac:dyDescent="0.55000000000000004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-17121.018367541325</v>
      </c>
      <c r="J376" s="256">
        <f>'Resultater - Vestdanmark'!J376+'Resultater - Østdanmark'!J376</f>
        <v>0</v>
      </c>
    </row>
    <row r="377" spans="1:10" x14ac:dyDescent="0.55000000000000004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5421.9781419085311</v>
      </c>
      <c r="J377" s="256">
        <f>'Resultater - Vestdanmark'!J377+'Resultater - Østdanmark'!J377</f>
        <v>0</v>
      </c>
    </row>
    <row r="378" spans="1:10" x14ac:dyDescent="0.55000000000000004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72610.218631964162</v>
      </c>
      <c r="J378" s="256">
        <f>'Resultater - Vestdanmark'!J378+'Resultater - Østdanmark'!J378</f>
        <v>92848.237275470907</v>
      </c>
    </row>
    <row r="379" spans="1:10" x14ac:dyDescent="0.55000000000000004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-149292.03830871137</v>
      </c>
      <c r="J379" s="256">
        <f>'Resultater - Vestdanmark'!J379+'Resultater - Østdanmark'!J379</f>
        <v>-177622.7147878574</v>
      </c>
    </row>
    <row r="380" spans="1:10" x14ac:dyDescent="0.55000000000000004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4680.4229475894344</v>
      </c>
      <c r="J380" s="256">
        <f>'Resultater - Vestdanmark'!J380+'Resultater - Østdanmark'!J380</f>
        <v>5568.6119616581782</v>
      </c>
    </row>
    <row r="381" spans="1:10" x14ac:dyDescent="0.55000000000000004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2401.4952260144173</v>
      </c>
      <c r="J381" s="256">
        <f>'Resultater - Vestdanmark'!J381+'Resultater - Østdanmark'!J381</f>
        <v>2777.0671926724385</v>
      </c>
    </row>
    <row r="382" spans="1:10" x14ac:dyDescent="0.55000000000000004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-3740.6467694928619</v>
      </c>
      <c r="J382" s="256">
        <f>'Resultater - Vestdanmark'!J382+'Resultater - Østdanmark'!J382</f>
        <v>-4024.7350618441142</v>
      </c>
    </row>
    <row r="383" spans="1:10" x14ac:dyDescent="0.55000000000000004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699.67776479043414</v>
      </c>
      <c r="J383" s="256">
        <f>'Resultater - Vestdanmark'!J383+'Resultater - Østdanmark'!J383</f>
        <v>752.815704201485</v>
      </c>
    </row>
    <row r="384" spans="1:10" x14ac:dyDescent="0.55000000000000004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1267.5392552001879</v>
      </c>
      <c r="J384" s="256">
        <f>'Resultater - Vestdanmark'!J384+'Resultater - Østdanmark'!J384</f>
        <v>0</v>
      </c>
    </row>
    <row r="385" spans="1:10" x14ac:dyDescent="0.55000000000000004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-1523.0778767425488</v>
      </c>
      <c r="J385" s="256">
        <f>'Resultater - Vestdanmark'!J385+'Resultater - Østdanmark'!J385</f>
        <v>0</v>
      </c>
    </row>
    <row r="386" spans="1:10" x14ac:dyDescent="0.55000000000000004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846.2046811071117</v>
      </c>
      <c r="J386" s="256">
        <f>'Resultater - Vestdanmark'!J386+'Resultater - Østdanmark'!J386</f>
        <v>0</v>
      </c>
    </row>
    <row r="387" spans="1:10" x14ac:dyDescent="0.55000000000000004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153509.84175597323</v>
      </c>
      <c r="J387" s="256">
        <f>'Resultater - Vestdanmark'!J387+'Resultater - Østdanmark'!J387</f>
        <v>144691.94108006015</v>
      </c>
    </row>
    <row r="388" spans="1:10" x14ac:dyDescent="0.55000000000000004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-705858.33779382065</v>
      </c>
      <c r="J388" s="256">
        <f>'Resultater - Vestdanmark'!J388+'Resultater - Østdanmark'!J388</f>
        <v>-619029.86966425751</v>
      </c>
    </row>
    <row r="389" spans="1:10" x14ac:dyDescent="0.55000000000000004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11562.514657033025</v>
      </c>
      <c r="J389" s="256">
        <f>'Resultater - Vestdanmark'!J389+'Resultater - Østdanmark'!J389</f>
        <v>10140.196067535748</v>
      </c>
    </row>
    <row r="390" spans="1:10" x14ac:dyDescent="0.55000000000000004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22277.500935241005</v>
      </c>
      <c r="J390" s="256">
        <f>'Resultater - Vestdanmark'!J390+'Resultater - Østdanmark'!J390</f>
        <v>18954.166517729358</v>
      </c>
    </row>
    <row r="391" spans="1:10" x14ac:dyDescent="0.55000000000000004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-85362.386761203859</v>
      </c>
      <c r="J391" s="256">
        <f>'Resultater - Vestdanmark'!J391+'Resultater - Østdanmark'!J391</f>
        <v>-67575.724106687281</v>
      </c>
    </row>
    <row r="392" spans="1:10" x14ac:dyDescent="0.55000000000000004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7584.2306510586886</v>
      </c>
      <c r="J392" s="256">
        <f>'Resultater - Vestdanmark'!J392+'Resultater - Østdanmark'!J392</f>
        <v>6003.9309757251613</v>
      </c>
    </row>
    <row r="393" spans="1:10" x14ac:dyDescent="0.55000000000000004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16939.546471625777</v>
      </c>
      <c r="J393" s="256">
        <f>'Resultater - Vestdanmark'!J393+'Resultater - Østdanmark'!J393</f>
        <v>0</v>
      </c>
    </row>
    <row r="394" spans="1:10" x14ac:dyDescent="0.55000000000000004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-55635.89361842379</v>
      </c>
      <c r="J394" s="256">
        <f>'Resultater - Vestdanmark'!J394+'Resultater - Østdanmark'!J394</f>
        <v>0</v>
      </c>
    </row>
    <row r="395" spans="1:10" x14ac:dyDescent="0.55000000000000004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13214.310298118749</v>
      </c>
      <c r="J395" s="256">
        <f>'Resultater - Vestdanmark'!J395+'Resultater - Østdanmark'!J395</f>
        <v>0</v>
      </c>
    </row>
    <row r="396" spans="1:10" x14ac:dyDescent="0.55000000000000004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13656.164535401314</v>
      </c>
      <c r="J396" s="256">
        <f>'Resultater - Vestdanmark'!J396+'Resultater - Østdanmark'!J396</f>
        <v>17494.571057861816</v>
      </c>
    </row>
    <row r="397" spans="1:10" x14ac:dyDescent="0.55000000000000004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-62792.831321658377</v>
      </c>
      <c r="J397" s="256">
        <f>'Resultater - Vestdanmark'!J397+'Resultater - Østdanmark'!J397</f>
        <v>-74846.338786678389</v>
      </c>
    </row>
    <row r="398" spans="1:10" x14ac:dyDescent="0.55000000000000004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1804.554310635212</v>
      </c>
      <c r="J398" s="256">
        <f>'Resultater - Vestdanmark'!J398+'Resultater - Østdanmark'!J398</f>
        <v>2150.9506809924314</v>
      </c>
    </row>
    <row r="399" spans="1:10" x14ac:dyDescent="0.55000000000000004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1981.7961814645032</v>
      </c>
      <c r="J399" s="256">
        <f>'Resultater - Vestdanmark'!J399+'Resultater - Østdanmark'!J399</f>
        <v>2291.7310425981855</v>
      </c>
    </row>
    <row r="400" spans="1:10" x14ac:dyDescent="0.55000000000000004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-7593.7984523406194</v>
      </c>
      <c r="J400" s="256">
        <f>'Resultater - Vestdanmark'!J400+'Resultater - Østdanmark'!J400</f>
        <v>-8170.5193692630974</v>
      </c>
    </row>
    <row r="401" spans="1:10" x14ac:dyDescent="0.55000000000000004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1183.666055367541</v>
      </c>
      <c r="J401" s="256">
        <f>'Resultater - Vestdanmark'!J401+'Resultater - Østdanmark'!J401</f>
        <v>1273.5611160629128</v>
      </c>
    </row>
    <row r="402" spans="1:10" x14ac:dyDescent="0.55000000000000004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1506.9342207995419</v>
      </c>
      <c r="J402" s="256">
        <f>'Resultater - Vestdanmark'!J402+'Resultater - Østdanmark'!J402</f>
        <v>0</v>
      </c>
    </row>
    <row r="403" spans="1:10" x14ac:dyDescent="0.55000000000000004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-4949.3433687141169</v>
      </c>
      <c r="J403" s="256">
        <f>'Resultater - Vestdanmark'!J403+'Resultater - Østdanmark'!J403</f>
        <v>0</v>
      </c>
    </row>
    <row r="404" spans="1:10" x14ac:dyDescent="0.55000000000000004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2062.3490060647764</v>
      </c>
      <c r="J404" s="256">
        <f>'Resultater - Vestdanmark'!J404+'Resultater - Østdanmark'!J404</f>
        <v>0</v>
      </c>
    </row>
    <row r="405" spans="1:10" x14ac:dyDescent="0.55000000000000004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2106192.3440028005</v>
      </c>
      <c r="J405" s="256">
        <f>'Resultater - Vestdanmark'!J405+'Resultater - Østdanmark'!J405</f>
        <v>1985718.1474465327</v>
      </c>
    </row>
    <row r="406" spans="1:10" x14ac:dyDescent="0.55000000000000004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-7137070.5577074001</v>
      </c>
      <c r="J406" s="256">
        <f>'Resultater - Vestdanmark'!J406+'Resultater - Østdanmark'!J406</f>
        <v>-6260737.6090000086</v>
      </c>
    </row>
    <row r="407" spans="1:10" x14ac:dyDescent="0.55000000000000004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280585.98791263503</v>
      </c>
      <c r="J407" s="256">
        <f>'Resultater - Vestdanmark'!J407+'Resultater - Østdanmark'!J407</f>
        <v>246133.93308631412</v>
      </c>
    </row>
    <row r="408" spans="1:10" x14ac:dyDescent="0.55000000000000004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357176.08087392699</v>
      </c>
      <c r="J408" s="256">
        <f>'Resultater - Vestdanmark'!J408+'Resultater - Østdanmark'!J408</f>
        <v>303892.92464689736</v>
      </c>
    </row>
    <row r="409" spans="1:10" x14ac:dyDescent="0.55000000000000004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-1008609.5642298218</v>
      </c>
      <c r="J409" s="256">
        <f>'Resultater - Vestdanmark'!J409+'Resultater - Østdanmark'!J409</f>
        <v>-798449.10890820215</v>
      </c>
    </row>
    <row r="410" spans="1:10" x14ac:dyDescent="0.55000000000000004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215069.73819882114</v>
      </c>
      <c r="J410" s="256">
        <f>'Resultater - Vestdanmark'!J410+'Resultater - Østdanmark'!J410</f>
        <v>170256.40734340728</v>
      </c>
    </row>
    <row r="411" spans="1:10" x14ac:dyDescent="0.55000000000000004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351282.54916678835</v>
      </c>
      <c r="J411" s="256">
        <f>'Resultater - Vestdanmark'!J411+'Resultater - Østdanmark'!J411</f>
        <v>0</v>
      </c>
    </row>
    <row r="412" spans="1:10" x14ac:dyDescent="0.55000000000000004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-850257.55676843552</v>
      </c>
      <c r="J412" s="256">
        <f>'Resultater - Vestdanmark'!J412+'Resultater - Østdanmark'!J412</f>
        <v>0</v>
      </c>
    </row>
    <row r="413" spans="1:10" x14ac:dyDescent="0.55000000000000004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484675.62033317744</v>
      </c>
      <c r="J413" s="256">
        <f>'Resultater - Vestdanmark'!J413+'Resultater - Østdanmark'!J413</f>
        <v>0</v>
      </c>
    </row>
    <row r="414" spans="1:10" x14ac:dyDescent="0.55000000000000004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328712.09993107291</v>
      </c>
      <c r="J414" s="256">
        <f>'Resultater - Vestdanmark'!J414+'Resultater - Østdanmark'!J414</f>
        <v>421212.94036744634</v>
      </c>
    </row>
    <row r="415" spans="1:10" x14ac:dyDescent="0.55000000000000004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-1113878.0639196523</v>
      </c>
      <c r="J415" s="256">
        <f>'Resultater - Vestdanmark'!J415+'Resultater - Østdanmark'!J415</f>
        <v>-1328035.2503939411</v>
      </c>
    </row>
    <row r="416" spans="1:10" x14ac:dyDescent="0.55000000000000004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43790.8767262494</v>
      </c>
      <c r="J416" s="256">
        <f>'Resultater - Vestdanmark'!J416+'Resultater - Østdanmark'!J416</f>
        <v>52210.228230430264</v>
      </c>
    </row>
    <row r="417" spans="1:10" x14ac:dyDescent="0.55000000000000004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55744.243835815207</v>
      </c>
      <c r="J417" s="256">
        <f>'Resultater - Vestdanmark'!J417+'Resultater - Østdanmark'!J417</f>
        <v>64462.135531160042</v>
      </c>
    </row>
    <row r="418" spans="1:10" x14ac:dyDescent="0.55000000000000004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-157413.05337690862</v>
      </c>
      <c r="J418" s="256">
        <f>'Resultater - Vestdanmark'!J418+'Resultater - Østdanmark'!J418</f>
        <v>-169367.99279870954</v>
      </c>
    </row>
    <row r="419" spans="1:10" x14ac:dyDescent="0.55000000000000004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33565.7972911455</v>
      </c>
      <c r="J419" s="256">
        <f>'Resultater - Vestdanmark'!J419+'Resultater - Østdanmark'!J419</f>
        <v>36114.995497086391</v>
      </c>
    </row>
    <row r="420" spans="1:10" x14ac:dyDescent="0.55000000000000004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54824.444089614371</v>
      </c>
      <c r="J420" s="256">
        <f>'Resultater - Vestdanmark'!J420+'Resultater - Østdanmark'!J420</f>
        <v>0</v>
      </c>
    </row>
    <row r="421" spans="1:10" x14ac:dyDescent="0.55000000000000004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-132699.15625865757</v>
      </c>
      <c r="J421" s="256">
        <f>'Resultater - Vestdanmark'!J421+'Resultater - Østdanmark'!J421</f>
        <v>0</v>
      </c>
    </row>
    <row r="422" spans="1:10" x14ac:dyDescent="0.55000000000000004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75643.015890149094</v>
      </c>
      <c r="J422" s="256">
        <f>'Resultater - Vestdanmark'!J422+'Resultater - Østdanmark'!J422</f>
        <v>0</v>
      </c>
    </row>
    <row r="423" spans="1:10" x14ac:dyDescent="0.55000000000000004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788679.64758670493</v>
      </c>
      <c r="J423" s="256">
        <f ca="1">'Resultater - Vestdanmark'!J423+'Resultater - Østdanmark'!J423</f>
        <v>840705.04818703001</v>
      </c>
    </row>
    <row r="424" spans="1:10" x14ac:dyDescent="0.55000000000000004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854402.95155226393</v>
      </c>
      <c r="J424" s="256">
        <f ca="1">'Resultater - Vestdanmark'!J424+'Resultater - Østdanmark'!J424</f>
        <v>910763.802202616</v>
      </c>
    </row>
    <row r="425" spans="1:10" x14ac:dyDescent="0.55000000000000004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-608453.5670373945</v>
      </c>
      <c r="J425" s="256">
        <f ca="1">'Resultater - Vestdanmark'!J425+'Resultater - Østdanmark'!J425</f>
        <v>-1366687.5910038012</v>
      </c>
    </row>
    <row r="426" spans="1:10" x14ac:dyDescent="0.55000000000000004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>'Resultater - Vestdanmark'!H426+'Resultater - Østdanmark'!H426</f>
        <v>3383628.2</v>
      </c>
      <c r="I426" s="255">
        <f>'Resultater - Vestdanmark'!I426+'Resultater - Østdanmark'!I426</f>
        <v>3349973.4189923876</v>
      </c>
      <c r="J426" s="256">
        <f>'Resultater - Vestdanmark'!J426+'Resultater - Østdanmark'!J426</f>
        <v>3287746.765328066</v>
      </c>
    </row>
    <row r="427" spans="1:10" x14ac:dyDescent="0.55000000000000004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>'Resultater - Vestdanmark'!H427+'Resultater - Østdanmark'!H427</f>
        <v>131725</v>
      </c>
      <c r="I427" s="255">
        <f>'Resultater - Vestdanmark'!I427+'Resultater - Østdanmark'!I427</f>
        <v>130414.81585263187</v>
      </c>
      <c r="J427" s="256">
        <f>'Resultater - Vestdanmark'!J427+'Resultater - Østdanmark'!J427</f>
        <v>127992.32571203879</v>
      </c>
    </row>
    <row r="428" spans="1:10" x14ac:dyDescent="0.55000000000000004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>'Resultater - Vestdanmark'!H428+'Resultater - Østdanmark'!H428</f>
        <v>17308.665000000001</v>
      </c>
      <c r="I428" s="255">
        <f>'Resultater - Vestdanmark'!I428+'Resultater - Østdanmark'!I428</f>
        <v>17136.506803035827</v>
      </c>
      <c r="J428" s="256">
        <f>'Resultater - Vestdanmark'!J428+'Resultater - Østdanmark'!J428</f>
        <v>16818.191598561898</v>
      </c>
    </row>
    <row r="429" spans="1:10" x14ac:dyDescent="0.55000000000000004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>'Resultater - Vestdanmark'!H429+'Resultater - Østdanmark'!H429</f>
        <v>1753646.8000000003</v>
      </c>
      <c r="I429" s="255">
        <f>'Resultater - Vestdanmark'!I429+'Resultater - Østdanmark'!I429</f>
        <v>1736204.3992602557</v>
      </c>
      <c r="J429" s="256">
        <f>'Resultater - Vestdanmark'!J429+'Resultater - Østdanmark'!J429</f>
        <v>1703953.9374414468</v>
      </c>
    </row>
    <row r="430" spans="1:10" x14ac:dyDescent="0.55000000000000004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1521700.8329200619</v>
      </c>
      <c r="J430" s="256">
        <f>'Resultater - Vestdanmark'!J430+'Resultater - Østdanmark'!J430</f>
        <v>1380901.3834271473</v>
      </c>
    </row>
    <row r="431" spans="1:10" x14ac:dyDescent="0.55000000000000004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29153.398617706007</v>
      </c>
      <c r="J431" s="256">
        <f>'Resultater - Vestdanmark'!J431+'Resultater - Østdanmark'!J431</f>
        <v>26455.902245607922</v>
      </c>
    </row>
    <row r="432" spans="1:10" x14ac:dyDescent="0.55000000000000004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135711.1333058897</v>
      </c>
      <c r="J432" s="256">
        <f>'Resultater - Vestdanmark'!J432+'Resultater - Østdanmark'!J432</f>
        <v>123154.09683318077</v>
      </c>
    </row>
    <row r="433" spans="1:10" x14ac:dyDescent="0.55000000000000004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133906.23539618502</v>
      </c>
      <c r="J433" s="256">
        <f>'Resultater - Vestdanmark'!J433+'Resultater - Østdanmark'!J433</f>
        <v>121516.20194179582</v>
      </c>
    </row>
    <row r="434" spans="1:10" x14ac:dyDescent="0.55000000000000004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>'Resultater - Vestdanmark'!H434+'Resultater - Østdanmark'!H434</f>
        <v>115671.91919191919</v>
      </c>
      <c r="I434" s="255">
        <f>'Resultater - Vestdanmark'!I434+'Resultater - Østdanmark'!I434</f>
        <v>113713.9338619913</v>
      </c>
      <c r="J434" s="256">
        <f>'Resultater - Vestdanmark'!J434+'Resultater - Østdanmark'!J434</f>
        <v>110093.6792842632</v>
      </c>
    </row>
    <row r="435" spans="1:10" x14ac:dyDescent="0.55000000000000004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>'Resultater - Vestdanmark'!H435+'Resultater - Østdanmark'!H435</f>
        <v>50006.545454545456</v>
      </c>
      <c r="I435" s="255">
        <f>'Resultater - Vestdanmark'!I435+'Resultater - Østdanmark'!I435</f>
        <v>55152.179429823183</v>
      </c>
      <c r="J435" s="256">
        <f>'Resultater - Vestdanmark'!J435+'Resultater - Østdanmark'!J435</f>
        <v>53396.326622067689</v>
      </c>
    </row>
    <row r="436" spans="1:10" x14ac:dyDescent="0.55000000000000004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>'Resultater - Vestdanmark'!H436+'Resultater - Østdanmark'!H436</f>
        <v>7405.2525252525256</v>
      </c>
      <c r="I436" s="255">
        <f>'Resultater - Vestdanmark'!I436+'Resultater - Østdanmark'!I436</f>
        <v>7279.9033833851809</v>
      </c>
      <c r="J436" s="256">
        <f>'Resultater - Vestdanmark'!J436+'Resultater - Østdanmark'!J436</f>
        <v>7048.136680272929</v>
      </c>
    </row>
    <row r="437" spans="1:10" x14ac:dyDescent="0.55000000000000004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>'Resultater - Vestdanmark'!H437+'Resultater - Østdanmark'!H437</f>
        <v>76114.747474747448</v>
      </c>
      <c r="I437" s="255">
        <f>'Resultater - Vestdanmark'!I437+'Resultater - Østdanmark'!I437</f>
        <v>74826.348700110961</v>
      </c>
      <c r="J437" s="256">
        <f>'Resultater - Vestdanmark'!J437+'Resultater - Østdanmark'!J437</f>
        <v>72444.139042805269</v>
      </c>
    </row>
    <row r="438" spans="1:10" x14ac:dyDescent="0.55000000000000004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>'Resultater - Vestdanmark'!H438+'Resultater - Østdanmark'!H438</f>
        <v>201545.30567673693</v>
      </c>
      <c r="I438" s="255">
        <f>'Resultater - Vestdanmark'!I438+'Resultater - Østdanmark'!I438</f>
        <v>196872.93522310784</v>
      </c>
      <c r="J438" s="256">
        <f>'Resultater - Vestdanmark'!J438+'Resultater - Østdanmark'!J438</f>
        <v>188233.86614274088</v>
      </c>
    </row>
    <row r="439" spans="1:10" ht="14.7" thickBot="1" x14ac:dyDescent="0.6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>'Resultater - Vestdanmark'!H439+'Resultater - Østdanmark'!H439</f>
        <v>550.81037157810442</v>
      </c>
      <c r="I439" s="258">
        <f>'Resultater - Vestdanmark'!I439+'Resultater - Østdanmark'!I439</f>
        <v>726.16257554479</v>
      </c>
      <c r="J439" s="259">
        <f>'Resultater - Vestdanmark'!J439+'Resultater - Østdanmark'!J439</f>
        <v>694.29751168215546</v>
      </c>
    </row>
    <row r="440" spans="1:10" x14ac:dyDescent="0.55000000000000004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>'Resultater - Vestdanmark'!H440+'Resultater - Østdanmark'!H440</f>
        <v>5940049093.1121235</v>
      </c>
      <c r="I440" s="252">
        <f>'Resultater - Vestdanmark'!I440+'Resultater - Østdanmark'!I440</f>
        <v>5790733053.5622406</v>
      </c>
      <c r="J440" s="253">
        <f>'Resultater - Vestdanmark'!J440+'Resultater - Østdanmark'!J440</f>
        <v>5519249345.2897253</v>
      </c>
    </row>
    <row r="441" spans="1:10" x14ac:dyDescent="0.55000000000000004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>'Resultater - Vestdanmark'!H441+'Resultater - Østdanmark'!H441</f>
        <v>164945487.85478973</v>
      </c>
      <c r="I441" s="255">
        <f>'Resultater - Vestdanmark'!I441+'Resultater - Østdanmark'!I441</f>
        <v>160799224.65022138</v>
      </c>
      <c r="J441" s="256">
        <f>'Resultater - Vestdanmark'!J441+'Resultater - Østdanmark'!J441</f>
        <v>153260564.27827886</v>
      </c>
    </row>
    <row r="442" spans="1:10" x14ac:dyDescent="0.55000000000000004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>'Resultater - Vestdanmark'!H442+'Resultater - Østdanmark'!H442</f>
        <v>0</v>
      </c>
      <c r="I442" s="255">
        <f>'Resultater - Vestdanmark'!I442+'Resultater - Østdanmark'!I442</f>
        <v>0</v>
      </c>
      <c r="J442" s="256">
        <f>'Resultater - Vestdanmark'!J442+'Resultater - Østdanmark'!J442</f>
        <v>0</v>
      </c>
    </row>
    <row r="443" spans="1:10" x14ac:dyDescent="0.55000000000000004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>'Resultater - Vestdanmark'!H443+'Resultater - Østdanmark'!H443</f>
        <v>78449683.248009756</v>
      </c>
      <c r="I443" s="255">
        <f>'Resultater - Vestdanmark'!I443+'Resultater - Østdanmark'!I443</f>
        <v>76477680.016568691</v>
      </c>
      <c r="J443" s="256">
        <f>'Resultater - Vestdanmark'!J443+'Resultater - Østdanmark'!J443</f>
        <v>72892219.595766783</v>
      </c>
    </row>
    <row r="444" spans="1:10" x14ac:dyDescent="0.55000000000000004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>'Resultater - Vestdanmark'!H444+'Resultater - Østdanmark'!H444</f>
        <v>143824419.28801787</v>
      </c>
      <c r="I444" s="255">
        <f>'Resultater - Vestdanmark'!I444+'Resultater - Østdanmark'!I444</f>
        <v>140209080.03037596</v>
      </c>
      <c r="J444" s="256">
        <f>'Resultater - Vestdanmark'!J444+'Resultater - Østdanmark'!J444</f>
        <v>133635735.92557243</v>
      </c>
    </row>
    <row r="445" spans="1:10" x14ac:dyDescent="0.55000000000000004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>'Resultater - Vestdanmark'!H445+'Resultater - Østdanmark'!H445</f>
        <v>1682645129.1528244</v>
      </c>
      <c r="I445" s="255">
        <f>'Resultater - Vestdanmark'!I445+'Resultater - Østdanmark'!I445</f>
        <v>1640348188.0476851</v>
      </c>
      <c r="J445" s="256">
        <f>'Resultater - Vestdanmark'!J445+'Resultater - Østdanmark'!J445</f>
        <v>1563444658.7656128</v>
      </c>
    </row>
    <row r="446" spans="1:10" x14ac:dyDescent="0.55000000000000004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>'Resultater - Vestdanmark'!H446+'Resultater - Østdanmark'!H446</f>
        <v>242389405.93295321</v>
      </c>
      <c r="I446" s="255">
        <f>'Resultater - Vestdanmark'!I446+'Resultater - Østdanmark'!I446</f>
        <v>236296421.58965459</v>
      </c>
      <c r="J446" s="256">
        <f>'Resultater - Vestdanmark'!J446+'Resultater - Østdanmark'!J446</f>
        <v>225218268.23820248</v>
      </c>
    </row>
    <row r="447" spans="1:10" x14ac:dyDescent="0.55000000000000004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>'Resultater - Vestdanmark'!H447+'Resultater - Østdanmark'!H447</f>
        <v>0</v>
      </c>
      <c r="I447" s="255">
        <f>'Resultater - Vestdanmark'!I447+'Resultater - Østdanmark'!I447</f>
        <v>0</v>
      </c>
      <c r="J447" s="256">
        <f>'Resultater - Vestdanmark'!J447+'Resultater - Østdanmark'!J447</f>
        <v>0</v>
      </c>
    </row>
    <row r="448" spans="1:10" x14ac:dyDescent="0.55000000000000004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>'Resultater - Vestdanmark'!H448+'Resultater - Østdanmark'!H448</f>
        <v>0</v>
      </c>
      <c r="I448" s="255">
        <f>'Resultater - Vestdanmark'!I448+'Resultater - Østdanmark'!I448</f>
        <v>0</v>
      </c>
      <c r="J448" s="256">
        <f>'Resultater - Vestdanmark'!J448+'Resultater - Østdanmark'!J448</f>
        <v>0</v>
      </c>
    </row>
    <row r="449" spans="1:10" x14ac:dyDescent="0.55000000000000004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>'Resultater - Vestdanmark'!H449+'Resultater - Østdanmark'!H449</f>
        <v>2285098465.8907456</v>
      </c>
      <c r="I449" s="255">
        <f>'Resultater - Vestdanmark'!I449+'Resultater - Østdanmark'!I449</f>
        <v>2227657551.2518468</v>
      </c>
      <c r="J449" s="256">
        <f>'Resultater - Vestdanmark'!J449+'Resultater - Østdanmark'!J449</f>
        <v>2123219524.6356678</v>
      </c>
    </row>
    <row r="450" spans="1:10" x14ac:dyDescent="0.55000000000000004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>'Resultater - Vestdanmark'!H450+'Resultater - Østdanmark'!H450</f>
        <v>163939722.68494347</v>
      </c>
      <c r="I450" s="255">
        <f>'Resultater - Vestdanmark'!I450+'Resultater - Østdanmark'!I450</f>
        <v>159818741.5730859</v>
      </c>
      <c r="J450" s="256">
        <f>'Resultater - Vestdanmark'!J450+'Resultater - Østdanmark'!J450</f>
        <v>152326048.6424357</v>
      </c>
    </row>
    <row r="451" spans="1:10" x14ac:dyDescent="0.55000000000000004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'Resultater - Vestdanmark'!J451+'Resultater - Østdanmark'!J451</f>
        <v>0</v>
      </c>
    </row>
    <row r="452" spans="1:10" x14ac:dyDescent="0.55000000000000004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'Resultater - Vestdanmark'!J452+'Resultater - Østdanmark'!J452</f>
        <v>0</v>
      </c>
    </row>
    <row r="453" spans="1:10" x14ac:dyDescent="0.55000000000000004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>'Resultater - Vestdanmark'!H453+'Resultater - Østdanmark'!H453</f>
        <v>121697585.55139975</v>
      </c>
      <c r="I453" s="255">
        <f>'Resultater - Vestdanmark'!I453+'Resultater - Østdanmark'!I453</f>
        <v>118638452.33339506</v>
      </c>
      <c r="J453" s="256">
        <f>'Resultater - Vestdanmark'!J453+'Resultater - Østdanmark'!J453</f>
        <v>113076391.93702284</v>
      </c>
    </row>
    <row r="454" spans="1:10" x14ac:dyDescent="0.55000000000000004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>'Resultater - Vestdanmark'!H454+'Resultater - Østdanmark'!H454</f>
        <v>4029095270.4041944</v>
      </c>
      <c r="I454" s="255">
        <f>'Resultater - Vestdanmark'!I454+'Resultater - Østdanmark'!I454</f>
        <v>3927815207.0047979</v>
      </c>
      <c r="J454" s="256">
        <f>'Resultater - Vestdanmark'!J454+'Resultater - Østdanmark'!J454</f>
        <v>3743669637.1877141</v>
      </c>
    </row>
    <row r="455" spans="1:10" x14ac:dyDescent="0.55000000000000004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>'Resultater - Vestdanmark'!H455+'Resultater - Østdanmark'!H455</f>
        <v>12195000.399999995</v>
      </c>
      <c r="I455" s="255">
        <f>'Resultater - Vestdanmark'!I455+'Resultater - Østdanmark'!I455</f>
        <v>0</v>
      </c>
      <c r="J455" s="256">
        <f>'Resultater - Vestdanmark'!J455+'Resultater - Østdanmark'!J455</f>
        <v>0</v>
      </c>
    </row>
    <row r="456" spans="1:10" x14ac:dyDescent="0.55000000000000004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55000000000000004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55000000000000004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149820409.48538473</v>
      </c>
      <c r="J458" s="256">
        <f>'Resultater - Vestdanmark'!J458+'Resultater - Østdanmark'!J458</f>
        <v>160608315.11358762</v>
      </c>
    </row>
    <row r="459" spans="1:10" x14ac:dyDescent="0.55000000000000004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-158904.5208773991</v>
      </c>
      <c r="J459" s="262">
        <f>'Resultater - Vestdanmark'!J459+'Resultater - Østdanmark'!J459</f>
        <v>-170346.53322410415</v>
      </c>
    </row>
    <row r="460" spans="1:10" x14ac:dyDescent="0.55000000000000004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>'Resultater - Vestdanmark'!H460+'Resultater - Østdanmark'!H460</f>
        <v>61384486.300000004</v>
      </c>
      <c r="I460" s="255">
        <f>'Resultater - Vestdanmark'!I460+'Resultater - Østdanmark'!I460</f>
        <v>147058973.22332105</v>
      </c>
      <c r="J460" s="256">
        <f>'Resultater - Vestdanmark'!J460+'Resultater - Østdanmark'!J460</f>
        <v>173098743.31879258</v>
      </c>
    </row>
    <row r="461" spans="1:10" x14ac:dyDescent="0.55000000000000004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>'Resultater - Vestdanmark'!H461+'Resultater - Østdanmark'!H461</f>
        <v>-128107.91983655478</v>
      </c>
      <c r="I461" s="261">
        <f>'Resultater - Vestdanmark'!I461+'Resultater - Østdanmark'!I461</f>
        <v>-306908.47620466718</v>
      </c>
      <c r="J461" s="262">
        <f>'Resultater - Vestdanmark'!J461+'Resultater - Østdanmark'!J461</f>
        <v>-361252.83877943363</v>
      </c>
    </row>
    <row r="462" spans="1:10" x14ac:dyDescent="0.55000000000000004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>'Resultater - Vestdanmark'!H462+'Resultater - Østdanmark'!H462</f>
        <v>58183.649999999994</v>
      </c>
      <c r="I462" s="255">
        <f>'Resultater - Vestdanmark'!I462+'Resultater - Østdanmark'!I462</f>
        <v>88846.768196361154</v>
      </c>
      <c r="J462" s="256">
        <f>'Resultater - Vestdanmark'!J462+'Resultater - Østdanmark'!J462</f>
        <v>110102.449113043</v>
      </c>
    </row>
    <row r="463" spans="1:10" x14ac:dyDescent="0.55000000000000004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>'Resultater - Vestdanmark'!H463+'Resultater - Østdanmark'!H463</f>
        <v>45425220.000000007</v>
      </c>
      <c r="I463" s="255">
        <f>'Resultater - Vestdanmark'!I463+'Resultater - Østdanmark'!I463</f>
        <v>131342041.8151201</v>
      </c>
      <c r="J463" s="256">
        <f>'Resultater - Vestdanmark'!J463+'Resultater - Østdanmark'!J463</f>
        <v>155478565.68889201</v>
      </c>
    </row>
    <row r="464" spans="1:10" x14ac:dyDescent="0.55000000000000004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55000000000000004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55000000000000004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0</v>
      </c>
      <c r="J466" s="256">
        <f ca="1">'Resultater - Vestdanmark'!J466+'Resultater - Østdanmark'!J466</f>
        <v>0</v>
      </c>
    </row>
    <row r="467" spans="1:12" x14ac:dyDescent="0.55000000000000004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>'Resultater - Vestdanmark'!H467+'Resultater - Østdanmark'!H467</f>
        <v>102149122.13</v>
      </c>
      <c r="I467" s="255">
        <f>'Resultater - Vestdanmark'!I467+'Resultater - Østdanmark'!I467</f>
        <v>0</v>
      </c>
      <c r="J467" s="256">
        <f>'Resultater - Vestdanmark'!J467+'Resultater - Østdanmark'!J467</f>
        <v>0</v>
      </c>
    </row>
    <row r="468" spans="1:12" x14ac:dyDescent="0.55000000000000004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55000000000000004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55000000000000004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55000000000000004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>'Resultater - Vestdanmark'!H471+'Resultater - Østdanmark'!H471</f>
        <v>0</v>
      </c>
      <c r="I471" s="255">
        <f>'Resultater - Vestdanmark'!I471+'Resultater - Østdanmark'!I471</f>
        <v>0</v>
      </c>
      <c r="J471" s="256">
        <f>'Resultater - Vestdanmark'!J471+'Resultater - Østdanmark'!J471</f>
        <v>0</v>
      </c>
    </row>
    <row r="472" spans="1:12" x14ac:dyDescent="0.55000000000000004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55000000000000004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>'Resultater - Vestdanmark'!H473+'Resultater - Østdanmark'!H473</f>
        <v>37096792.599999994</v>
      </c>
      <c r="I473" s="255">
        <f>'Resultater - Vestdanmark'!I473+'Resultater - Østdanmark'!I473</f>
        <v>76289786.045203626</v>
      </c>
      <c r="J473" s="256">
        <f>'Resultater - Vestdanmark'!J473+'Resultater - Østdanmark'!J473</f>
        <v>95352647.261167347</v>
      </c>
      <c r="L473" s="94"/>
    </row>
    <row r="474" spans="1:12" x14ac:dyDescent="0.55000000000000004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28950393.886534661</v>
      </c>
      <c r="J474" s="262">
        <f ca="1">'Resultater - Vestdanmark'!J474+'Resultater - Østdanmark'!J474</f>
        <v>33318090.389208868</v>
      </c>
    </row>
    <row r="475" spans="1:12" x14ac:dyDescent="0.55000000000000004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22056893.618681639</v>
      </c>
      <c r="J475" s="262">
        <f>'Resultater - Vestdanmark'!J475+'Resultater - Østdanmark'!J475</f>
        <v>7881704.3527964279</v>
      </c>
    </row>
    <row r="476" spans="1:12" x14ac:dyDescent="0.55000000000000004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>'Resultater - Vestdanmark'!H476+'Resultater - Østdanmark'!H476</f>
        <v>77571922.666666672</v>
      </c>
      <c r="I476" s="261">
        <f>'Resultater - Vestdanmark'!I476+'Resultater - Østdanmark'!I476</f>
        <v>27812571.768003982</v>
      </c>
      <c r="J476" s="262">
        <f>'Resultater - Vestdanmark'!J476+'Resultater - Østdanmark'!J476</f>
        <v>10912450.327425849</v>
      </c>
    </row>
    <row r="477" spans="1:12" x14ac:dyDescent="0.55000000000000004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>'Resultater - Vestdanmark'!H477+'Resultater - Østdanmark'!H477</f>
        <v>31090.5</v>
      </c>
      <c r="I477" s="261">
        <f>'Resultater - Vestdanmark'!I477+'Resultater - Østdanmark'!I477</f>
        <v>15825.124106222091</v>
      </c>
      <c r="J477" s="262">
        <f>'Resultater - Vestdanmark'!J477+'Resultater - Østdanmark'!J477</f>
        <v>6537.0410838956805</v>
      </c>
    </row>
    <row r="478" spans="1:12" x14ac:dyDescent="0.55000000000000004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>'Resultater - Vestdanmark'!H478+'Resultater - Østdanmark'!H478</f>
        <v>11532709.900000002</v>
      </c>
      <c r="I478" s="261">
        <f>'Resultater - Vestdanmark'!I478+'Resultater - Østdanmark'!I478</f>
        <v>3867293.4534452027</v>
      </c>
      <c r="J478" s="262">
        <f>'Resultater - Vestdanmark'!J478+'Resultater - Østdanmark'!J478</f>
        <v>1525993.3299094955</v>
      </c>
    </row>
    <row r="479" spans="1:12" x14ac:dyDescent="0.55000000000000004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163502663.09768856</v>
      </c>
      <c r="J479" s="262">
        <f ca="1">'Resultater - Vestdanmark'!J479+'Resultater - Østdanmark'!J479</f>
        <v>184042217.07933244</v>
      </c>
    </row>
    <row r="480" spans="1:12" x14ac:dyDescent="0.55000000000000004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148106436.46673036</v>
      </c>
      <c r="J480" s="262">
        <f ca="1">'Resultater - Vestdanmark'!J480+'Resultater - Østdanmark'!J480</f>
        <v>122328612.85235009</v>
      </c>
    </row>
    <row r="481" spans="1:13" x14ac:dyDescent="0.55000000000000004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>'Resultater - Vestdanmark'!H481+'Resultater - Østdanmark'!H481</f>
        <v>19.591464268115235</v>
      </c>
      <c r="I481" s="265">
        <f>'Resultater - Vestdanmark'!I481+'Resultater - Østdanmark'!I481</f>
        <v>35.562135943713315</v>
      </c>
      <c r="J481" s="266">
        <f>'Resultater - Vestdanmark'!J481+'Resultater - Østdanmark'!J481</f>
        <v>40.755915968061302</v>
      </c>
      <c r="L481" s="152" t="s">
        <v>215</v>
      </c>
      <c r="M481" s="150">
        <v>17963.28</v>
      </c>
    </row>
    <row r="482" spans="1:13" x14ac:dyDescent="0.55000000000000004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7.8112428316740701</v>
      </c>
      <c r="J482" s="266">
        <f>'Resultater - Vestdanmark'!J482+'Resultater - Østdanmark'!J482</f>
        <v>7.5264568791286592</v>
      </c>
      <c r="L482" s="152" t="s">
        <v>219</v>
      </c>
      <c r="M482" s="150">
        <v>14758.1</v>
      </c>
    </row>
    <row r="483" spans="1:13" x14ac:dyDescent="0.55000000000000004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3.8616408274492979</v>
      </c>
      <c r="J483" s="266">
        <f>'Resultater - Vestdanmark'!J483+'Resultater - Østdanmark'!J483</f>
        <v>3.3751563384477912</v>
      </c>
      <c r="L483" s="152" t="s">
        <v>216</v>
      </c>
      <c r="M483" s="150">
        <v>1988.19</v>
      </c>
    </row>
    <row r="484" spans="1:13" x14ac:dyDescent="0.55000000000000004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41.521042261764158</v>
      </c>
      <c r="J484" s="266">
        <f ca="1">'Resultater - Vestdanmark'!J484+'Resultater - Østdanmark'!J484</f>
        <v>42.400879579560225</v>
      </c>
      <c r="L484" s="152" t="s">
        <v>217</v>
      </c>
      <c r="M484" s="150">
        <v>8944.93</v>
      </c>
    </row>
    <row r="485" spans="1:13" x14ac:dyDescent="0.55000000000000004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55000000000000004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6.4981185039678975</v>
      </c>
      <c r="J486" s="266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55000000000000004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>'Resultater - Vestdanmark'!H487+'Resultater - Østdanmark'!H487</f>
        <v>0</v>
      </c>
      <c r="I487" s="265">
        <f>'Resultater - Vestdanmark'!I487+'Resultater - Østdanmark'!I487</f>
        <v>0</v>
      </c>
      <c r="J487" s="266">
        <f>'Resultater - Vestdanmark'!J487+'Resultater - Østdanmark'!J487</f>
        <v>0</v>
      </c>
      <c r="L487" s="151"/>
      <c r="M487" s="150"/>
    </row>
    <row r="488" spans="1:13" x14ac:dyDescent="0.55000000000000004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>'Resultater - Vestdanmark'!H488+'Resultater - Østdanmark'!H488</f>
        <v>0</v>
      </c>
      <c r="I488" s="265">
        <f>'Resultater - Vestdanmark'!I488+'Resultater - Østdanmark'!I488</f>
        <v>0</v>
      </c>
      <c r="J488" s="266">
        <f>'Resultater - Vestdanmark'!J488+'Resultater - Østdanmark'!J488</f>
        <v>0</v>
      </c>
      <c r="L488" s="151"/>
      <c r="M488" s="150"/>
    </row>
    <row r="489" spans="1:13" x14ac:dyDescent="0.55000000000000004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21.541453858819168</v>
      </c>
      <c r="J489" s="269">
        <f ca="1">'Resultater - Vestdanmark'!J489+'Resultater - Østdanmark'!J489</f>
        <v>24.803382790105807</v>
      </c>
    </row>
    <row r="490" spans="1:13" x14ac:dyDescent="0.55000000000000004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>'Resultater - Vestdanmark'!H490+'Resultater - Østdanmark'!H490</f>
        <v>0</v>
      </c>
      <c r="I490" s="271">
        <f>'Resultater - Vestdanmark'!I490+'Resultater - Østdanmark'!I490</f>
        <v>0</v>
      </c>
      <c r="J490" s="272">
        <f>'Resultater - Vestdanmark'!J490+'Resultater - Østdanmark'!J490</f>
        <v>0</v>
      </c>
    </row>
    <row r="491" spans="1:13" x14ac:dyDescent="0.55000000000000004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>'Resultater - Vestdanmark'!H491+'Resultater - Østdanmark'!H491</f>
        <v>0</v>
      </c>
      <c r="I491" s="271">
        <f>'Resultater - Vestdanmark'!I491+'Resultater - Østdanmark'!I491</f>
        <v>0</v>
      </c>
      <c r="J491" s="272">
        <f>'Resultater - Vestdanmark'!J491+'Resultater - Østdanmark'!J491</f>
        <v>0</v>
      </c>
    </row>
    <row r="492" spans="1:13" x14ac:dyDescent="0.55000000000000004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>'Resultater - Vestdanmark'!H492+'Resultater - Østdanmark'!H492</f>
        <v>0</v>
      </c>
      <c r="I492" s="271">
        <f>'Resultater - Vestdanmark'!I492+'Resultater - Østdanmark'!I492</f>
        <v>0</v>
      </c>
      <c r="J492" s="272">
        <f>'Resultater - Vestdanmark'!J492+'Resultater - Østdanmark'!J492</f>
        <v>0</v>
      </c>
    </row>
    <row r="493" spans="1:13" x14ac:dyDescent="0.55000000000000004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348716.19784259249</v>
      </c>
      <c r="J493" s="272">
        <f>'Resultater - Vestdanmark'!J493+'Resultater - Østdanmark'!J493</f>
        <v>336002.53924681514</v>
      </c>
    </row>
    <row r="494" spans="1:13" x14ac:dyDescent="0.55000000000000004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223178.36661925918</v>
      </c>
      <c r="J494" s="272">
        <f>'Resultater - Vestdanmark'!J494+'Resultater - Østdanmark'!J494</f>
        <v>215041.6251179617</v>
      </c>
    </row>
    <row r="495" spans="1:13" x14ac:dyDescent="0.55000000000000004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>'Resultater - Vestdanmark'!H495+'Resultater - Østdanmark'!H495</f>
        <v>0</v>
      </c>
      <c r="I495" s="271">
        <f>'Resultater - Vestdanmark'!I495+'Resultater - Østdanmark'!I495</f>
        <v>0</v>
      </c>
      <c r="J495" s="272">
        <f>'Resultater - Vestdanmark'!J495+'Resultater - Østdanmark'!J495</f>
        <v>0</v>
      </c>
    </row>
    <row r="496" spans="1:13" x14ac:dyDescent="0.55000000000000004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>'Resultater - Vestdanmark'!H496+'Resultater - Østdanmark'!H496</f>
        <v>0</v>
      </c>
      <c r="I496" s="271">
        <f>'Resultater - Vestdanmark'!I496+'Resultater - Østdanmark'!I496</f>
        <v>0</v>
      </c>
      <c r="J496" s="272">
        <f>'Resultater - Vestdanmark'!J496+'Resultater - Østdanmark'!J496</f>
        <v>0</v>
      </c>
    </row>
    <row r="497" spans="1:10" ht="14.7" thickBot="1" x14ac:dyDescent="0.6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>'Resultater - Vestdanmark'!H497+'Resultater - Østdanmark'!H497</f>
        <v>0</v>
      </c>
      <c r="I497" s="274">
        <f>'Resultater - Vestdanmark'!I497+'Resultater - Østdanmark'!I497</f>
        <v>0</v>
      </c>
      <c r="J497" s="275">
        <f>'Resultater - Vestdanmark'!J497+'Resultater - Østdanmark'!J497</f>
        <v>0</v>
      </c>
    </row>
    <row r="498" spans="1:10" x14ac:dyDescent="0.55000000000000004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55000000000000004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55000000000000004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55000000000000004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55000000000000004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55000000000000004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55000000000000004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55000000000000004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55000000000000004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55000000000000004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55000000000000004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55000000000000004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55000000000000004">
      <c r="H510" s="93"/>
      <c r="I510" s="93"/>
      <c r="J510" s="93"/>
    </row>
    <row r="511" spans="1:10" x14ac:dyDescent="0.55000000000000004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tabSelected="1" zoomScale="106" workbookViewId="0">
      <pane xSplit="5" ySplit="2" topLeftCell="F49" activePane="bottomRight" state="frozen"/>
      <selection pane="topRight" activeCell="F1" sqref="F1"/>
      <selection pane="bottomLeft" activeCell="A3" sqref="A3"/>
      <selection pane="bottomRight" activeCell="F127" sqref="F127"/>
    </sheetView>
  </sheetViews>
  <sheetFormatPr defaultColWidth="18" defaultRowHeight="14.4" x14ac:dyDescent="0.55000000000000004"/>
  <cols>
    <col min="1" max="2" width="18.15625" bestFit="1" customWidth="1"/>
    <col min="3" max="3" width="8.15625" bestFit="1" customWidth="1"/>
    <col min="4" max="4" width="7.83984375" customWidth="1"/>
    <col min="5" max="5" width="11.15625" bestFit="1" customWidth="1"/>
    <col min="6" max="6" width="14.26171875" bestFit="1" customWidth="1"/>
    <col min="7" max="8" width="12" bestFit="1" customWidth="1"/>
    <col min="9" max="9" width="9.15625" bestFit="1" customWidth="1"/>
    <col min="10" max="11" width="9.68359375" bestFit="1" customWidth="1"/>
    <col min="12" max="12" width="12" bestFit="1" customWidth="1"/>
    <col min="13" max="13" width="20.15625" bestFit="1" customWidth="1"/>
    <col min="14" max="14" width="26.41796875" bestFit="1" customWidth="1"/>
    <col min="15" max="15" width="21.41796875" bestFit="1" customWidth="1"/>
    <col min="16" max="16" width="20.578125" bestFit="1" customWidth="1"/>
    <col min="17" max="17" width="20.26171875" bestFit="1" customWidth="1"/>
    <col min="18" max="18" width="19.83984375" bestFit="1" customWidth="1"/>
    <col min="19" max="19" width="18.578125" bestFit="1" customWidth="1"/>
    <col min="20" max="20" width="23.68359375" bestFit="1" customWidth="1"/>
    <col min="21" max="21" width="24" bestFit="1" customWidth="1"/>
    <col min="22" max="22" width="23.41796875" bestFit="1" customWidth="1"/>
    <col min="23" max="23" width="22.26171875" bestFit="1" customWidth="1"/>
    <col min="24" max="24" width="27.41796875" bestFit="1" customWidth="1"/>
  </cols>
  <sheetData>
    <row r="1" spans="1:26" ht="14.7" thickTop="1" x14ac:dyDescent="0.55000000000000004">
      <c r="A1" s="415" t="s">
        <v>248</v>
      </c>
      <c r="B1" s="415"/>
      <c r="C1" s="415"/>
      <c r="F1" s="416" t="s">
        <v>250</v>
      </c>
      <c r="G1" s="416"/>
      <c r="H1" s="416"/>
      <c r="I1" s="416"/>
      <c r="J1" s="416"/>
      <c r="K1" s="416"/>
      <c r="L1" s="416"/>
      <c r="M1" s="417"/>
      <c r="N1" s="418" t="s">
        <v>251</v>
      </c>
      <c r="O1" s="419"/>
      <c r="P1" s="420"/>
      <c r="Q1" s="412" t="s">
        <v>122</v>
      </c>
      <c r="R1" s="412"/>
      <c r="S1" s="412"/>
      <c r="T1" s="413"/>
      <c r="U1" s="414" t="s">
        <v>229</v>
      </c>
      <c r="V1" s="412"/>
      <c r="W1" s="412"/>
      <c r="X1" s="413"/>
    </row>
    <row r="2" spans="1:26" x14ac:dyDescent="0.55000000000000004">
      <c r="A2" s="91" t="s">
        <v>128</v>
      </c>
      <c r="B2" s="91" t="s">
        <v>311</v>
      </c>
      <c r="C2" s="91" t="s">
        <v>129</v>
      </c>
      <c r="D2" s="91" t="s">
        <v>58</v>
      </c>
      <c r="E2" s="91" t="s">
        <v>64</v>
      </c>
      <c r="F2" s="91" t="s">
        <v>132</v>
      </c>
      <c r="G2" s="91" t="s">
        <v>112</v>
      </c>
      <c r="H2" s="91" t="s">
        <v>124</v>
      </c>
      <c r="I2" s="91" t="s">
        <v>127</v>
      </c>
      <c r="J2" s="91" t="s">
        <v>109</v>
      </c>
      <c r="K2" s="91" t="s">
        <v>114</v>
      </c>
      <c r="L2" s="91" t="s">
        <v>120</v>
      </c>
      <c r="M2" s="91" t="s">
        <v>223</v>
      </c>
      <c r="N2" s="177" t="s">
        <v>249</v>
      </c>
      <c r="O2" s="91" t="s">
        <v>130</v>
      </c>
      <c r="P2" s="178" t="s">
        <v>190</v>
      </c>
      <c r="Q2" s="91" t="s">
        <v>131</v>
      </c>
      <c r="R2" s="91" t="s">
        <v>232</v>
      </c>
      <c r="S2" s="91" t="s">
        <v>233</v>
      </c>
      <c r="T2" s="176" t="s">
        <v>284</v>
      </c>
      <c r="U2" s="175" t="s">
        <v>235</v>
      </c>
      <c r="V2" s="91" t="s">
        <v>234</v>
      </c>
      <c r="W2" s="91" t="s">
        <v>236</v>
      </c>
      <c r="X2" s="176" t="s">
        <v>283</v>
      </c>
      <c r="Y2" s="91" t="s">
        <v>278</v>
      </c>
      <c r="Z2" s="91" t="s">
        <v>300</v>
      </c>
    </row>
    <row r="3" spans="1:26" x14ac:dyDescent="0.55000000000000004">
      <c r="A3" s="171" t="s">
        <v>15</v>
      </c>
      <c r="B3" s="171"/>
      <c r="C3" s="171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71">
        <f t="shared" ref="D3:D15" si="0">År1</f>
        <v>2019</v>
      </c>
      <c r="E3" t="s">
        <v>23</v>
      </c>
      <c r="F3" s="94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94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9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79">
        <f>F3-SUM(G3:M3)</f>
        <v>185027.43463784308</v>
      </c>
      <c r="O3" s="94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180">
        <f>SUM(J3,L3)</f>
        <v>0</v>
      </c>
      <c r="Q3">
        <f>IFERROR(VLOOKUP(A3,[1]Energiindhold!$A$2:$C$11,3,FALSE),IFERROR(VLOOKUP(A3,[1]Biogasudbytte!$A$2:$B$18,2,FALSE)*[1]Energiindhold!$C$10,0))*O3</f>
        <v>0</v>
      </c>
      <c r="R3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>
        <f>IFERROR(VLOOKUP(A3,[1]Biogasudbytte!$A$2:$B$18,2,FALSE)*[1]Energiindhold!$C$10,0)*J3*IFERROR(VLOOKUP(A3,Biogasanlæg!$F$3:$G$8,2,FALSE),1)</f>
        <v>0</v>
      </c>
      <c r="T3" s="170">
        <f>R3-S3</f>
        <v>0</v>
      </c>
      <c r="U3" s="169">
        <f>O3*IFERROR(VLOOKUP(A3,[1]Tørstofindhold!A$2:B$24,2,FALSE),0)</f>
        <v>0</v>
      </c>
      <c r="V3">
        <f>IF(D3=År1,P3,SUM(O3,P3))*IFERROR(VLOOKUP(A3,[1]Tørstofindhold!A$2:B$24,2,FALSE),0)</f>
        <v>0</v>
      </c>
      <c r="W3">
        <f>J3*IFERROR(VLOOKUP(A3,[1]Tørstofindhold!A$2:B$24,2,FALSE),0)</f>
        <v>0</v>
      </c>
      <c r="X3" s="170">
        <f>V3-W3</f>
        <v>0</v>
      </c>
      <c r="Y3">
        <f t="shared" ref="Y3:Y66" si="2">IF(SUMIFS($N$3:$N$290,$A$3:$A$290,A3,$D$3:$D$290,D3)&lt;0,1,0)</f>
        <v>0</v>
      </c>
      <c r="Z3">
        <f t="shared" ref="Z3:Z66" si="3">IF(SUMIFS($N$3:$N$290,$A$3:$A$290,A3,$D$3:$D$290,D3)&gt;0,1,0)</f>
        <v>1</v>
      </c>
    </row>
    <row r="4" spans="1:26" x14ac:dyDescent="0.55000000000000004">
      <c r="A4" s="171" t="s">
        <v>49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f t="shared" si="0"/>
        <v>2019</v>
      </c>
      <c r="E4" t="s">
        <v>23</v>
      </c>
      <c r="F4" s="94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94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9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79">
        <f t="shared" ref="N4:N15" si="4">F4-SUM(G4:M4)</f>
        <v>193898.88574926884</v>
      </c>
      <c r="O4" s="94">
        <f t="shared" si="1"/>
        <v>0</v>
      </c>
      <c r="P4" s="180">
        <f t="shared" ref="P4:P15" si="5">SUM(J4,L4)</f>
        <v>0</v>
      </c>
      <c r="Q4">
        <f>IFERROR(VLOOKUP(A4,[1]Energiindhold!$A$2:$C$11,3,FALSE),IFERROR(VLOOKUP(A4,[1]Biogasudbytte!$A$2:$B$18,2,FALSE)*[1]Energiindhold!$C$10,0))*O4</f>
        <v>0</v>
      </c>
      <c r="R4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>
        <f>IFERROR(VLOOKUP(A4,[1]Biogasudbytte!$A$2:$B$18,2,FALSE)*[1]Energiindhold!$C$10,0)*J4*IFERROR(VLOOKUP(A4,Biogasanlæg!$F$3:$G$8,2,FALSE),1)</f>
        <v>0</v>
      </c>
      <c r="T4" s="170">
        <f t="shared" ref="T4:T15" si="6">R4-S4</f>
        <v>0</v>
      </c>
      <c r="U4" s="169">
        <f>O4*IFERROR(VLOOKUP(A4,[1]Tørstofindhold!A$2:B$24,2,FALSE),0)</f>
        <v>0</v>
      </c>
      <c r="V4">
        <f>IF(D4=År1,P4,SUM(O4,P4))*IFERROR(VLOOKUP(A4,[1]Tørstofindhold!A$2:B$24,2,FALSE),0)</f>
        <v>0</v>
      </c>
      <c r="W4">
        <f>J4*IFERROR(VLOOKUP(A4,[1]Tørstofindhold!A$2:B$24,2,FALSE),0)</f>
        <v>0</v>
      </c>
      <c r="X4" s="170">
        <f t="shared" ref="X4:X15" si="7">V4-W4</f>
        <v>0</v>
      </c>
      <c r="Y4">
        <f t="shared" si="2"/>
        <v>0</v>
      </c>
      <c r="Z4">
        <f t="shared" si="3"/>
        <v>1</v>
      </c>
    </row>
    <row r="5" spans="1:26" hidden="1" x14ac:dyDescent="0.55000000000000004">
      <c r="A5" s="171" t="s">
        <v>102</v>
      </c>
      <c r="B5" s="171" t="s">
        <v>230</v>
      </c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71">
        <f t="shared" si="0"/>
        <v>2019</v>
      </c>
      <c r="E5" t="s">
        <v>23</v>
      </c>
      <c r="F5" s="94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94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94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94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94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94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9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79">
        <f t="shared" ca="1" si="4"/>
        <v>-199952.34120163022</v>
      </c>
      <c r="O5" s="94">
        <f t="shared" ca="1" si="1"/>
        <v>0</v>
      </c>
      <c r="P5" s="180">
        <f t="shared" ca="1" si="5"/>
        <v>393543.64426779439</v>
      </c>
      <c r="Q5">
        <f ca="1">IFERROR(VLOOKUP(A5,[1]Energiindhold!$A$2:$C$11,3,FALSE),IFERROR(VLOOKUP(A5,[1]Biogasudbytte!$A$2:$B$18,2,FALSE)*[1]Energiindhold!$C$10,0))*O5</f>
        <v>0</v>
      </c>
      <c r="R5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>
        <f ca="1">IFERROR(VLOOKUP(A5,[1]Biogasudbytte!$A$2:$B$18,2,FALSE)*[1]Energiindhold!$C$10,0)*J5*IFERROR(VLOOKUP(A5,Biogasanlæg!$F$3:$G$8,2,FALSE),1)</f>
        <v>1.3407677770923916</v>
      </c>
      <c r="T5" s="170">
        <f t="shared" ca="1" si="6"/>
        <v>0</v>
      </c>
      <c r="U5" s="169">
        <f ca="1">O5*IFERROR(VLOOKUP(A5,[1]Tørstofindhold!A$2:B$24,2,FALSE),0)</f>
        <v>0</v>
      </c>
      <c r="V5">
        <f ca="1">IF(D5=År1,P5,SUM(O5,P5))*IFERROR(VLOOKUP(A5,[1]Tørstofindhold!A$2:B$24,2,FALSE),0)</f>
        <v>110192.22039498243</v>
      </c>
      <c r="W5">
        <f ca="1">J5*IFERROR(VLOOKUP(A5,[1]Tørstofindhold!A$2:B$24,2,FALSE),0)</f>
        <v>110192.22039498243</v>
      </c>
      <c r="X5" s="170">
        <f t="shared" ca="1" si="7"/>
        <v>0</v>
      </c>
      <c r="Y5">
        <f t="shared" ca="1" si="2"/>
        <v>1</v>
      </c>
      <c r="Z5">
        <f t="shared" ca="1" si="3"/>
        <v>0</v>
      </c>
    </row>
    <row r="6" spans="1:26" hidden="1" x14ac:dyDescent="0.55000000000000004">
      <c r="A6" s="171" t="s">
        <v>109</v>
      </c>
      <c r="B6" s="171"/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f t="shared" si="0"/>
        <v>2019</v>
      </c>
      <c r="E6" t="s">
        <v>23</v>
      </c>
      <c r="F6" s="94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94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9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79">
        <f t="shared" ca="1" si="4"/>
        <v>0</v>
      </c>
      <c r="O6" s="94">
        <f t="shared" ca="1" si="1"/>
        <v>0</v>
      </c>
      <c r="P6" s="180">
        <f t="shared" ca="1" si="5"/>
        <v>352020220.25091624</v>
      </c>
      <c r="Q6">
        <f ca="1">IFERROR(VLOOKUP(A6,[1]Energiindhold!$A$2:$C$11,3,FALSE),IFERROR(VLOOKUP(A6,[1]Biogasudbytte!$A$2:$B$18,2,FALSE)*[1]Energiindhold!$C$10,0))*O6</f>
        <v>0</v>
      </c>
      <c r="R6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>
        <f>IFERROR(VLOOKUP(A6,[1]Biogasudbytte!$A$2:$B$18,2,FALSE)*[1]Energiindhold!$C$10,0)*J6*IFERROR(VLOOKUP(A6,Biogasanlæg!$F$3:$G$8,2,FALSE),1)</f>
        <v>0</v>
      </c>
      <c r="T6" s="170">
        <f t="shared" si="6"/>
        <v>0</v>
      </c>
      <c r="U6" s="169">
        <f ca="1">O6*IFERROR(VLOOKUP(A6,[1]Tørstofindhold!A$2:B$24,2,FALSE),0)</f>
        <v>0</v>
      </c>
      <c r="V6">
        <f ca="1">IF(D6=År1,P6,SUM(O6,P6))*IFERROR(VLOOKUP(A6,[1]Tørstofindhold!A$2:B$24,2,FALSE),0)</f>
        <v>0</v>
      </c>
      <c r="W6">
        <f>J6*IFERROR(VLOOKUP(A6,[1]Tørstofindhold!A$2:B$24,2,FALSE),0)</f>
        <v>0</v>
      </c>
      <c r="X6" s="170">
        <f t="shared" ca="1" si="7"/>
        <v>0</v>
      </c>
      <c r="Y6">
        <f t="shared" ca="1" si="2"/>
        <v>0</v>
      </c>
      <c r="Z6">
        <f t="shared" ca="1" si="3"/>
        <v>0</v>
      </c>
    </row>
    <row r="7" spans="1:26" hidden="1" x14ac:dyDescent="0.55000000000000004">
      <c r="A7" s="171" t="s">
        <v>110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71">
        <f t="shared" si="0"/>
        <v>2019</v>
      </c>
      <c r="E7" t="s">
        <v>23</v>
      </c>
      <c r="F7" s="94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94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94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94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94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94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9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79">
        <f t="shared" ca="1" si="4"/>
        <v>2569317.8008686416</v>
      </c>
      <c r="O7" s="94">
        <f t="shared" si="1"/>
        <v>0</v>
      </c>
      <c r="P7" s="180">
        <f t="shared" si="5"/>
        <v>0</v>
      </c>
      <c r="Q7">
        <f>IFERROR(VLOOKUP(A7,[1]Energiindhold!$A$2:$C$11,3,FALSE),IFERROR(VLOOKUP(A7,[1]Biogasudbytte!$A$2:$B$18,2,FALSE)*[1]Energiindhold!$C$10,0))*O7</f>
        <v>0</v>
      </c>
      <c r="R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>
        <f>IFERROR(VLOOKUP(A7,[1]Biogasudbytte!$A$2:$B$18,2,FALSE)*[1]Energiindhold!$C$10,0)*J7*IFERROR(VLOOKUP(A7,Biogasanlæg!$F$3:$G$8,2,FALSE),1)</f>
        <v>0</v>
      </c>
      <c r="T7" s="170">
        <f t="shared" si="6"/>
        <v>0</v>
      </c>
      <c r="U7" s="169">
        <f>O7*IFERROR(VLOOKUP(A7,[1]Tørstofindhold!A$2:B$24,2,FALSE),0)</f>
        <v>0</v>
      </c>
      <c r="V7">
        <f>IF(D7=År1,P7,SUM(O7,P7))*IFERROR(VLOOKUP(A7,[1]Tørstofindhold!A$2:B$24,2,FALSE),0)</f>
        <v>0</v>
      </c>
      <c r="W7">
        <f>J7*IFERROR(VLOOKUP(A7,[1]Tørstofindhold!A$2:B$24,2,FALSE),0)</f>
        <v>0</v>
      </c>
      <c r="X7" s="170">
        <f t="shared" si="7"/>
        <v>0</v>
      </c>
      <c r="Y7">
        <f t="shared" ca="1" si="2"/>
        <v>0</v>
      </c>
      <c r="Z7">
        <f t="shared" ca="1" si="3"/>
        <v>1</v>
      </c>
    </row>
    <row r="8" spans="1:26" hidden="1" x14ac:dyDescent="0.55000000000000004">
      <c r="A8" s="171" t="s">
        <v>208</v>
      </c>
      <c r="B8" s="171" t="s">
        <v>230</v>
      </c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71">
        <f t="shared" si="0"/>
        <v>2019</v>
      </c>
      <c r="E8" t="s">
        <v>23</v>
      </c>
      <c r="F8" s="94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94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9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79">
        <f t="shared" si="4"/>
        <v>0</v>
      </c>
      <c r="O8" s="94">
        <f t="shared" si="1"/>
        <v>0</v>
      </c>
      <c r="P8" s="180">
        <f t="shared" si="5"/>
        <v>0</v>
      </c>
      <c r="Q8">
        <f>IFERROR(VLOOKUP(A8,[1]Energiindhold!$A$2:$C$11,3,FALSE),IFERROR(VLOOKUP(A8,[1]Biogasudbytte!$A$2:$B$18,2,FALSE)*[1]Energiindhold!$C$10,0))*O8</f>
        <v>0</v>
      </c>
      <c r="R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>
        <f>IFERROR(VLOOKUP(A8,[1]Biogasudbytte!$A$2:$B$18,2,FALSE)*[1]Energiindhold!$C$10,0)*J8*IFERROR(VLOOKUP(A8,Biogasanlæg!$F$3:$G$8,2,FALSE),1)</f>
        <v>0</v>
      </c>
      <c r="T8" s="170">
        <f t="shared" si="6"/>
        <v>0</v>
      </c>
      <c r="U8" s="169">
        <f>O8*IFERROR(VLOOKUP(A8,[1]Tørstofindhold!A$2:B$24,2,FALSE),0)</f>
        <v>0</v>
      </c>
      <c r="V8">
        <f>IF(D8=År1,P8,SUM(O8,P8))*IFERROR(VLOOKUP(A8,[1]Tørstofindhold!A$2:B$24,2,FALSE),0)</f>
        <v>0</v>
      </c>
      <c r="W8">
        <f>J8*IFERROR(VLOOKUP(A8,[1]Tørstofindhold!A$2:B$24,2,FALSE),0)</f>
        <v>0</v>
      </c>
      <c r="X8" s="170">
        <f t="shared" si="7"/>
        <v>0</v>
      </c>
      <c r="Y8">
        <f t="shared" si="2"/>
        <v>0</v>
      </c>
      <c r="Z8">
        <f t="shared" si="3"/>
        <v>0</v>
      </c>
    </row>
    <row r="9" spans="1:26" hidden="1" x14ac:dyDescent="0.55000000000000004">
      <c r="A9" t="s">
        <v>101</v>
      </c>
      <c r="B9" s="171" t="s">
        <v>222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f t="shared" si="0"/>
        <v>2019</v>
      </c>
      <c r="E9" t="s">
        <v>23</v>
      </c>
      <c r="F9" s="94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94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9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79">
        <f t="shared" si="4"/>
        <v>1198807.4305444965</v>
      </c>
      <c r="O9" s="94">
        <f t="shared" si="1"/>
        <v>1198807.4305444965</v>
      </c>
      <c r="P9" s="180">
        <f>SUM(J9,L9)</f>
        <v>671194.67155029252</v>
      </c>
      <c r="Q9">
        <f>IFERROR(VLOOKUP(A9,[1]Energiindhold!$A$2:$C$11,3,FALSE),IFERROR(VLOOKUP(A9,[1]Biogasudbytte!$A$2:$B$18,2,FALSE)*[1]Energiindhold!$C$10,0))*O9</f>
        <v>2.5822312053928456</v>
      </c>
      <c r="R9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>
        <f>IFERROR(VLOOKUP(A9,[1]Biogasudbytte!$A$2:$B$18,2,FALSE)*[1]Energiindhold!$C$10,0)*J9*IFERROR(VLOOKUP(A9,Biogasanlæg!$F$3:$G$8,2,FALSE),1)</f>
        <v>1.4457533225193302</v>
      </c>
      <c r="T9" s="170">
        <f t="shared" si="6"/>
        <v>0</v>
      </c>
      <c r="U9" s="169">
        <f>O9*IFERROR(VLOOKUP(A9,[1]Tørstofindhold!A$2:B$24,2,FALSE),0)</f>
        <v>359642.22916334897</v>
      </c>
      <c r="V9">
        <f>IF(D9=År1,P9,SUM(O9,P9))*IFERROR(VLOOKUP(A9,[1]Tørstofindhold!A$2:B$24,2,FALSE),0)</f>
        <v>201358.40146508775</v>
      </c>
      <c r="W9">
        <f>J9*IFERROR(VLOOKUP(A9,[1]Tørstofindhold!A$2:B$24,2,FALSE),0)</f>
        <v>201358.40146508775</v>
      </c>
      <c r="X9" s="170">
        <f t="shared" si="7"/>
        <v>0</v>
      </c>
      <c r="Y9">
        <f t="shared" si="2"/>
        <v>0</v>
      </c>
      <c r="Z9">
        <f t="shared" si="3"/>
        <v>1</v>
      </c>
    </row>
    <row r="10" spans="1:26" hidden="1" x14ac:dyDescent="0.55000000000000004">
      <c r="A10" t="s">
        <v>204</v>
      </c>
      <c r="B10" s="171"/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71">
        <f t="shared" si="0"/>
        <v>2019</v>
      </c>
      <c r="E10" t="s">
        <v>23</v>
      </c>
      <c r="F10" s="94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94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9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79">
        <f t="shared" si="4"/>
        <v>0</v>
      </c>
      <c r="O10" s="94">
        <f t="shared" si="1"/>
        <v>0</v>
      </c>
      <c r="P10" s="180">
        <f t="shared" si="5"/>
        <v>0</v>
      </c>
      <c r="Q10">
        <f>IFERROR(VLOOKUP(A10,[1]Energiindhold!$A$2:$C$11,3,FALSE),IFERROR(VLOOKUP(A10,[1]Biogasudbytte!$A$2:$B$18,2,FALSE)*[1]Energiindhold!$C$10,0))*O10</f>
        <v>0</v>
      </c>
      <c r="R1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>
        <f>IFERROR(VLOOKUP(A10,[1]Biogasudbytte!$A$2:$B$18,2,FALSE)*[1]Energiindhold!$C$10,0)*J10*IFERROR(VLOOKUP(A10,Biogasanlæg!$F$3:$G$8,2,FALSE),1)</f>
        <v>0</v>
      </c>
      <c r="T10" s="170">
        <f t="shared" si="6"/>
        <v>0</v>
      </c>
      <c r="U10" s="169">
        <f>O10*IFERROR(VLOOKUP(A10,[1]Tørstofindhold!A$2:B$24,2,FALSE),0)</f>
        <v>0</v>
      </c>
      <c r="V10">
        <f>IF(D10=År1,P10,SUM(O10,P10))*IFERROR(VLOOKUP(A10,[1]Tørstofindhold!A$2:B$24,2,FALSE),0)</f>
        <v>0</v>
      </c>
      <c r="W10">
        <f>J10*IFERROR(VLOOKUP(A10,[1]Tørstofindhold!A$2:B$24,2,FALSE),0)</f>
        <v>0</v>
      </c>
      <c r="X10" s="170">
        <f t="shared" si="7"/>
        <v>0</v>
      </c>
      <c r="Y10">
        <f t="shared" si="2"/>
        <v>0</v>
      </c>
      <c r="Z10">
        <f t="shared" si="3"/>
        <v>0</v>
      </c>
    </row>
    <row r="11" spans="1:26" hidden="1" x14ac:dyDescent="0.55000000000000004">
      <c r="A11" t="s">
        <v>137</v>
      </c>
      <c r="B11" s="171" t="s">
        <v>222</v>
      </c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71">
        <f t="shared" si="0"/>
        <v>2019</v>
      </c>
      <c r="E11" t="s">
        <v>23</v>
      </c>
      <c r="F11" s="94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94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9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79">
        <f t="shared" si="4"/>
        <v>0</v>
      </c>
      <c r="O11" s="94">
        <f t="shared" si="1"/>
        <v>0</v>
      </c>
      <c r="P11" s="180">
        <f t="shared" si="5"/>
        <v>4103.8061780475591</v>
      </c>
      <c r="Q11">
        <f>IFERROR(VLOOKUP(A11,[1]Energiindhold!$A$2:$C$11,3,FALSE),IFERROR(VLOOKUP(A11,[1]Biogasudbytte!$A$2:$B$18,2,FALSE)*[1]Energiindhold!$C$10,0))*O11</f>
        <v>0</v>
      </c>
      <c r="R11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>
        <f>IFERROR(VLOOKUP(A11,[1]Biogasudbytte!$A$2:$B$18,2,FALSE)*[1]Energiindhold!$C$10,0)*J11*IFERROR(VLOOKUP(A11,Biogasanlæg!$F$3:$G$8,2,FALSE),1)</f>
        <v>1.9299790074739866E-3</v>
      </c>
      <c r="T11" s="170">
        <f t="shared" si="6"/>
        <v>0</v>
      </c>
      <c r="U11" s="169">
        <f>O11*IFERROR(VLOOKUP(A11,[1]Tørstofindhold!A$2:B$24,2,FALSE),0)</f>
        <v>0</v>
      </c>
      <c r="V11">
        <f>IF(D11=År1,P11,SUM(O11,P11))*IFERROR(VLOOKUP(A11,[1]Tørstofindhold!A$2:B$24,2,FALSE),0)</f>
        <v>258.53978921699621</v>
      </c>
      <c r="W11">
        <f>J11*IFERROR(VLOOKUP(A11,[1]Tørstofindhold!A$2:B$24,2,FALSE),0)</f>
        <v>258.53978921699621</v>
      </c>
      <c r="X11" s="170">
        <f t="shared" si="7"/>
        <v>0</v>
      </c>
      <c r="Y11">
        <f t="shared" si="2"/>
        <v>0</v>
      </c>
      <c r="Z11">
        <f t="shared" si="3"/>
        <v>0</v>
      </c>
    </row>
    <row r="12" spans="1:26" x14ac:dyDescent="0.55000000000000004">
      <c r="A12" t="s">
        <v>96</v>
      </c>
      <c r="B12" s="171"/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71">
        <f t="shared" si="0"/>
        <v>2019</v>
      </c>
      <c r="E12" t="s">
        <v>23</v>
      </c>
      <c r="F12" s="94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94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9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79">
        <f t="shared" si="4"/>
        <v>151426.86140259454</v>
      </c>
      <c r="O12" s="94">
        <f t="shared" si="1"/>
        <v>0</v>
      </c>
      <c r="P12" s="180">
        <f t="shared" si="5"/>
        <v>0</v>
      </c>
      <c r="Q12">
        <f>IFERROR(VLOOKUP(A12,[1]Energiindhold!$A$2:$C$11,3,FALSE),IFERROR(VLOOKUP(A12,[1]Biogasudbytte!$A$2:$B$18,2,FALSE)*[1]Energiindhold!$C$10,0))*O12</f>
        <v>0</v>
      </c>
      <c r="R1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>
        <f>IFERROR(VLOOKUP(A12,[1]Biogasudbytte!$A$2:$B$18,2,FALSE)*[1]Energiindhold!$C$10,0)*J12*IFERROR(VLOOKUP(A12,Biogasanlæg!$F$3:$G$8,2,FALSE),1)</f>
        <v>0</v>
      </c>
      <c r="T12" s="170">
        <f t="shared" si="6"/>
        <v>0</v>
      </c>
      <c r="U12" s="169">
        <f>O12*IFERROR(VLOOKUP(A12,[1]Tørstofindhold!A$2:B$24,2,FALSE),0)</f>
        <v>0</v>
      </c>
      <c r="V12">
        <f>IF(D12=År1,P12,SUM(O12,P12))*IFERROR(VLOOKUP(A12,[1]Tørstofindhold!A$2:B$24,2,FALSE),0)</f>
        <v>0</v>
      </c>
      <c r="W12">
        <f>J12*IFERROR(VLOOKUP(A12,[1]Tørstofindhold!A$2:B$24,2,FALSE),0)</f>
        <v>0</v>
      </c>
      <c r="X12" s="170">
        <f t="shared" si="7"/>
        <v>0</v>
      </c>
      <c r="Y12">
        <f t="shared" si="2"/>
        <v>0</v>
      </c>
      <c r="Z12">
        <f t="shared" si="3"/>
        <v>1</v>
      </c>
    </row>
    <row r="13" spans="1:26" hidden="1" x14ac:dyDescent="0.55000000000000004">
      <c r="A13" t="s">
        <v>113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f t="shared" si="0"/>
        <v>2019</v>
      </c>
      <c r="E13" t="s">
        <v>23</v>
      </c>
      <c r="F13" s="94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94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9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79">
        <f t="shared" si="4"/>
        <v>887836.84200071916</v>
      </c>
      <c r="O13" s="94">
        <f t="shared" si="1"/>
        <v>0</v>
      </c>
      <c r="P13" s="180">
        <f t="shared" si="5"/>
        <v>0</v>
      </c>
      <c r="Q13">
        <f>IFERROR(VLOOKUP(A13,[1]Energiindhold!$A$2:$C$11,3,FALSE),IFERROR(VLOOKUP(A13,[1]Biogasudbytte!$A$2:$B$18,2,FALSE)*[1]Energiindhold!$C$10,0))*O13</f>
        <v>0</v>
      </c>
      <c r="R13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>
        <f>IFERROR(VLOOKUP(A13,[1]Biogasudbytte!$A$2:$B$18,2,FALSE)*[1]Energiindhold!$C$10,0)*J13*IFERROR(VLOOKUP(A13,Biogasanlæg!$F$3:$G$8,2,FALSE),1)</f>
        <v>0</v>
      </c>
      <c r="T13" s="170">
        <f t="shared" si="6"/>
        <v>0</v>
      </c>
      <c r="U13" s="169">
        <f>O13*IFERROR(VLOOKUP(A13,[1]Tørstofindhold!A$2:B$24,2,FALSE),0)</f>
        <v>0</v>
      </c>
      <c r="V13">
        <f>IF(D13=År1,P13,SUM(O13,P13))*IFERROR(VLOOKUP(A13,[1]Tørstofindhold!A$2:B$24,2,FALSE),0)</f>
        <v>0</v>
      </c>
      <c r="W13">
        <f>J13*IFERROR(VLOOKUP(A13,[1]Tørstofindhold!A$2:B$24,2,FALSE),0)</f>
        <v>0</v>
      </c>
      <c r="X13" s="170">
        <f t="shared" si="7"/>
        <v>0</v>
      </c>
      <c r="Y13">
        <f t="shared" si="2"/>
        <v>0</v>
      </c>
      <c r="Z13">
        <f t="shared" si="3"/>
        <v>1</v>
      </c>
    </row>
    <row r="14" spans="1:26" x14ac:dyDescent="0.55000000000000004">
      <c r="A14" t="s">
        <v>54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f t="shared" si="0"/>
        <v>2019</v>
      </c>
      <c r="E14" t="s">
        <v>23</v>
      </c>
      <c r="F14" s="94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94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9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79">
        <f t="shared" si="4"/>
        <v>-223604.86394482077</v>
      </c>
      <c r="O14" s="94">
        <f t="shared" si="1"/>
        <v>0</v>
      </c>
      <c r="P14" s="180">
        <f t="shared" si="5"/>
        <v>0</v>
      </c>
      <c r="Q14">
        <f>IFERROR(VLOOKUP(A14,[1]Energiindhold!$A$2:$C$11,3,FALSE),IFERROR(VLOOKUP(A14,[1]Biogasudbytte!$A$2:$B$18,2,FALSE)*[1]Energiindhold!$C$10,0))*O14</f>
        <v>0</v>
      </c>
      <c r="R14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>
        <f>IFERROR(VLOOKUP(A14,[1]Biogasudbytte!$A$2:$B$18,2,FALSE)*[1]Energiindhold!$C$10,0)*J14*IFERROR(VLOOKUP(A14,Biogasanlæg!$F$3:$G$8,2,FALSE),1)</f>
        <v>0</v>
      </c>
      <c r="T14" s="170">
        <f t="shared" si="6"/>
        <v>0</v>
      </c>
      <c r="U14" s="169">
        <f>O14*IFERROR(VLOOKUP(A14,[1]Tørstofindhold!A$2:B$24,2,FALSE),0)</f>
        <v>0</v>
      </c>
      <c r="V14">
        <f>IF(D14=År1,P14,SUM(O14,P14))*IFERROR(VLOOKUP(A14,[1]Tørstofindhold!A$2:B$24,2,FALSE),0)</f>
        <v>0</v>
      </c>
      <c r="W14">
        <f>J14*IFERROR(VLOOKUP(A14,[1]Tørstofindhold!A$2:B$24,2,FALSE),0)</f>
        <v>0</v>
      </c>
      <c r="X14" s="170">
        <f t="shared" si="7"/>
        <v>0</v>
      </c>
      <c r="Y14">
        <f t="shared" si="2"/>
        <v>1</v>
      </c>
      <c r="Z14">
        <f t="shared" si="3"/>
        <v>0</v>
      </c>
    </row>
    <row r="15" spans="1:26" hidden="1" x14ac:dyDescent="0.55000000000000004">
      <c r="A15" s="171" t="s">
        <v>158</v>
      </c>
      <c r="B15" s="171" t="s">
        <v>158</v>
      </c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71">
        <f t="shared" si="0"/>
        <v>2019</v>
      </c>
      <c r="E15" t="s">
        <v>23</v>
      </c>
      <c r="F15" s="94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94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9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79">
        <f t="shared" si="4"/>
        <v>-114193.60000000001</v>
      </c>
      <c r="O15" s="94">
        <f t="shared" si="1"/>
        <v>0</v>
      </c>
      <c r="P15" s="180">
        <f t="shared" si="5"/>
        <v>114193.60000000001</v>
      </c>
      <c r="Q15">
        <f>IFERROR(VLOOKUP(A15,[1]Energiindhold!$A$2:$C$11,3,FALSE),IFERROR(VLOOKUP(A15,[1]Biogasudbytte!$A$2:$B$18,2,FALSE)*[1]Energiindhold!$C$10,0))*O15</f>
        <v>0</v>
      </c>
      <c r="R15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>
        <f>IFERROR(VLOOKUP(A15,[1]Biogasudbytte!$A$2:$B$18,2,FALSE)*[1]Energiindhold!$C$10,0)*J15*IFERROR(VLOOKUP(A15,Biogasanlæg!$F$3:$G$8,2,FALSE),1)</f>
        <v>1.7355855896064003</v>
      </c>
      <c r="T15" s="170">
        <f t="shared" si="6"/>
        <v>0</v>
      </c>
      <c r="U15" s="169">
        <f>O15*IFERROR(VLOOKUP(A15,[1]Tørstofindhold!A$2:B$24,2,FALSE),0)</f>
        <v>0</v>
      </c>
      <c r="V15">
        <f>IF(D15=År1,P15,SUM(O15,P15))*IFERROR(VLOOKUP(A15,[1]Tørstofindhold!A$2:B$24,2,FALSE),0)</f>
        <v>102774.24</v>
      </c>
      <c r="W15">
        <f>J15*IFERROR(VLOOKUP(A15,[1]Tørstofindhold!A$2:B$24,2,FALSE),0)</f>
        <v>102774.24</v>
      </c>
      <c r="X15" s="170">
        <f t="shared" si="7"/>
        <v>0</v>
      </c>
      <c r="Y15">
        <f t="shared" si="2"/>
        <v>1</v>
      </c>
      <c r="Z15">
        <f t="shared" si="3"/>
        <v>0</v>
      </c>
    </row>
    <row r="16" spans="1:26" x14ac:dyDescent="0.55000000000000004">
      <c r="A16" s="171" t="s">
        <v>51</v>
      </c>
      <c r="B16" s="171" t="s">
        <v>224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f t="shared" ref="D16:D50" si="8">År1</f>
        <v>2019</v>
      </c>
      <c r="E16" t="s">
        <v>23</v>
      </c>
      <c r="F16" s="94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94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9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79">
        <f t="shared" ref="N16:N81" si="9">F16-SUM(G16:M16)</f>
        <v>3451069.2602304816</v>
      </c>
      <c r="O16" s="94">
        <f t="shared" si="1"/>
        <v>3451069.2602304816</v>
      </c>
      <c r="P16" s="180">
        <f t="shared" ref="P16:P81" si="10">SUM(J16,L16)</f>
        <v>75399.16825098735</v>
      </c>
      <c r="Q16">
        <f>IFERROR(VLOOKUP(A16,[1]Energiindhold!$A$2:$C$11,3,FALSE),IFERROR(VLOOKUP(A16,[1]Biogasudbytte!$A$2:$B$18,2,FALSE)*[1]Energiindhold!$C$10,0))*O16</f>
        <v>6.3495360551665581</v>
      </c>
      <c r="R16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>
        <f>IFERROR(VLOOKUP(A16,[1]Biogasudbytte!$A$2:$B$18,2,FALSE)*[1]Energiindhold!$C$10,0)*J16*IFERROR(VLOOKUP(A16,Biogasanlæg!$F$3:$G$8,2,FALSE),1)</f>
        <v>0.13872504468578536</v>
      </c>
      <c r="T16" s="170">
        <f t="shared" ref="T16:T81" si="11">R16-S16</f>
        <v>0</v>
      </c>
      <c r="U16" s="169">
        <f>O16*IFERROR(VLOOKUP(A16,[1]Tørstofindhold!A$2:B$24,2,FALSE),0)</f>
        <v>966299.39286453498</v>
      </c>
      <c r="V16">
        <f>IF(D16=År1,P16,SUM(O16,P16))*IFERROR(VLOOKUP(A16,[1]Tørstofindhold!A$2:B$24,2,FALSE),0)</f>
        <v>21111.767110276462</v>
      </c>
      <c r="W16">
        <f>J16*IFERROR(VLOOKUP(A16,[1]Tørstofindhold!A$2:B$24,2,FALSE),0)</f>
        <v>21111.767110276462</v>
      </c>
      <c r="X16" s="170">
        <f t="shared" ref="X16:X81" si="12">V16-W16</f>
        <v>0</v>
      </c>
      <c r="Y16">
        <f t="shared" si="2"/>
        <v>0</v>
      </c>
      <c r="Z16">
        <f t="shared" si="3"/>
        <v>1</v>
      </c>
    </row>
    <row r="17" spans="1:26" x14ac:dyDescent="0.55000000000000004">
      <c r="A17" s="171" t="s">
        <v>203</v>
      </c>
      <c r="B17" s="171"/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71">
        <f t="shared" si="8"/>
        <v>2019</v>
      </c>
      <c r="E17" t="s">
        <v>23</v>
      </c>
      <c r="F17" s="94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94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9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79">
        <f t="shared" si="9"/>
        <v>0</v>
      </c>
      <c r="O17" s="94">
        <f t="shared" si="1"/>
        <v>0</v>
      </c>
      <c r="P17" s="180">
        <f t="shared" si="10"/>
        <v>0</v>
      </c>
      <c r="Q17">
        <f>IFERROR(VLOOKUP(A17,[1]Energiindhold!$A$2:$C$11,3,FALSE),IFERROR(VLOOKUP(A17,[1]Biogasudbytte!$A$2:$B$18,2,FALSE)*[1]Energiindhold!$C$10,0))*O17</f>
        <v>0</v>
      </c>
      <c r="R1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>
        <f>IFERROR(VLOOKUP(A17,[1]Biogasudbytte!$A$2:$B$18,2,FALSE)*[1]Energiindhold!$C$10,0)*J17*IFERROR(VLOOKUP(A17,Biogasanlæg!$F$3:$G$8,2,FALSE),1)</f>
        <v>0</v>
      </c>
      <c r="T17" s="170">
        <f t="shared" si="11"/>
        <v>0</v>
      </c>
      <c r="U17" s="169">
        <f>O17*IFERROR(VLOOKUP(A17,[1]Tørstofindhold!A$2:B$24,2,FALSE),0)</f>
        <v>0</v>
      </c>
      <c r="V17">
        <f>IF(D17=År1,P17,SUM(O17,P17))*IFERROR(VLOOKUP(A17,[1]Tørstofindhold!A$2:B$24,2,FALSE),0)</f>
        <v>0</v>
      </c>
      <c r="W17">
        <f>J17*IFERROR(VLOOKUP(A17,[1]Tørstofindhold!A$2:B$24,2,FALSE),0)</f>
        <v>0</v>
      </c>
      <c r="X17" s="170">
        <f t="shared" si="12"/>
        <v>0</v>
      </c>
      <c r="Y17">
        <f t="shared" si="2"/>
        <v>0</v>
      </c>
      <c r="Z17">
        <f t="shared" si="3"/>
        <v>0</v>
      </c>
    </row>
    <row r="18" spans="1:26" x14ac:dyDescent="0.55000000000000004">
      <c r="A18" s="171" t="s">
        <v>6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f t="shared" si="8"/>
        <v>2019</v>
      </c>
      <c r="E18" t="s">
        <v>23</v>
      </c>
      <c r="F18" s="94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94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9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79">
        <f t="shared" si="9"/>
        <v>-76351.578443047096</v>
      </c>
      <c r="O18" s="94">
        <f t="shared" si="1"/>
        <v>0</v>
      </c>
      <c r="P18" s="180">
        <f t="shared" si="10"/>
        <v>0</v>
      </c>
      <c r="Q18">
        <f>IFERROR(VLOOKUP(A18,[1]Energiindhold!$A$2:$C$11,3,FALSE),IFERROR(VLOOKUP(A18,[1]Biogasudbytte!$A$2:$B$18,2,FALSE)*[1]Energiindhold!$C$10,0))*O18</f>
        <v>0</v>
      </c>
      <c r="R1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>
        <f>IFERROR(VLOOKUP(A18,[1]Biogasudbytte!$A$2:$B$18,2,FALSE)*[1]Energiindhold!$C$10,0)*J18*IFERROR(VLOOKUP(A18,Biogasanlæg!$F$3:$G$8,2,FALSE),1)</f>
        <v>0</v>
      </c>
      <c r="T18" s="170">
        <f t="shared" si="11"/>
        <v>0</v>
      </c>
      <c r="U18" s="169">
        <f>O18*IFERROR(VLOOKUP(A18,[1]Tørstofindhold!A$2:B$24,2,FALSE),0)</f>
        <v>0</v>
      </c>
      <c r="V18">
        <f>IF(D18=År1,P18,SUM(O18,P18))*IFERROR(VLOOKUP(A18,[1]Tørstofindhold!A$2:B$24,2,FALSE),0)</f>
        <v>0</v>
      </c>
      <c r="W18">
        <f>J18*IFERROR(VLOOKUP(A18,[1]Tørstofindhold!A$2:B$24,2,FALSE),0)</f>
        <v>0</v>
      </c>
      <c r="X18" s="170">
        <f t="shared" si="12"/>
        <v>0</v>
      </c>
      <c r="Y18">
        <f t="shared" si="2"/>
        <v>1</v>
      </c>
      <c r="Z18">
        <f t="shared" si="3"/>
        <v>0</v>
      </c>
    </row>
    <row r="19" spans="1:26" x14ac:dyDescent="0.55000000000000004">
      <c r="A19" s="171" t="s">
        <v>67</v>
      </c>
      <c r="B19" s="171" t="s">
        <v>227</v>
      </c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71">
        <f t="shared" si="8"/>
        <v>2019</v>
      </c>
      <c r="E19" t="s">
        <v>23</v>
      </c>
      <c r="F19" s="94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94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9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79">
        <f t="shared" si="9"/>
        <v>0</v>
      </c>
      <c r="O19" s="94">
        <f t="shared" si="1"/>
        <v>0</v>
      </c>
      <c r="P19" s="180">
        <f t="shared" si="10"/>
        <v>1216033.8356726633</v>
      </c>
      <c r="Q19">
        <f>IFERROR(VLOOKUP(A19,[1]Energiindhold!$A$2:$C$11,3,FALSE),IFERROR(VLOOKUP(A19,[1]Biogasudbytte!$A$2:$B$18,2,FALSE)*[1]Energiindhold!$C$10,0))*O19</f>
        <v>0</v>
      </c>
      <c r="R19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>
        <f>IFERROR(VLOOKUP(A19,[1]Biogasudbytte!$A$2:$B$18,2,FALSE)*[1]Energiindhold!$C$10,0)*J19*IFERROR(VLOOKUP(A19,Biogasanlæg!$F$3:$G$8,2,FALSE),1)</f>
        <v>0.30669735030678263</v>
      </c>
      <c r="T19" s="170">
        <f t="shared" si="11"/>
        <v>12.018877995102612</v>
      </c>
      <c r="U19" s="169">
        <f>O19*IFERROR(VLOOKUP(A19,[1]Tørstofindhold!A$2:B$24,2,FALSE),0)</f>
        <v>0</v>
      </c>
      <c r="V19">
        <f>IF(D19=År1,P19,SUM(O19,P19))*IFERROR(VLOOKUP(A19,[1]Tørstofindhold!A$2:B$24,2,FALSE),0)</f>
        <v>1033628.7603217638</v>
      </c>
      <c r="W19">
        <f>J19*IFERROR(VLOOKUP(A19,[1]Tørstofindhold!A$2:B$24,2,FALSE),0)</f>
        <v>45215.6689157937</v>
      </c>
      <c r="X19" s="170">
        <f t="shared" si="12"/>
        <v>988413.09140597016</v>
      </c>
      <c r="Y19">
        <f t="shared" si="2"/>
        <v>0</v>
      </c>
      <c r="Z19">
        <f t="shared" si="3"/>
        <v>0</v>
      </c>
    </row>
    <row r="20" spans="1:26" hidden="1" x14ac:dyDescent="0.55000000000000004">
      <c r="A20" s="171" t="s">
        <v>162</v>
      </c>
      <c r="B20" s="171" t="s">
        <v>230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f t="shared" si="8"/>
        <v>2019</v>
      </c>
      <c r="E20" t="s">
        <v>23</v>
      </c>
      <c r="F20" s="94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94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9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79">
        <f t="shared" si="9"/>
        <v>0</v>
      </c>
      <c r="O20" s="94">
        <f t="shared" si="1"/>
        <v>0</v>
      </c>
      <c r="P20" s="180">
        <f t="shared" si="10"/>
        <v>530462.48766233202</v>
      </c>
      <c r="Q20">
        <f>IFERROR(VLOOKUP(A20,[1]Energiindhold!$A$2:$C$11,3,FALSE),IFERROR(VLOOKUP(A20,[1]Biogasudbytte!$A$2:$B$18,2,FALSE)*[1]Energiindhold!$C$10,0))*O20</f>
        <v>0</v>
      </c>
      <c r="R2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>
        <f>IFERROR(VLOOKUP(A20,[1]Biogasudbytte!$A$2:$B$18,2,FALSE)*[1]Energiindhold!$C$10,0)*J20*IFERROR(VLOOKUP(A20,Biogasanlæg!$F$3:$G$8,2,FALSE),1)</f>
        <v>7.148842760000421E-5</v>
      </c>
      <c r="T20" s="170">
        <f t="shared" si="11"/>
        <v>9.4691817325671721</v>
      </c>
      <c r="U20" s="169">
        <f>O20*IFERROR(VLOOKUP(A20,[1]Tørstofindhold!A$2:B$24,2,FALSE),0)</f>
        <v>0</v>
      </c>
      <c r="V20">
        <f>IF(D20=År1,P20,SUM(O20,P20))*IFERROR(VLOOKUP(A20,[1]Tørstofindhold!A$2:B$24,2,FALSE),0)</f>
        <v>159138.74629869961</v>
      </c>
      <c r="W20">
        <f>J20*IFERROR(VLOOKUP(A20,[1]Tørstofindhold!A$2:B$24,2,FALSE),0)</f>
        <v>12.629943571231609</v>
      </c>
      <c r="X20" s="170">
        <f t="shared" si="12"/>
        <v>159126.11635512838</v>
      </c>
      <c r="Y20">
        <f t="shared" si="2"/>
        <v>0</v>
      </c>
      <c r="Z20">
        <f t="shared" si="3"/>
        <v>0</v>
      </c>
    </row>
    <row r="21" spans="1:26" hidden="1" x14ac:dyDescent="0.55000000000000004">
      <c r="A21" t="s">
        <v>159</v>
      </c>
      <c r="B21" s="171"/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71">
        <f t="shared" si="8"/>
        <v>2019</v>
      </c>
      <c r="E21" t="s">
        <v>23</v>
      </c>
      <c r="F21" s="94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94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9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79">
        <f t="shared" si="9"/>
        <v>-4828427.5390456235</v>
      </c>
      <c r="O21" s="94">
        <f t="shared" si="1"/>
        <v>0</v>
      </c>
      <c r="P21" s="180">
        <f t="shared" si="10"/>
        <v>0</v>
      </c>
      <c r="Q21">
        <f>IFERROR(VLOOKUP(A21,[1]Energiindhold!$A$2:$C$11,3,FALSE),IFERROR(VLOOKUP(A21,[1]Biogasudbytte!$A$2:$B$18,2,FALSE)*[1]Energiindhold!$C$10,0))*O21</f>
        <v>0</v>
      </c>
      <c r="R21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>
        <f>IFERROR(VLOOKUP(A21,[1]Biogasudbytte!$A$2:$B$18,2,FALSE)*[1]Energiindhold!$C$10,0)*J21*IFERROR(VLOOKUP(A21,Biogasanlæg!$F$3:$G$8,2,FALSE),1)</f>
        <v>0</v>
      </c>
      <c r="T21" s="170">
        <f t="shared" si="11"/>
        <v>0</v>
      </c>
      <c r="U21" s="169">
        <f>O21*IFERROR(VLOOKUP(A21,[1]Tørstofindhold!A$2:B$24,2,FALSE),0)</f>
        <v>0</v>
      </c>
      <c r="V21">
        <f>IF(D21=År1,P21,SUM(O21,P21))*IFERROR(VLOOKUP(A21,[1]Tørstofindhold!A$2:B$24,2,FALSE),0)</f>
        <v>0</v>
      </c>
      <c r="W21">
        <f>J21*IFERROR(VLOOKUP(A21,[1]Tørstofindhold!A$2:B$24,2,FALSE),0)</f>
        <v>0</v>
      </c>
      <c r="X21" s="170">
        <f t="shared" si="12"/>
        <v>0</v>
      </c>
      <c r="Y21">
        <f t="shared" si="2"/>
        <v>1</v>
      </c>
      <c r="Z21">
        <f t="shared" si="3"/>
        <v>0</v>
      </c>
    </row>
    <row r="22" spans="1:26" hidden="1" x14ac:dyDescent="0.55000000000000004">
      <c r="A22" s="171" t="s">
        <v>103</v>
      </c>
      <c r="B22" s="171" t="s">
        <v>230</v>
      </c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71">
        <f t="shared" si="8"/>
        <v>2019</v>
      </c>
      <c r="E22" t="s">
        <v>23</v>
      </c>
      <c r="F22" s="94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94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9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79">
        <f t="shared" si="9"/>
        <v>-203061.53166372905</v>
      </c>
      <c r="O22" s="94">
        <f t="shared" si="1"/>
        <v>0</v>
      </c>
      <c r="P22" s="180">
        <f t="shared" si="10"/>
        <v>716103.75203569303</v>
      </c>
      <c r="Q22">
        <f>IFERROR(VLOOKUP(A22,[1]Energiindhold!$A$2:$C$11,3,FALSE),IFERROR(VLOOKUP(A22,[1]Biogasudbytte!$A$2:$B$18,2,FALSE)*[1]Energiindhold!$C$10,0))*O22</f>
        <v>0</v>
      </c>
      <c r="R2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>
        <f>IFERROR(VLOOKUP(A22,[1]Biogasudbytte!$A$2:$B$18,2,FALSE)*[1]Energiindhold!$C$10,0)*J22*IFERROR(VLOOKUP(A22,Biogasanlæg!$F$3:$G$8,2,FALSE),1)</f>
        <v>2.637525053399659</v>
      </c>
      <c r="T22" s="170">
        <f t="shared" si="11"/>
        <v>0</v>
      </c>
      <c r="U22" s="169">
        <f>O22*IFERROR(VLOOKUP(A22,[1]Tørstofindhold!A$2:B$24,2,FALSE),0)</f>
        <v>0</v>
      </c>
      <c r="V22">
        <f>IF(D22=År1,P22,SUM(O22,P22))*IFERROR(VLOOKUP(A22,[1]Tørstofindhold!A$2:B$24,2,FALSE),0)</f>
        <v>300763.57585499104</v>
      </c>
      <c r="W22">
        <f>J22*IFERROR(VLOOKUP(A22,[1]Tørstofindhold!A$2:B$24,2,FALSE),0)</f>
        <v>300763.57585499104</v>
      </c>
      <c r="X22" s="170">
        <f t="shared" si="12"/>
        <v>0</v>
      </c>
      <c r="Y22">
        <f t="shared" si="2"/>
        <v>1</v>
      </c>
      <c r="Z22">
        <f t="shared" si="3"/>
        <v>0</v>
      </c>
    </row>
    <row r="23" spans="1:26" hidden="1" x14ac:dyDescent="0.55000000000000004">
      <c r="A23" s="171" t="s">
        <v>56</v>
      </c>
      <c r="B23" s="171"/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71">
        <f t="shared" si="8"/>
        <v>2019</v>
      </c>
      <c r="E23" t="s">
        <v>23</v>
      </c>
      <c r="F23" s="94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94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9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79">
        <f t="shared" si="9"/>
        <v>766472.09789043549</v>
      </c>
      <c r="O23" s="94">
        <f t="shared" si="1"/>
        <v>0</v>
      </c>
      <c r="P23" s="180">
        <f t="shared" si="10"/>
        <v>0</v>
      </c>
      <c r="Q23">
        <f>IFERROR(VLOOKUP(A23,[1]Energiindhold!$A$2:$C$11,3,FALSE),IFERROR(VLOOKUP(A23,[1]Biogasudbytte!$A$2:$B$18,2,FALSE)*[1]Energiindhold!$C$10,0))*O23</f>
        <v>0</v>
      </c>
      <c r="R23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>
        <f>IFERROR(VLOOKUP(A23,[1]Biogasudbytte!$A$2:$B$18,2,FALSE)*[1]Energiindhold!$C$10,0)*J23*IFERROR(VLOOKUP(A23,Biogasanlæg!$F$3:$G$8,2,FALSE),1)</f>
        <v>0</v>
      </c>
      <c r="T23" s="170">
        <f t="shared" si="11"/>
        <v>0</v>
      </c>
      <c r="U23" s="169">
        <f>O23*IFERROR(VLOOKUP(A23,[1]Tørstofindhold!A$2:B$24,2,FALSE),0)</f>
        <v>0</v>
      </c>
      <c r="V23">
        <f>IF(D23=År1,P23,SUM(O23,P23))*IFERROR(VLOOKUP(A23,[1]Tørstofindhold!A$2:B$24,2,FALSE),0)</f>
        <v>0</v>
      </c>
      <c r="W23">
        <f>J23*IFERROR(VLOOKUP(A23,[1]Tørstofindhold!A$2:B$24,2,FALSE),0)</f>
        <v>0</v>
      </c>
      <c r="X23" s="170">
        <f t="shared" si="12"/>
        <v>0</v>
      </c>
      <c r="Y23">
        <f t="shared" si="2"/>
        <v>0</v>
      </c>
      <c r="Z23">
        <f t="shared" si="3"/>
        <v>1</v>
      </c>
    </row>
    <row r="24" spans="1:26" x14ac:dyDescent="0.55000000000000004">
      <c r="A24" s="171" t="s">
        <v>12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f t="shared" si="8"/>
        <v>2019</v>
      </c>
      <c r="E24" t="s">
        <v>23</v>
      </c>
      <c r="F24" s="94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94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9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79">
        <f t="shared" si="9"/>
        <v>2027113.3294623662</v>
      </c>
      <c r="O24" s="94">
        <f t="shared" si="1"/>
        <v>0</v>
      </c>
      <c r="P24" s="180">
        <f t="shared" si="10"/>
        <v>0</v>
      </c>
      <c r="Q24">
        <f>IFERROR(VLOOKUP(A24,[1]Energiindhold!$A$2:$C$11,3,FALSE),IFERROR(VLOOKUP(A24,[1]Biogasudbytte!$A$2:$B$18,2,FALSE)*[1]Energiindhold!$C$10,0))*O24</f>
        <v>0</v>
      </c>
      <c r="R24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>
        <f>IFERROR(VLOOKUP(A24,[1]Biogasudbytte!$A$2:$B$18,2,FALSE)*[1]Energiindhold!$C$10,0)*J24*IFERROR(VLOOKUP(A24,Biogasanlæg!$F$3:$G$8,2,FALSE),1)</f>
        <v>0</v>
      </c>
      <c r="T24" s="170">
        <f t="shared" si="11"/>
        <v>0</v>
      </c>
      <c r="U24" s="169">
        <f>O24*IFERROR(VLOOKUP(A24,[1]Tørstofindhold!A$2:B$24,2,FALSE),0)</f>
        <v>0</v>
      </c>
      <c r="V24">
        <f>IF(D24=År1,P24,SUM(O24,P24))*IFERROR(VLOOKUP(A24,[1]Tørstofindhold!A$2:B$24,2,FALSE),0)</f>
        <v>0</v>
      </c>
      <c r="W24">
        <f>J24*IFERROR(VLOOKUP(A24,[1]Tørstofindhold!A$2:B$24,2,FALSE),0)</f>
        <v>0</v>
      </c>
      <c r="X24" s="170">
        <f t="shared" si="12"/>
        <v>0</v>
      </c>
      <c r="Y24">
        <f t="shared" si="2"/>
        <v>0</v>
      </c>
      <c r="Z24">
        <f t="shared" si="3"/>
        <v>1</v>
      </c>
    </row>
    <row r="25" spans="1:26" x14ac:dyDescent="0.55000000000000004">
      <c r="A25" s="171" t="s">
        <v>48</v>
      </c>
      <c r="B25" s="171" t="s">
        <v>227</v>
      </c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71">
        <f t="shared" si="8"/>
        <v>2019</v>
      </c>
      <c r="E25" t="s">
        <v>23</v>
      </c>
      <c r="F25" s="94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94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9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79">
        <f t="shared" si="9"/>
        <v>675046.7637937516</v>
      </c>
      <c r="O25" s="94">
        <f t="shared" si="1"/>
        <v>675046.7637937516</v>
      </c>
      <c r="P25" s="180">
        <f t="shared" si="10"/>
        <v>2843.3935258054057</v>
      </c>
      <c r="Q25">
        <f>IFERROR(VLOOKUP(A25,[1]Energiindhold!$A$2:$C$11,3,FALSE),IFERROR(VLOOKUP(A25,[1]Biogasudbytte!$A$2:$B$18,2,FALSE)*[1]Energiindhold!$C$10,0))*O25</f>
        <v>2.3119406594466687</v>
      </c>
      <c r="R25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>
        <f>IFERROR(VLOOKUP(A25,[1]Biogasudbytte!$A$2:$B$18,2,FALSE)*[1]Energiindhold!$C$10,0)*J25*IFERROR(VLOOKUP(A25,Biogasanlæg!$F$3:$G$8,2,FALSE),1)</f>
        <v>9.7382247507899044E-3</v>
      </c>
      <c r="T25" s="170">
        <f t="shared" si="11"/>
        <v>0</v>
      </c>
      <c r="U25" s="169">
        <f>O25*IFERROR(VLOOKUP(A25,[1]Tørstofindhold!A$2:B$24,2,FALSE),0)</f>
        <v>209264.496776063</v>
      </c>
      <c r="V25">
        <f>IF(D25=År1,P25,SUM(O25,P25))*IFERROR(VLOOKUP(A25,[1]Tørstofindhold!A$2:B$24,2,FALSE),0)</f>
        <v>881.45199299967578</v>
      </c>
      <c r="W25">
        <f>J25*IFERROR(VLOOKUP(A25,[1]Tørstofindhold!A$2:B$24,2,FALSE),0)</f>
        <v>881.45199299967578</v>
      </c>
      <c r="X25" s="170">
        <f t="shared" si="12"/>
        <v>0</v>
      </c>
      <c r="Y25">
        <f t="shared" si="2"/>
        <v>0</v>
      </c>
      <c r="Z25">
        <f t="shared" si="3"/>
        <v>1</v>
      </c>
    </row>
    <row r="26" spans="1:26" hidden="1" x14ac:dyDescent="0.55000000000000004">
      <c r="A26" s="171" t="s">
        <v>115</v>
      </c>
      <c r="B26" s="171"/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71">
        <f t="shared" si="8"/>
        <v>2019</v>
      </c>
      <c r="E26" t="s">
        <v>23</v>
      </c>
      <c r="F26" s="94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94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94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94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94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94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9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79">
        <f t="shared" ca="1" si="9"/>
        <v>-569996.93502990273</v>
      </c>
      <c r="O26" s="94">
        <f t="shared" si="1"/>
        <v>0</v>
      </c>
      <c r="P26" s="180">
        <f t="shared" si="10"/>
        <v>0</v>
      </c>
      <c r="Q26">
        <f>IFERROR(VLOOKUP(A26,[1]Energiindhold!$A$2:$C$11,3,FALSE),IFERROR(VLOOKUP(A26,[1]Biogasudbytte!$A$2:$B$18,2,FALSE)*[1]Energiindhold!$C$10,0))*O26</f>
        <v>0</v>
      </c>
      <c r="R26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>
        <f>IFERROR(VLOOKUP(A26,[1]Biogasudbytte!$A$2:$B$18,2,FALSE)*[1]Energiindhold!$C$10,0)*J26*IFERROR(VLOOKUP(A26,Biogasanlæg!$F$3:$G$8,2,FALSE),1)</f>
        <v>0</v>
      </c>
      <c r="T26" s="170">
        <f t="shared" si="11"/>
        <v>0</v>
      </c>
      <c r="U26" s="169">
        <f>O26*IFERROR(VLOOKUP(A26,[1]Tørstofindhold!A$2:B$24,2,FALSE),0)</f>
        <v>0</v>
      </c>
      <c r="V26">
        <f>IF(D26=År1,P26,SUM(O26,P26))*IFERROR(VLOOKUP(A26,[1]Tørstofindhold!A$2:B$24,2,FALSE),0)</f>
        <v>0</v>
      </c>
      <c r="W26">
        <f>J26*IFERROR(VLOOKUP(A26,[1]Tørstofindhold!A$2:B$24,2,FALSE),0)</f>
        <v>0</v>
      </c>
      <c r="X26" s="170">
        <f t="shared" si="12"/>
        <v>0</v>
      </c>
      <c r="Y26">
        <f t="shared" ca="1" si="2"/>
        <v>1</v>
      </c>
      <c r="Z26">
        <f t="shared" ca="1" si="3"/>
        <v>0</v>
      </c>
    </row>
    <row r="27" spans="1:26" hidden="1" x14ac:dyDescent="0.55000000000000004">
      <c r="A27" s="171" t="s">
        <v>136</v>
      </c>
      <c r="B27" s="171" t="s">
        <v>222</v>
      </c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71">
        <f t="shared" si="8"/>
        <v>2019</v>
      </c>
      <c r="E27" t="s">
        <v>23</v>
      </c>
      <c r="F27" s="94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94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9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79">
        <f t="shared" si="9"/>
        <v>0</v>
      </c>
      <c r="O27" s="94">
        <f t="shared" si="1"/>
        <v>0</v>
      </c>
      <c r="P27" s="180">
        <f t="shared" si="10"/>
        <v>4066864.6068164087</v>
      </c>
      <c r="Q27">
        <f>IFERROR(VLOOKUP(A27,[1]Energiindhold!$A$2:$C$11,3,FALSE),IFERROR(VLOOKUP(A27,[1]Biogasudbytte!$A$2:$B$18,2,FALSE)*[1]Energiindhold!$C$10,0))*O27</f>
        <v>0</v>
      </c>
      <c r="R2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>
        <f>IFERROR(VLOOKUP(A27,[1]Biogasudbytte!$A$2:$B$18,2,FALSE)*[1]Energiindhold!$C$10,0)*J27*IFERROR(VLOOKUP(A27,Biogasanlæg!$F$3:$G$8,2,FALSE),1)</f>
        <v>2.0586061953243981</v>
      </c>
      <c r="T27" s="170">
        <f t="shared" si="11"/>
        <v>0</v>
      </c>
      <c r="U27" s="169">
        <f>O27*IFERROR(VLOOKUP(A27,[1]Tørstofindhold!A$2:B$24,2,FALSE),0)</f>
        <v>0</v>
      </c>
      <c r="V27">
        <f>IF(D27=År1,P27,SUM(O27,P27))*IFERROR(VLOOKUP(A27,[1]Tørstofindhold!A$2:B$24,2,FALSE),0)</f>
        <v>309081.71011804708</v>
      </c>
      <c r="W27">
        <f>J27*IFERROR(VLOOKUP(A27,[1]Tørstofindhold!A$2:B$24,2,FALSE),0)</f>
        <v>309081.71011804708</v>
      </c>
      <c r="X27" s="170">
        <f t="shared" si="12"/>
        <v>0</v>
      </c>
      <c r="Y27">
        <f t="shared" si="2"/>
        <v>0</v>
      </c>
      <c r="Z27">
        <f t="shared" si="3"/>
        <v>0</v>
      </c>
    </row>
    <row r="28" spans="1:26" hidden="1" x14ac:dyDescent="0.55000000000000004">
      <c r="A28" s="171" t="s">
        <v>108</v>
      </c>
      <c r="B28" s="171"/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71">
        <f t="shared" si="8"/>
        <v>2019</v>
      </c>
      <c r="E28" t="s">
        <v>23</v>
      </c>
      <c r="F28" s="94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94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9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79">
        <f t="shared" si="9"/>
        <v>122443.54553678865</v>
      </c>
      <c r="O28" s="94">
        <f t="shared" si="1"/>
        <v>0</v>
      </c>
      <c r="P28" s="180">
        <f t="shared" si="10"/>
        <v>0</v>
      </c>
      <c r="Q28">
        <f>IFERROR(VLOOKUP(A28,[1]Energiindhold!$A$2:$C$11,3,FALSE),IFERROR(VLOOKUP(A28,[1]Biogasudbytte!$A$2:$B$18,2,FALSE)*[1]Energiindhold!$C$10,0))*O28</f>
        <v>0</v>
      </c>
      <c r="R2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>
        <f>IFERROR(VLOOKUP(A28,[1]Biogasudbytte!$A$2:$B$18,2,FALSE)*[1]Energiindhold!$C$10,0)*J28*IFERROR(VLOOKUP(A28,Biogasanlæg!$F$3:$G$8,2,FALSE),1)</f>
        <v>0</v>
      </c>
      <c r="T28" s="170">
        <f t="shared" si="11"/>
        <v>0</v>
      </c>
      <c r="U28" s="169">
        <f>O28*IFERROR(VLOOKUP(A28,[1]Tørstofindhold!A$2:B$24,2,FALSE),0)</f>
        <v>0</v>
      </c>
      <c r="V28">
        <f>IF(D28=År1,P28,SUM(O28,P28))*IFERROR(VLOOKUP(A28,[1]Tørstofindhold!A$2:B$24,2,FALSE),0)</f>
        <v>0</v>
      </c>
      <c r="W28">
        <f>J28*IFERROR(VLOOKUP(A28,[1]Tørstofindhold!A$2:B$24,2,FALSE),0)</f>
        <v>0</v>
      </c>
      <c r="X28" s="170">
        <f t="shared" si="12"/>
        <v>0</v>
      </c>
      <c r="Y28">
        <f t="shared" si="2"/>
        <v>0</v>
      </c>
      <c r="Z28">
        <f t="shared" si="3"/>
        <v>1</v>
      </c>
    </row>
    <row r="29" spans="1:26" x14ac:dyDescent="0.55000000000000004">
      <c r="A29" t="s">
        <v>53</v>
      </c>
      <c r="B29" s="171" t="s">
        <v>224</v>
      </c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71">
        <f t="shared" si="8"/>
        <v>2019</v>
      </c>
      <c r="E29" t="s">
        <v>23</v>
      </c>
      <c r="F29" s="94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94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9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79">
        <f t="shared" si="9"/>
        <v>1618746.6633055378</v>
      </c>
      <c r="O29" s="94">
        <f t="shared" si="1"/>
        <v>1274488.0820395502</v>
      </c>
      <c r="P29" s="180">
        <f t="shared" si="10"/>
        <v>314874.94627501385</v>
      </c>
      <c r="Q29">
        <f>IFERROR(VLOOKUP(A29,[1]Energiindhold!$A$2:$C$11,3,FALSE),IFERROR(VLOOKUP(A29,[1]Biogasudbytte!$A$2:$B$18,2,FALSE)*[1]Energiindhold!$C$10,0))*O29</f>
        <v>4.575412214521986</v>
      </c>
      <c r="R29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>
        <f>IFERROR(VLOOKUP(A29,[1]Biogasudbytte!$A$2:$B$18,2,FALSE)*[1]Energiindhold!$C$10,0)*J29*IFERROR(VLOOKUP(A29,Biogasanlæg!$F$3:$G$8,2,FALSE),1)</f>
        <v>1.1304010571272998</v>
      </c>
      <c r="T29" s="170">
        <f t="shared" si="11"/>
        <v>0</v>
      </c>
      <c r="U29" s="169">
        <f>O29*IFERROR(VLOOKUP(A29,[1]Tørstofindhold!A$2:B$24,2,FALSE),0)</f>
        <v>382346.42461186502</v>
      </c>
      <c r="V29">
        <f>IF(D29=År1,P29,SUM(O29,P29))*IFERROR(VLOOKUP(A29,[1]Tørstofindhold!A$2:B$24,2,FALSE),0)</f>
        <v>94462.483882504152</v>
      </c>
      <c r="W29">
        <f>J29*IFERROR(VLOOKUP(A29,[1]Tørstofindhold!A$2:B$24,2,FALSE),0)</f>
        <v>94462.483882504152</v>
      </c>
      <c r="X29" s="170">
        <f t="shared" si="12"/>
        <v>0</v>
      </c>
      <c r="Y29">
        <f t="shared" si="2"/>
        <v>0</v>
      </c>
      <c r="Z29">
        <f t="shared" si="3"/>
        <v>1</v>
      </c>
    </row>
    <row r="30" spans="1:26" x14ac:dyDescent="0.55000000000000004">
      <c r="A30" s="171" t="s">
        <v>116</v>
      </c>
      <c r="B30" s="171"/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71">
        <f t="shared" si="8"/>
        <v>2019</v>
      </c>
      <c r="E30" t="s">
        <v>23</v>
      </c>
      <c r="F30" s="94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94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9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79">
        <f t="shared" si="9"/>
        <v>2703717.1158706988</v>
      </c>
      <c r="O30" s="94">
        <f t="shared" si="1"/>
        <v>0</v>
      </c>
      <c r="P30" s="180">
        <f t="shared" si="10"/>
        <v>0</v>
      </c>
      <c r="Q30">
        <f>IFERROR(VLOOKUP(A30,[1]Energiindhold!$A$2:$C$11,3,FALSE),IFERROR(VLOOKUP(A30,[1]Biogasudbytte!$A$2:$B$18,2,FALSE)*[1]Energiindhold!$C$10,0))*O30</f>
        <v>0</v>
      </c>
      <c r="R3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>
        <f>IFERROR(VLOOKUP(A30,[1]Biogasudbytte!$A$2:$B$18,2,FALSE)*[1]Energiindhold!$C$10,0)*J30*IFERROR(VLOOKUP(A30,Biogasanlæg!$F$3:$G$8,2,FALSE),1)</f>
        <v>0</v>
      </c>
      <c r="T30" s="170">
        <f t="shared" si="11"/>
        <v>0</v>
      </c>
      <c r="U30" s="169">
        <f>O30*IFERROR(VLOOKUP(A30,[1]Tørstofindhold!A$2:B$24,2,FALSE),0)</f>
        <v>0</v>
      </c>
      <c r="V30">
        <f>IF(D30=År1,P30,SUM(O30,P30))*IFERROR(VLOOKUP(A30,[1]Tørstofindhold!A$2:B$24,2,FALSE),0)</f>
        <v>0</v>
      </c>
      <c r="W30">
        <f>J30*IFERROR(VLOOKUP(A30,[1]Tørstofindhold!A$2:B$24,2,FALSE),0)</f>
        <v>0</v>
      </c>
      <c r="X30" s="170">
        <f t="shared" si="12"/>
        <v>0</v>
      </c>
      <c r="Y30">
        <f t="shared" si="2"/>
        <v>0</v>
      </c>
      <c r="Z30">
        <f t="shared" si="3"/>
        <v>1</v>
      </c>
    </row>
    <row r="31" spans="1:26" x14ac:dyDescent="0.55000000000000004">
      <c r="A31" s="171" t="s">
        <v>106</v>
      </c>
      <c r="B31" s="171" t="s">
        <v>226</v>
      </c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71">
        <f t="shared" si="8"/>
        <v>2019</v>
      </c>
      <c r="E31" t="s">
        <v>23</v>
      </c>
      <c r="F31" s="94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94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9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79">
        <f t="shared" si="9"/>
        <v>878.90231344976178</v>
      </c>
      <c r="O31" s="94">
        <f t="shared" si="1"/>
        <v>878.90231344976178</v>
      </c>
      <c r="P31" s="180">
        <f t="shared" si="10"/>
        <v>0</v>
      </c>
      <c r="Q31">
        <f>IFERROR(VLOOKUP(A31,[1]Energiindhold!$A$2:$C$11,3,FALSE),IFERROR(VLOOKUP(A31,[1]Biogasudbytte!$A$2:$B$18,2,FALSE)*[1]Energiindhold!$C$10,0))*O31</f>
        <v>7.8881482632116122E-4</v>
      </c>
      <c r="R31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>
        <f>IFERROR(VLOOKUP(A31,[1]Biogasudbytte!$A$2:$B$18,2,FALSE)*[1]Energiindhold!$C$10,0)*J31*IFERROR(VLOOKUP(A31,Biogasanlæg!$F$3:$G$8,2,FALSE),1)</f>
        <v>0</v>
      </c>
      <c r="T31" s="170">
        <f t="shared" si="11"/>
        <v>0</v>
      </c>
      <c r="U31" s="169">
        <f>O31*IFERROR(VLOOKUP(A31,[1]Tørstofindhold!A$2:B$24,2,FALSE),0)</f>
        <v>131.83534701746427</v>
      </c>
      <c r="V31">
        <f>IF(D31=År1,P31,SUM(O31,P31))*IFERROR(VLOOKUP(A31,[1]Tørstofindhold!A$2:B$24,2,FALSE),0)</f>
        <v>0</v>
      </c>
      <c r="W31">
        <f>J31*IFERROR(VLOOKUP(A31,[1]Tørstofindhold!A$2:B$24,2,FALSE),0)</f>
        <v>0</v>
      </c>
      <c r="X31" s="170">
        <f t="shared" si="12"/>
        <v>0</v>
      </c>
      <c r="Y31">
        <f t="shared" si="2"/>
        <v>0</v>
      </c>
      <c r="Z31">
        <f t="shared" si="3"/>
        <v>1</v>
      </c>
    </row>
    <row r="32" spans="1:26" x14ac:dyDescent="0.55000000000000004">
      <c r="A32" s="171" t="s">
        <v>14</v>
      </c>
      <c r="B32" s="171"/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71">
        <f t="shared" si="8"/>
        <v>2019</v>
      </c>
      <c r="E32" t="s">
        <v>23</v>
      </c>
      <c r="F32" s="94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94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9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79">
        <f t="shared" si="9"/>
        <v>50014.542046090508</v>
      </c>
      <c r="O32" s="94">
        <f t="shared" si="1"/>
        <v>0</v>
      </c>
      <c r="P32" s="180">
        <f t="shared" si="10"/>
        <v>0</v>
      </c>
      <c r="Q32">
        <f>IFERROR(VLOOKUP(A32,[1]Energiindhold!$A$2:$C$11,3,FALSE),IFERROR(VLOOKUP(A32,[1]Biogasudbytte!$A$2:$B$18,2,FALSE)*[1]Energiindhold!$C$10,0))*O32</f>
        <v>0</v>
      </c>
      <c r="R3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>
        <f>IFERROR(VLOOKUP(A32,[1]Biogasudbytte!$A$2:$B$18,2,FALSE)*[1]Energiindhold!$C$10,0)*J32*IFERROR(VLOOKUP(A32,Biogasanlæg!$F$3:$G$8,2,FALSE),1)</f>
        <v>0</v>
      </c>
      <c r="T32" s="170">
        <f t="shared" si="11"/>
        <v>0</v>
      </c>
      <c r="U32" s="169">
        <f>O32*IFERROR(VLOOKUP(A32,[1]Tørstofindhold!A$2:B$24,2,FALSE),0)</f>
        <v>0</v>
      </c>
      <c r="V32">
        <f>IF(D32=År1,P32,SUM(O32,P32))*IFERROR(VLOOKUP(A32,[1]Tørstofindhold!A$2:B$24,2,FALSE),0)</f>
        <v>0</v>
      </c>
      <c r="W32">
        <f>J32*IFERROR(VLOOKUP(A32,[1]Tørstofindhold!A$2:B$24,2,FALSE),0)</f>
        <v>0</v>
      </c>
      <c r="X32" s="170">
        <f t="shared" si="12"/>
        <v>0</v>
      </c>
      <c r="Y32">
        <f t="shared" si="2"/>
        <v>0</v>
      </c>
      <c r="Z32">
        <f t="shared" si="3"/>
        <v>1</v>
      </c>
    </row>
    <row r="33" spans="1:26" hidden="1" x14ac:dyDescent="0.55000000000000004">
      <c r="A33" s="171" t="s">
        <v>55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f t="shared" si="8"/>
        <v>2019</v>
      </c>
      <c r="E33" t="s">
        <v>23</v>
      </c>
      <c r="F33" s="94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94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9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79">
        <f t="shared" si="9"/>
        <v>1610618.3345669576</v>
      </c>
      <c r="O33" s="94">
        <f t="shared" si="1"/>
        <v>0</v>
      </c>
      <c r="P33" s="180">
        <f t="shared" si="10"/>
        <v>0</v>
      </c>
      <c r="Q33">
        <f>IFERROR(VLOOKUP(A33,[1]Energiindhold!$A$2:$C$11,3,FALSE),IFERROR(VLOOKUP(A33,[1]Biogasudbytte!$A$2:$B$18,2,FALSE)*[1]Energiindhold!$C$10,0))*O33</f>
        <v>0</v>
      </c>
      <c r="R33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>
        <f>IFERROR(VLOOKUP(A33,[1]Biogasudbytte!$A$2:$B$18,2,FALSE)*[1]Energiindhold!$C$10,0)*J33*IFERROR(VLOOKUP(A33,Biogasanlæg!$F$3:$G$8,2,FALSE),1)</f>
        <v>0</v>
      </c>
      <c r="T33" s="170">
        <f t="shared" si="11"/>
        <v>0</v>
      </c>
      <c r="U33" s="169">
        <f>O33*IFERROR(VLOOKUP(A33,[1]Tørstofindhold!A$2:B$24,2,FALSE),0)</f>
        <v>0</v>
      </c>
      <c r="V33">
        <f>IF(D33=År1,P33,SUM(O33,P33))*IFERROR(VLOOKUP(A33,[1]Tørstofindhold!A$2:B$24,2,FALSE),0)</f>
        <v>0</v>
      </c>
      <c r="W33">
        <f>J33*IFERROR(VLOOKUP(A33,[1]Tørstofindhold!A$2:B$24,2,FALSE),0)</f>
        <v>0</v>
      </c>
      <c r="X33" s="170">
        <f t="shared" si="12"/>
        <v>0</v>
      </c>
      <c r="Y33">
        <f t="shared" si="2"/>
        <v>0</v>
      </c>
      <c r="Z33">
        <f t="shared" si="3"/>
        <v>1</v>
      </c>
    </row>
    <row r="34" spans="1:26" x14ac:dyDescent="0.55000000000000004">
      <c r="A34" s="171" t="s">
        <v>95</v>
      </c>
      <c r="B34" s="171" t="s">
        <v>225</v>
      </c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71">
        <f t="shared" si="8"/>
        <v>2019</v>
      </c>
      <c r="E34" t="s">
        <v>23</v>
      </c>
      <c r="F34" s="94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94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9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79">
        <f t="shared" si="9"/>
        <v>0</v>
      </c>
      <c r="O34" s="94">
        <f t="shared" si="1"/>
        <v>0</v>
      </c>
      <c r="P34" s="180">
        <f t="shared" si="10"/>
        <v>171006.78248665464</v>
      </c>
      <c r="Q34">
        <f>IFERROR(VLOOKUP(A34,[1]Energiindhold!$A$2:$C$11,3,FALSE),IFERROR(VLOOKUP(A34,[1]Biogasudbytte!$A$2:$B$18,2,FALSE)*[1]Energiindhold!$C$10,0))*O34</f>
        <v>0</v>
      </c>
      <c r="R34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>
        <f>IFERROR(VLOOKUP(A34,[1]Biogasudbytte!$A$2:$B$18,2,FALSE)*[1]Energiindhold!$C$10,0)*J34*IFERROR(VLOOKUP(A34,Biogasanlæg!$F$3:$G$8,2,FALSE),1)</f>
        <v>0</v>
      </c>
      <c r="T34" s="170">
        <f t="shared" si="11"/>
        <v>3.146524797754445</v>
      </c>
      <c r="U34" s="169">
        <f>O34*IFERROR(VLOOKUP(A34,[1]Tørstofindhold!A$2:B$24,2,FALSE),0)</f>
        <v>0</v>
      </c>
      <c r="V34">
        <f>IF(D34=År1,P34,SUM(O34,P34))*IFERROR(VLOOKUP(A34,[1]Tørstofindhold!A$2:B$24,2,FALSE),0)</f>
        <v>70967.814731961684</v>
      </c>
      <c r="W34">
        <f>J34*IFERROR(VLOOKUP(A34,[1]Tørstofindhold!A$2:B$24,2,FALSE),0)</f>
        <v>0</v>
      </c>
      <c r="X34" s="170">
        <f t="shared" si="12"/>
        <v>70967.814731961684</v>
      </c>
      <c r="Y34">
        <f t="shared" si="2"/>
        <v>0</v>
      </c>
      <c r="Z34">
        <f t="shared" si="3"/>
        <v>0</v>
      </c>
    </row>
    <row r="35" spans="1:26" hidden="1" x14ac:dyDescent="0.55000000000000004">
      <c r="A35" s="171" t="s">
        <v>306</v>
      </c>
      <c r="B35" s="171" t="s">
        <v>312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f t="shared" si="8"/>
        <v>2019</v>
      </c>
      <c r="E35" t="s">
        <v>23</v>
      </c>
      <c r="F35" s="94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94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9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79">
        <f t="shared" ref="N35:N36" si="13">F35-SUM(G35:M35)</f>
        <v>0</v>
      </c>
      <c r="O35" s="94">
        <f t="shared" si="1"/>
        <v>0</v>
      </c>
      <c r="P35" s="180">
        <f t="shared" ref="P35:P36" si="14">SUM(J35,L35)</f>
        <v>0</v>
      </c>
      <c r="Q35">
        <f>IFERROR(VLOOKUP(A35,[1]Energiindhold!$A$2:$C$11,3,FALSE),IFERROR(VLOOKUP(A35,[1]Biogasudbytte!$A$2:$B$18,2,FALSE)*[1]Energiindhold!$C$10,0))*O35</f>
        <v>0</v>
      </c>
      <c r="R35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>
        <f>IFERROR(VLOOKUP(A35,[1]Biogasudbytte!$A$2:$B$18,2,FALSE)*[1]Energiindhold!$C$10,0)*J35*IFERROR(VLOOKUP(A35,Biogasanlæg!$F$3:$G$8,2,FALSE),1)</f>
        <v>0</v>
      </c>
      <c r="T35" s="170">
        <f t="shared" ref="T35:T36" si="15">R35-S35</f>
        <v>0</v>
      </c>
      <c r="U35" s="169">
        <f>O35*IFERROR(VLOOKUP(A35,[1]Tørstofindhold!A$2:B$24,2,FALSE),0)</f>
        <v>0</v>
      </c>
      <c r="V35">
        <f>IF(D35=År1,P35,SUM(O35,P35))*IFERROR(VLOOKUP(A35,[1]Tørstofindhold!A$2:B$24,2,FALSE),0)</f>
        <v>0</v>
      </c>
      <c r="W35">
        <f>J35*IFERROR(VLOOKUP(A35,[1]Tørstofindhold!A$2:B$24,2,FALSE),0)</f>
        <v>0</v>
      </c>
      <c r="X35" s="170">
        <f t="shared" ref="X35:X36" si="16">V35-W35</f>
        <v>0</v>
      </c>
      <c r="Y35">
        <f t="shared" si="2"/>
        <v>0</v>
      </c>
      <c r="Z35">
        <f t="shared" si="3"/>
        <v>0</v>
      </c>
    </row>
    <row r="36" spans="1:26" hidden="1" x14ac:dyDescent="0.55000000000000004">
      <c r="A36" s="171" t="s">
        <v>307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f t="shared" si="8"/>
        <v>2019</v>
      </c>
      <c r="E36" t="s">
        <v>23</v>
      </c>
      <c r="F36" s="94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94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9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79">
        <f t="shared" si="13"/>
        <v>0</v>
      </c>
      <c r="O36" s="94">
        <f t="shared" si="1"/>
        <v>0</v>
      </c>
      <c r="P36" s="180">
        <f t="shared" si="14"/>
        <v>0</v>
      </c>
      <c r="Q36">
        <f>IFERROR(VLOOKUP(A36,[1]Energiindhold!$A$2:$C$11,3,FALSE),IFERROR(VLOOKUP(A36,[1]Biogasudbytte!$A$2:$B$18,2,FALSE)*[1]Energiindhold!$C$10,0))*O36</f>
        <v>0</v>
      </c>
      <c r="R36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>
        <f>IFERROR(VLOOKUP(A36,[1]Biogasudbytte!$A$2:$B$18,2,FALSE)*[1]Energiindhold!$C$10,0)*J36*IFERROR(VLOOKUP(A36,Biogasanlæg!$F$3:$G$8,2,FALSE),1)</f>
        <v>0</v>
      </c>
      <c r="T36" s="170">
        <f t="shared" si="15"/>
        <v>0</v>
      </c>
      <c r="U36" s="169">
        <f>O36*IFERROR(VLOOKUP(A36,[1]Tørstofindhold!A$2:B$24,2,FALSE),0)</f>
        <v>0</v>
      </c>
      <c r="V36">
        <f>IF(D36=År1,P36,SUM(O36,P36))*IFERROR(VLOOKUP(A36,[1]Tørstofindhold!A$2:B$24,2,FALSE),0)</f>
        <v>0</v>
      </c>
      <c r="W36">
        <f>J36*IFERROR(VLOOKUP(A36,[1]Tørstofindhold!A$2:B$24,2,FALSE),0)</f>
        <v>0</v>
      </c>
      <c r="X36" s="170">
        <f t="shared" si="16"/>
        <v>0</v>
      </c>
      <c r="Y36">
        <f t="shared" si="2"/>
        <v>0</v>
      </c>
      <c r="Z36">
        <f t="shared" si="3"/>
        <v>0</v>
      </c>
    </row>
    <row r="37" spans="1:26" hidden="1" x14ac:dyDescent="0.55000000000000004">
      <c r="A37" s="171" t="s">
        <v>117</v>
      </c>
      <c r="B37" s="171"/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71">
        <f t="shared" si="8"/>
        <v>2019</v>
      </c>
      <c r="E37" t="s">
        <v>23</v>
      </c>
      <c r="F37" s="94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94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9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79">
        <f t="shared" si="9"/>
        <v>4922001.9803787302</v>
      </c>
      <c r="O37" s="94">
        <f t="shared" si="1"/>
        <v>0</v>
      </c>
      <c r="P37" s="180">
        <f t="shared" si="10"/>
        <v>0</v>
      </c>
      <c r="Q37">
        <f>IFERROR(VLOOKUP(A37,[1]Energiindhold!$A$2:$C$11,3,FALSE),IFERROR(VLOOKUP(A37,[1]Biogasudbytte!$A$2:$B$18,2,FALSE)*[1]Energiindhold!$C$10,0))*O37</f>
        <v>0</v>
      </c>
      <c r="R3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>
        <f>IFERROR(VLOOKUP(A37,[1]Biogasudbytte!$A$2:$B$18,2,FALSE)*[1]Energiindhold!$C$10,0)*J37*IFERROR(VLOOKUP(A37,Biogasanlæg!$F$3:$G$8,2,FALSE),1)</f>
        <v>0</v>
      </c>
      <c r="T37" s="170">
        <f t="shared" si="11"/>
        <v>0</v>
      </c>
      <c r="U37" s="169">
        <f>O37*IFERROR(VLOOKUP(A37,[1]Tørstofindhold!A$2:B$24,2,FALSE),0)</f>
        <v>0</v>
      </c>
      <c r="V37">
        <f>IF(D37=År1,P37,SUM(O37,P37))*IFERROR(VLOOKUP(A37,[1]Tørstofindhold!A$2:B$24,2,FALSE),0)</f>
        <v>0</v>
      </c>
      <c r="W37">
        <f>J37*IFERROR(VLOOKUP(A37,[1]Tørstofindhold!A$2:B$24,2,FALSE),0)</f>
        <v>0</v>
      </c>
      <c r="X37" s="170">
        <f t="shared" si="12"/>
        <v>0</v>
      </c>
      <c r="Y37">
        <f t="shared" si="2"/>
        <v>0</v>
      </c>
      <c r="Z37">
        <f t="shared" si="3"/>
        <v>1</v>
      </c>
    </row>
    <row r="38" spans="1:26" x14ac:dyDescent="0.55000000000000004">
      <c r="A38" t="s">
        <v>50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f t="shared" si="8"/>
        <v>2019</v>
      </c>
      <c r="E38" t="s">
        <v>23</v>
      </c>
      <c r="F38" s="94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94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9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79">
        <f t="shared" si="9"/>
        <v>0</v>
      </c>
      <c r="O38" s="94">
        <f t="shared" si="1"/>
        <v>0</v>
      </c>
      <c r="P38" s="180">
        <f t="shared" si="10"/>
        <v>0</v>
      </c>
      <c r="Q38">
        <f>IFERROR(VLOOKUP(A38,[1]Energiindhold!$A$2:$C$11,3,FALSE),IFERROR(VLOOKUP(A38,[1]Biogasudbytte!$A$2:$B$18,2,FALSE)*[1]Energiindhold!$C$10,0))*O38</f>
        <v>0</v>
      </c>
      <c r="R3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>
        <f>IFERROR(VLOOKUP(A38,[1]Biogasudbytte!$A$2:$B$18,2,FALSE)*[1]Energiindhold!$C$10,0)*J38*IFERROR(VLOOKUP(A38,Biogasanlæg!$F$3:$G$8,2,FALSE),1)</f>
        <v>0</v>
      </c>
      <c r="T38" s="170">
        <f t="shared" si="11"/>
        <v>0</v>
      </c>
      <c r="U38" s="169">
        <f>O38*IFERROR(VLOOKUP(A38,[1]Tørstofindhold!A$2:B$24,2,FALSE),0)</f>
        <v>0</v>
      </c>
      <c r="V38">
        <f>IF(D38=År1,P38,SUM(O38,P38))*IFERROR(VLOOKUP(A38,[1]Tørstofindhold!A$2:B$24,2,FALSE),0)</f>
        <v>0</v>
      </c>
      <c r="W38">
        <f>J38*IFERROR(VLOOKUP(A38,[1]Tørstofindhold!A$2:B$24,2,FALSE),0)</f>
        <v>0</v>
      </c>
      <c r="X38" s="170">
        <f t="shared" si="12"/>
        <v>0</v>
      </c>
      <c r="Y38">
        <f t="shared" si="2"/>
        <v>0</v>
      </c>
      <c r="Z38">
        <f t="shared" si="3"/>
        <v>0</v>
      </c>
    </row>
    <row r="39" spans="1:26" x14ac:dyDescent="0.55000000000000004">
      <c r="A39" t="s">
        <v>238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f t="shared" si="8"/>
        <v>2019</v>
      </c>
      <c r="E39" t="s">
        <v>23</v>
      </c>
      <c r="F39" s="94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94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9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79">
        <f t="shared" si="9"/>
        <v>28781.895095316839</v>
      </c>
      <c r="O39" s="94">
        <f t="shared" si="1"/>
        <v>0</v>
      </c>
      <c r="P39" s="180">
        <f t="shared" si="10"/>
        <v>0</v>
      </c>
      <c r="Q39">
        <f>IFERROR(VLOOKUP(A39,[1]Energiindhold!$A$2:$C$11,3,FALSE),IFERROR(VLOOKUP(A39,[1]Biogasudbytte!$A$2:$B$18,2,FALSE)*[1]Energiindhold!$C$10,0))*O39</f>
        <v>0</v>
      </c>
      <c r="R39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>
        <f>IFERROR(VLOOKUP(A39,[1]Biogasudbytte!$A$2:$B$18,2,FALSE)*[1]Energiindhold!$C$10,0)*J39*IFERROR(VLOOKUP(A39,Biogasanlæg!$F$3:$G$8,2,FALSE),1)</f>
        <v>0</v>
      </c>
      <c r="T39" s="170">
        <f t="shared" si="11"/>
        <v>0</v>
      </c>
      <c r="U39" s="169">
        <f>O39*IFERROR(VLOOKUP(A39,[1]Tørstofindhold!A$2:B$24,2,FALSE),0)</f>
        <v>0</v>
      </c>
      <c r="V39">
        <f>IF(D39=År1,P39,SUM(O39,P39))*IFERROR(VLOOKUP(A39,[1]Tørstofindhold!A$2:B$24,2,FALSE),0)</f>
        <v>0</v>
      </c>
      <c r="W39">
        <f>J39*IFERROR(VLOOKUP(A39,[1]Tørstofindhold!A$2:B$24,2,FALSE),0)</f>
        <v>0</v>
      </c>
      <c r="X39" s="170">
        <f t="shared" si="12"/>
        <v>0</v>
      </c>
      <c r="Y39">
        <f t="shared" si="2"/>
        <v>0</v>
      </c>
      <c r="Z39">
        <f t="shared" si="3"/>
        <v>1</v>
      </c>
    </row>
    <row r="40" spans="1:26" x14ac:dyDescent="0.55000000000000004">
      <c r="A40" t="s">
        <v>231</v>
      </c>
      <c r="B40" s="171" t="s">
        <v>231</v>
      </c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71">
        <f t="shared" si="8"/>
        <v>2019</v>
      </c>
      <c r="E40" t="s">
        <v>23</v>
      </c>
      <c r="F40" s="94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94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9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79">
        <f t="shared" si="9"/>
        <v>0</v>
      </c>
      <c r="O40" s="94">
        <f t="shared" si="1"/>
        <v>0</v>
      </c>
      <c r="P40" s="180">
        <f t="shared" si="10"/>
        <v>80830.79719489353</v>
      </c>
      <c r="Q40">
        <f>IFERROR(VLOOKUP(A40,[1]Energiindhold!$A$2:$C$11,3,FALSE),IFERROR(VLOOKUP(A40,[1]Biogasudbytte!$A$2:$B$18,2,FALSE)*[1]Energiindhold!$C$10,0))*O40</f>
        <v>0</v>
      </c>
      <c r="R4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>
        <f>IFERROR(VLOOKUP(A40,[1]Biogasudbytte!$A$2:$B$18,2,FALSE)*[1]Energiindhold!$C$10,0)*J40*IFERROR(VLOOKUP(A40,Biogasanlæg!$F$3:$G$8,2,FALSE),1)</f>
        <v>0</v>
      </c>
      <c r="T40" s="170">
        <f t="shared" si="11"/>
        <v>2.8290779018212735</v>
      </c>
      <c r="U40" s="169">
        <f>O40*IFERROR(VLOOKUP(A40,[1]Tørstofindhold!A$2:B$24,2,FALSE),0)</f>
        <v>0</v>
      </c>
      <c r="V40">
        <f>IF(D40=År1,P40,SUM(O40,P40))*IFERROR(VLOOKUP(A40,[1]Tørstofindhold!A$2:B$24,2,FALSE),0)</f>
        <v>0</v>
      </c>
      <c r="W40">
        <f>J40*IFERROR(VLOOKUP(A40,[1]Tørstofindhold!A$2:B$24,2,FALSE),0)</f>
        <v>0</v>
      </c>
      <c r="X40" s="170">
        <f t="shared" si="12"/>
        <v>0</v>
      </c>
      <c r="Y40">
        <f t="shared" si="2"/>
        <v>0</v>
      </c>
      <c r="Z40">
        <f t="shared" si="3"/>
        <v>0</v>
      </c>
    </row>
    <row r="41" spans="1:26" x14ac:dyDescent="0.55000000000000004">
      <c r="A41" t="s">
        <v>52</v>
      </c>
      <c r="B41" s="171" t="s">
        <v>224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f t="shared" si="8"/>
        <v>2019</v>
      </c>
      <c r="E41" t="s">
        <v>23</v>
      </c>
      <c r="F41" s="94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94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9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79">
        <f t="shared" si="9"/>
        <v>-467792.00917977782</v>
      </c>
      <c r="O41" s="94">
        <f t="shared" si="1"/>
        <v>0</v>
      </c>
      <c r="P41" s="180">
        <f t="shared" si="10"/>
        <v>4141.9679702877811</v>
      </c>
      <c r="Q41">
        <f>IFERROR(VLOOKUP(A41,[1]Energiindhold!$A$2:$C$11,3,FALSE),IFERROR(VLOOKUP(A41,[1]Biogasudbytte!$A$2:$B$18,2,FALSE)*[1]Energiindhold!$C$10,0))*O41</f>
        <v>0</v>
      </c>
      <c r="R41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>
        <f>IFERROR(VLOOKUP(A41,[1]Biogasudbytte!$A$2:$B$18,2,FALSE)*[1]Energiindhold!$C$10,0)*J41*IFERROR(VLOOKUP(A41,Biogasanlæg!$F$3:$G$8,2,FALSE),1)</f>
        <v>1.1241466750079849E-2</v>
      </c>
      <c r="T41" s="170">
        <f t="shared" si="11"/>
        <v>0</v>
      </c>
      <c r="U41" s="169">
        <f>O41*IFERROR(VLOOKUP(A41,[1]Tørstofindhold!A$2:B$24,2,FALSE),0)</f>
        <v>0</v>
      </c>
      <c r="V41">
        <f>IF(D41=År1,P41,SUM(O41,P41))*IFERROR(VLOOKUP(A41,[1]Tørstofindhold!A$2:B$24,2,FALSE),0)</f>
        <v>828.39359405755624</v>
      </c>
      <c r="W41">
        <f>J41*IFERROR(VLOOKUP(A41,[1]Tørstofindhold!A$2:B$24,2,FALSE),0)</f>
        <v>828.39359405755624</v>
      </c>
      <c r="X41" s="170">
        <f t="shared" si="12"/>
        <v>0</v>
      </c>
      <c r="Y41">
        <f t="shared" si="2"/>
        <v>0</v>
      </c>
      <c r="Z41">
        <f t="shared" si="3"/>
        <v>1</v>
      </c>
    </row>
    <row r="42" spans="1:26" hidden="1" x14ac:dyDescent="0.55000000000000004">
      <c r="A42" t="s">
        <v>121</v>
      </c>
      <c r="B42" s="171"/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71">
        <f t="shared" si="8"/>
        <v>2019</v>
      </c>
      <c r="E42" t="s">
        <v>23</v>
      </c>
      <c r="F42" s="94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94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9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79">
        <f t="shared" si="9"/>
        <v>193830.89221723122</v>
      </c>
      <c r="O42" s="94">
        <f t="shared" si="1"/>
        <v>0</v>
      </c>
      <c r="P42" s="180">
        <f t="shared" si="10"/>
        <v>0</v>
      </c>
      <c r="Q42">
        <f>IFERROR(VLOOKUP(A42,[1]Energiindhold!$A$2:$C$11,3,FALSE),IFERROR(VLOOKUP(A42,[1]Biogasudbytte!$A$2:$B$18,2,FALSE)*[1]Energiindhold!$C$10,0))*O42</f>
        <v>0</v>
      </c>
      <c r="R4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>
        <f>IFERROR(VLOOKUP(A42,[1]Biogasudbytte!$A$2:$B$18,2,FALSE)*[1]Energiindhold!$C$10,0)*J42*IFERROR(VLOOKUP(A42,Biogasanlæg!$F$3:$G$8,2,FALSE),1)</f>
        <v>0</v>
      </c>
      <c r="T42" s="170">
        <f t="shared" si="11"/>
        <v>0</v>
      </c>
      <c r="U42" s="169">
        <f>O42*IFERROR(VLOOKUP(A42,[1]Tørstofindhold!A$2:B$24,2,FALSE),0)</f>
        <v>0</v>
      </c>
      <c r="V42">
        <f>IF(D42=År1,P42,SUM(O42,P42))*IFERROR(VLOOKUP(A42,[1]Tørstofindhold!A$2:B$24,2,FALSE),0)</f>
        <v>0</v>
      </c>
      <c r="W42">
        <f>J42*IFERROR(VLOOKUP(A42,[1]Tørstofindhold!A$2:B$24,2,FALSE),0)</f>
        <v>0</v>
      </c>
      <c r="X42" s="170">
        <f t="shared" si="12"/>
        <v>0</v>
      </c>
      <c r="Y42">
        <f t="shared" si="2"/>
        <v>0</v>
      </c>
      <c r="Z42">
        <f t="shared" si="3"/>
        <v>1</v>
      </c>
    </row>
    <row r="43" spans="1:26" hidden="1" x14ac:dyDescent="0.55000000000000004">
      <c r="A43" t="s">
        <v>107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f t="shared" si="8"/>
        <v>2019</v>
      </c>
      <c r="E43" t="s">
        <v>23</v>
      </c>
      <c r="F43" s="94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94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9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79">
        <f t="shared" si="9"/>
        <v>91860.340866184866</v>
      </c>
      <c r="O43" s="94">
        <f t="shared" si="1"/>
        <v>0</v>
      </c>
      <c r="P43" s="180">
        <f t="shared" si="10"/>
        <v>0</v>
      </c>
      <c r="Q43">
        <f>IFERROR(VLOOKUP(A43,[1]Energiindhold!$A$2:$C$11,3,FALSE),IFERROR(VLOOKUP(A43,[1]Biogasudbytte!$A$2:$B$18,2,FALSE)*[1]Energiindhold!$C$10,0))*O43</f>
        <v>0</v>
      </c>
      <c r="R43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>
        <f>IFERROR(VLOOKUP(A43,[1]Biogasudbytte!$A$2:$B$18,2,FALSE)*[1]Energiindhold!$C$10,0)*J43*IFERROR(VLOOKUP(A43,Biogasanlæg!$F$3:$G$8,2,FALSE),1)</f>
        <v>0</v>
      </c>
      <c r="T43" s="170">
        <f t="shared" si="11"/>
        <v>0</v>
      </c>
      <c r="U43" s="169">
        <f>O43*IFERROR(VLOOKUP(A43,[1]Tørstofindhold!A$2:B$24,2,FALSE),0)</f>
        <v>0</v>
      </c>
      <c r="V43">
        <f>IF(D43=År1,P43,SUM(O43,P43))*IFERROR(VLOOKUP(A43,[1]Tørstofindhold!A$2:B$24,2,FALSE),0)</f>
        <v>0</v>
      </c>
      <c r="W43">
        <f>J43*IFERROR(VLOOKUP(A43,[1]Tørstofindhold!A$2:B$24,2,FALSE),0)</f>
        <v>0</v>
      </c>
      <c r="X43" s="170">
        <f t="shared" si="12"/>
        <v>0</v>
      </c>
      <c r="Y43">
        <f t="shared" si="2"/>
        <v>0</v>
      </c>
      <c r="Z43">
        <f t="shared" si="3"/>
        <v>1</v>
      </c>
    </row>
    <row r="44" spans="1:26" hidden="1" x14ac:dyDescent="0.55000000000000004">
      <c r="A44" s="171" t="s">
        <v>140</v>
      </c>
      <c r="B44" s="171" t="s">
        <v>230</v>
      </c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71">
        <f t="shared" si="8"/>
        <v>2019</v>
      </c>
      <c r="E44" t="s">
        <v>23</v>
      </c>
      <c r="F44" s="94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94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9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79">
        <f t="shared" si="9"/>
        <v>2390013.9527756004</v>
      </c>
      <c r="O44" s="94">
        <f t="shared" si="1"/>
        <v>2390013.9527756004</v>
      </c>
      <c r="P44" s="180">
        <f t="shared" si="10"/>
        <v>1460182.5874658169</v>
      </c>
      <c r="Q44">
        <f>IFERROR(VLOOKUP(A44,[1]Energiindhold!$A$2:$C$11,3,FALSE),IFERROR(VLOOKUP(A44,[1]Biogasudbytte!$A$2:$B$18,2,FALSE)*[1]Energiindhold!$C$10,0))*O44</f>
        <v>1.1926408625745526</v>
      </c>
      <c r="R44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>
        <f>IFERROR(VLOOKUP(A44,[1]Biogasudbytte!$A$2:$B$18,2,FALSE)*[1]Energiindhold!$C$10,0)*J44*IFERROR(VLOOKUP(A44,Biogasanlæg!$F$3:$G$8,2,FALSE),1)</f>
        <v>0.72864571297131742</v>
      </c>
      <c r="T44" s="170">
        <f t="shared" si="11"/>
        <v>0</v>
      </c>
      <c r="U44" s="169">
        <f>O44*IFERROR(VLOOKUP(A44,[1]Tørstofindhold!A$2:B$24,2,FALSE),0)</f>
        <v>143400.83716653602</v>
      </c>
      <c r="V44">
        <f>IF(D44=År1,P44,SUM(O44,P44))*IFERROR(VLOOKUP(A44,[1]Tørstofindhold!A$2:B$24,2,FALSE),0)</f>
        <v>87610.955247949008</v>
      </c>
      <c r="W44">
        <f>J44*IFERROR(VLOOKUP(A44,[1]Tørstofindhold!A$2:B$24,2,FALSE),0)</f>
        <v>87610.955247949008</v>
      </c>
      <c r="X44" s="170">
        <f t="shared" si="12"/>
        <v>0</v>
      </c>
      <c r="Y44">
        <f t="shared" si="2"/>
        <v>0</v>
      </c>
      <c r="Z44">
        <f t="shared" si="3"/>
        <v>1</v>
      </c>
    </row>
    <row r="45" spans="1:26" hidden="1" x14ac:dyDescent="0.55000000000000004">
      <c r="A45" s="171" t="s">
        <v>135</v>
      </c>
      <c r="B45" s="171" t="s">
        <v>222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f t="shared" si="8"/>
        <v>2019</v>
      </c>
      <c r="E45" t="s">
        <v>23</v>
      </c>
      <c r="F45" s="94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94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9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79">
        <f t="shared" si="9"/>
        <v>0</v>
      </c>
      <c r="O45" s="94">
        <f t="shared" si="1"/>
        <v>0</v>
      </c>
      <c r="P45" s="180">
        <f t="shared" si="10"/>
        <v>2534442.072977222</v>
      </c>
      <c r="Q45">
        <f>IFERROR(VLOOKUP(A45,[1]Energiindhold!$A$2:$C$11,3,FALSE),IFERROR(VLOOKUP(A45,[1]Biogasudbytte!$A$2:$B$18,2,FALSE)*[1]Energiindhold!$C$10,0))*O45</f>
        <v>0</v>
      </c>
      <c r="R45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>
        <f>IFERROR(VLOOKUP(A45,[1]Biogasudbytte!$A$2:$B$18,2,FALSE)*[1]Energiindhold!$C$10,0)*J45*IFERROR(VLOOKUP(A45,Biogasanlæg!$F$3:$G$8,2,FALSE),1)</f>
        <v>1.0918376450385874</v>
      </c>
      <c r="T45" s="170">
        <f t="shared" si="11"/>
        <v>0</v>
      </c>
      <c r="U45" s="169">
        <f>O45*IFERROR(VLOOKUP(A45,[1]Tørstofindhold!A$2:B$24,2,FALSE),0)</f>
        <v>0</v>
      </c>
      <c r="V45">
        <f>IF(D45=År1,P45,SUM(O45,P45))*IFERROR(VLOOKUP(A45,[1]Tørstofindhold!A$2:B$24,2,FALSE),0)</f>
        <v>126722.10364886111</v>
      </c>
      <c r="W45">
        <f>J45*IFERROR(VLOOKUP(A45,[1]Tørstofindhold!A$2:B$24,2,FALSE),0)</f>
        <v>126722.10364886111</v>
      </c>
      <c r="X45" s="170">
        <f t="shared" si="12"/>
        <v>0</v>
      </c>
      <c r="Y45">
        <f t="shared" si="2"/>
        <v>0</v>
      </c>
      <c r="Z45">
        <f t="shared" si="3"/>
        <v>0</v>
      </c>
    </row>
    <row r="46" spans="1:26" x14ac:dyDescent="0.55000000000000004">
      <c r="A46" s="171" t="s">
        <v>13</v>
      </c>
      <c r="B46" s="171"/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71">
        <f t="shared" si="8"/>
        <v>2019</v>
      </c>
      <c r="E46" t="s">
        <v>23</v>
      </c>
      <c r="F46" s="94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94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9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79">
        <f t="shared" si="9"/>
        <v>1276456.3476501952</v>
      </c>
      <c r="O46" s="94">
        <f t="shared" si="1"/>
        <v>0</v>
      </c>
      <c r="P46" s="180">
        <f t="shared" si="10"/>
        <v>0</v>
      </c>
      <c r="Q46">
        <f>IFERROR(VLOOKUP(A46,[1]Energiindhold!$A$2:$C$11,3,FALSE),IFERROR(VLOOKUP(A46,[1]Biogasudbytte!$A$2:$B$18,2,FALSE)*[1]Energiindhold!$C$10,0))*O46</f>
        <v>0</v>
      </c>
      <c r="R46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>
        <f>IFERROR(VLOOKUP(A46,[1]Biogasudbytte!$A$2:$B$18,2,FALSE)*[1]Energiindhold!$C$10,0)*J46*IFERROR(VLOOKUP(A46,Biogasanlæg!$F$3:$G$8,2,FALSE),1)</f>
        <v>0</v>
      </c>
      <c r="T46" s="170">
        <f t="shared" si="11"/>
        <v>0</v>
      </c>
      <c r="U46" s="169">
        <f>O46*IFERROR(VLOOKUP(A46,[1]Tørstofindhold!A$2:B$24,2,FALSE),0)</f>
        <v>0</v>
      </c>
      <c r="V46">
        <f>IF(D46=År1,P46,SUM(O46,P46))*IFERROR(VLOOKUP(A46,[1]Tørstofindhold!A$2:B$24,2,FALSE),0)</f>
        <v>0</v>
      </c>
      <c r="W46">
        <f>J46*IFERROR(VLOOKUP(A46,[1]Tørstofindhold!A$2:B$24,2,FALSE),0)</f>
        <v>0</v>
      </c>
      <c r="X46" s="170">
        <f t="shared" si="12"/>
        <v>0</v>
      </c>
      <c r="Y46">
        <f t="shared" si="2"/>
        <v>0</v>
      </c>
      <c r="Z46">
        <f t="shared" si="3"/>
        <v>1</v>
      </c>
    </row>
    <row r="47" spans="1:26" x14ac:dyDescent="0.55000000000000004">
      <c r="A47" s="171" t="s">
        <v>99</v>
      </c>
      <c r="B47" s="171" t="s">
        <v>226</v>
      </c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71">
        <f t="shared" si="8"/>
        <v>2019</v>
      </c>
      <c r="E47" t="s">
        <v>23</v>
      </c>
      <c r="F47" s="94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94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9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79">
        <f t="shared" si="9"/>
        <v>76.5</v>
      </c>
      <c r="O47" s="94">
        <f t="shared" si="1"/>
        <v>76.5</v>
      </c>
      <c r="P47" s="180">
        <f t="shared" si="10"/>
        <v>0</v>
      </c>
      <c r="Q47">
        <f>IFERROR(VLOOKUP(A47,[1]Energiindhold!$A$2:$C$11,3,FALSE),IFERROR(VLOOKUP(A47,[1]Biogasudbytte!$A$2:$B$18,2,FALSE)*[1]Energiindhold!$C$10,0))*O47</f>
        <v>6.8658750000000004E-5</v>
      </c>
      <c r="R4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>
        <f>IFERROR(VLOOKUP(A47,[1]Biogasudbytte!$A$2:$B$18,2,FALSE)*[1]Energiindhold!$C$10,0)*J47*IFERROR(VLOOKUP(A47,Biogasanlæg!$F$3:$G$8,2,FALSE),1)</f>
        <v>0</v>
      </c>
      <c r="T47" s="170">
        <f t="shared" si="11"/>
        <v>0</v>
      </c>
      <c r="U47" s="169">
        <f>O47*IFERROR(VLOOKUP(A47,[1]Tørstofindhold!A$2:B$24,2,FALSE),0)</f>
        <v>11.475</v>
      </c>
      <c r="V47">
        <f>IF(D47=År1,P47,SUM(O47,P47))*IFERROR(VLOOKUP(A47,[1]Tørstofindhold!A$2:B$24,2,FALSE),0)</f>
        <v>0</v>
      </c>
      <c r="W47">
        <f>J47*IFERROR(VLOOKUP(A47,[1]Tørstofindhold!A$2:B$24,2,FALSE),0)</f>
        <v>0</v>
      </c>
      <c r="X47" s="170">
        <f t="shared" si="12"/>
        <v>0</v>
      </c>
      <c r="Y47">
        <f t="shared" si="2"/>
        <v>0</v>
      </c>
      <c r="Z47">
        <f t="shared" si="3"/>
        <v>1</v>
      </c>
    </row>
    <row r="48" spans="1:26" hidden="1" x14ac:dyDescent="0.55000000000000004">
      <c r="A48" s="171" t="s">
        <v>104</v>
      </c>
      <c r="B48" s="171"/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f t="shared" si="8"/>
        <v>2019</v>
      </c>
      <c r="E48" t="s">
        <v>23</v>
      </c>
      <c r="F48" s="94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94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9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79">
        <f t="shared" si="9"/>
        <v>0</v>
      </c>
      <c r="O48" s="94">
        <f t="shared" si="1"/>
        <v>0</v>
      </c>
      <c r="P48" s="180">
        <f t="shared" si="10"/>
        <v>0</v>
      </c>
      <c r="Q48">
        <f>IFERROR(VLOOKUP(A48,[1]Energiindhold!$A$2:$C$11,3,FALSE),IFERROR(VLOOKUP(A48,[1]Biogasudbytte!$A$2:$B$18,2,FALSE)*[1]Energiindhold!$C$10,0))*O48</f>
        <v>0</v>
      </c>
      <c r="R4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>
        <f>IFERROR(VLOOKUP(A48,[1]Biogasudbytte!$A$2:$B$18,2,FALSE)*[1]Energiindhold!$C$10,0)*J48*IFERROR(VLOOKUP(A48,Biogasanlæg!$F$3:$G$8,2,FALSE),1)</f>
        <v>0</v>
      </c>
      <c r="T48" s="170">
        <f t="shared" si="11"/>
        <v>0</v>
      </c>
      <c r="U48" s="169">
        <f>O48*IFERROR(VLOOKUP(A48,[1]Tørstofindhold!A$2:B$24,2,FALSE),0)</f>
        <v>0</v>
      </c>
      <c r="V48">
        <f>IF(D48=År1,P48,SUM(O48,P48))*IFERROR(VLOOKUP(A48,[1]Tørstofindhold!A$2:B$24,2,FALSE),0)</f>
        <v>0</v>
      </c>
      <c r="W48">
        <f>J48*IFERROR(VLOOKUP(A48,[1]Tørstofindhold!A$2:B$24,2,FALSE),0)</f>
        <v>0</v>
      </c>
      <c r="X48" s="170">
        <f t="shared" si="12"/>
        <v>0</v>
      </c>
      <c r="Y48">
        <f t="shared" si="2"/>
        <v>0</v>
      </c>
      <c r="Z48">
        <f t="shared" si="3"/>
        <v>0</v>
      </c>
    </row>
    <row r="49" spans="1:26" x14ac:dyDescent="0.55000000000000004">
      <c r="A49" s="171" t="s">
        <v>119</v>
      </c>
      <c r="B49" s="171" t="s">
        <v>225</v>
      </c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f t="shared" si="8"/>
        <v>2019</v>
      </c>
      <c r="E49" t="s">
        <v>23</v>
      </c>
      <c r="F49" s="94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94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9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79">
        <f t="shared" ca="1" si="9"/>
        <v>0</v>
      </c>
      <c r="O49" s="94">
        <f t="shared" ca="1" si="1"/>
        <v>0</v>
      </c>
      <c r="P49" s="180">
        <f t="shared" ca="1" si="10"/>
        <v>2328677.081002241</v>
      </c>
      <c r="Q49">
        <f ca="1">IFERROR(VLOOKUP(A49,[1]Energiindhold!$A$2:$C$11,3,FALSE),IFERROR(VLOOKUP(A49,[1]Biogasudbytte!$A$2:$B$18,2,FALSE)*[1]Energiindhold!$C$10,0))*O49</f>
        <v>0</v>
      </c>
      <c r="R49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>
        <f>IFERROR(VLOOKUP(A49,[1]Biogasudbytte!$A$2:$B$18,2,FALSE)*[1]Energiindhold!$C$10,0)*J49*IFERROR(VLOOKUP(A49,Biogasanlæg!$F$3:$G$8,2,FALSE),1)</f>
        <v>0</v>
      </c>
      <c r="T49" s="170">
        <f t="shared" ca="1" si="11"/>
        <v>33.750841721162331</v>
      </c>
      <c r="U49" s="169">
        <f ca="1">O49*IFERROR(VLOOKUP(A49,[1]Tørstofindhold!A$2:B$24,2,FALSE),0)</f>
        <v>0</v>
      </c>
      <c r="V49">
        <f ca="1">IF(D49=År1,P49,SUM(O49,P49))*IFERROR(VLOOKUP(A49,[1]Tørstofindhold!A$2:B$24,2,FALSE),0)</f>
        <v>1151724.8729790249</v>
      </c>
      <c r="W49">
        <f>J49*IFERROR(VLOOKUP(A49,[1]Tørstofindhold!A$2:B$24,2,FALSE),0)</f>
        <v>0</v>
      </c>
      <c r="X49" s="170">
        <f t="shared" ca="1" si="12"/>
        <v>1151724.8729790249</v>
      </c>
      <c r="Y49">
        <f t="shared" ca="1" si="2"/>
        <v>0</v>
      </c>
      <c r="Z49">
        <f t="shared" ca="1" si="3"/>
        <v>0</v>
      </c>
    </row>
    <row r="50" spans="1:26" x14ac:dyDescent="0.55000000000000004">
      <c r="A50" s="171" t="s">
        <v>118</v>
      </c>
      <c r="B50" s="171"/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71">
        <f t="shared" si="8"/>
        <v>2019</v>
      </c>
      <c r="E50" t="s">
        <v>23</v>
      </c>
      <c r="F50" s="94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94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9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79">
        <f t="shared" si="9"/>
        <v>0</v>
      </c>
      <c r="O50" s="94">
        <f t="shared" si="1"/>
        <v>0</v>
      </c>
      <c r="P50" s="180">
        <f t="shared" si="10"/>
        <v>0</v>
      </c>
      <c r="Q50">
        <f>IFERROR(VLOOKUP(A50,[1]Energiindhold!$A$2:$C$11,3,FALSE),IFERROR(VLOOKUP(A50,[1]Biogasudbytte!$A$2:$B$18,2,FALSE)*[1]Energiindhold!$C$10,0))*O50</f>
        <v>0</v>
      </c>
      <c r="R5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>
        <f>IFERROR(VLOOKUP(A50,[1]Biogasudbytte!$A$2:$B$18,2,FALSE)*[1]Energiindhold!$C$10,0)*J50*IFERROR(VLOOKUP(A50,Biogasanlæg!$F$3:$G$8,2,FALSE),1)</f>
        <v>0</v>
      </c>
      <c r="T50" s="170">
        <f t="shared" si="11"/>
        <v>0</v>
      </c>
      <c r="U50" s="169">
        <f>O50*IFERROR(VLOOKUP(A50,[1]Tørstofindhold!A$2:B$24,2,FALSE),0)</f>
        <v>0</v>
      </c>
      <c r="V50">
        <f>IF(D50=År1,P50,SUM(O50,P50))*IFERROR(VLOOKUP(A50,[1]Tørstofindhold!A$2:B$24,2,FALSE),0)</f>
        <v>0</v>
      </c>
      <c r="W50">
        <f>J50*IFERROR(VLOOKUP(A50,[1]Tørstofindhold!A$2:B$24,2,FALSE),0)</f>
        <v>0</v>
      </c>
      <c r="X50" s="170">
        <f t="shared" si="12"/>
        <v>0</v>
      </c>
      <c r="Y50">
        <f t="shared" ca="1" si="2"/>
        <v>0</v>
      </c>
      <c r="Z50">
        <f t="shared" ca="1" si="3"/>
        <v>0</v>
      </c>
    </row>
    <row r="51" spans="1:26" hidden="1" x14ac:dyDescent="0.55000000000000004">
      <c r="A51" s="171" t="str">
        <f t="shared" ref="A51:A82" si="17">A3</f>
        <v>Æg</v>
      </c>
      <c r="B51" s="171" t="str">
        <f t="shared" ref="B51:B82" si="18">IF(B3&lt;&gt;"",B3,"")</f>
        <v/>
      </c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f t="shared" ref="D51:D98" si="19">År2</f>
        <v>2030</v>
      </c>
      <c r="E51" t="s">
        <v>23</v>
      </c>
      <c r="F51" s="94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94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9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79">
        <f t="shared" si="9"/>
        <v>181212.16529988745</v>
      </c>
      <c r="O51" s="94">
        <f t="shared" si="1"/>
        <v>0</v>
      </c>
      <c r="P51" s="180">
        <f t="shared" si="10"/>
        <v>0</v>
      </c>
      <c r="Q51">
        <f>IFERROR(VLOOKUP(A51,[1]Energiindhold!$A$2:$C$11,3,FALSE),IFERROR(VLOOKUP(A51,[1]Biogasudbytte!$A$2:$B$18,2,FALSE)*[1]Energiindhold!$C$10,0))*O51</f>
        <v>0</v>
      </c>
      <c r="R51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>
        <f>IFERROR(VLOOKUP(A51,[1]Biogasudbytte!$A$2:$B$18,2,FALSE)*[1]Energiindhold!$C$10,0)*J51*IFERROR(VLOOKUP(A51,Biogasanlæg!$F$3:$G$8,2,FALSE),1)</f>
        <v>0</v>
      </c>
      <c r="T51" s="170">
        <f t="shared" si="11"/>
        <v>0</v>
      </c>
      <c r="U51" s="169">
        <f>O51*IFERROR(VLOOKUP(A51,[1]Tørstofindhold!A$2:B$24,2,FALSE),0)</f>
        <v>0</v>
      </c>
      <c r="V51">
        <f>IF(D51=År1,P51,SUM(O51,P51))*IFERROR(VLOOKUP(A51,[1]Tørstofindhold!A$2:B$24,2,FALSE),0)</f>
        <v>0</v>
      </c>
      <c r="W51">
        <f>J51*IFERROR(VLOOKUP(A51,[1]Tørstofindhold!A$2:B$24,2,FALSE),0)</f>
        <v>0</v>
      </c>
      <c r="X51" s="170">
        <f t="shared" si="12"/>
        <v>0</v>
      </c>
      <c r="Y51">
        <f t="shared" si="2"/>
        <v>0</v>
      </c>
      <c r="Z51">
        <f t="shared" si="3"/>
        <v>1</v>
      </c>
    </row>
    <row r="52" spans="1:26" hidden="1" x14ac:dyDescent="0.55000000000000004">
      <c r="A52" s="171" t="str">
        <f t="shared" si="17"/>
        <v>Bælgsæd</v>
      </c>
      <c r="B52" s="171" t="str">
        <f t="shared" si="18"/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 t="shared" si="19"/>
        <v>2030</v>
      </c>
      <c r="E52" t="s">
        <v>23</v>
      </c>
      <c r="F52" s="94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264281.48271181755</v>
      </c>
      <c r="G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62908.541627737373</v>
      </c>
      <c r="H52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94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9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79">
        <f t="shared" si="9"/>
        <v>157933.228346747</v>
      </c>
      <c r="O52" s="94">
        <f t="shared" si="1"/>
        <v>0</v>
      </c>
      <c r="P52" s="180">
        <f t="shared" si="10"/>
        <v>0</v>
      </c>
      <c r="Q52">
        <f>IFERROR(VLOOKUP(A52,[1]Energiindhold!$A$2:$C$11,3,FALSE),IFERROR(VLOOKUP(A52,[1]Biogasudbytte!$A$2:$B$18,2,FALSE)*[1]Energiindhold!$C$10,0))*O52</f>
        <v>0</v>
      </c>
      <c r="R5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>
        <f>IFERROR(VLOOKUP(A52,[1]Biogasudbytte!$A$2:$B$18,2,FALSE)*[1]Energiindhold!$C$10,0)*J52*IFERROR(VLOOKUP(A52,Biogasanlæg!$F$3:$G$8,2,FALSE),1)</f>
        <v>0</v>
      </c>
      <c r="T52" s="170">
        <f t="shared" si="11"/>
        <v>0</v>
      </c>
      <c r="U52" s="169">
        <f>O52*IFERROR(VLOOKUP(A52,[1]Tørstofindhold!A$2:B$24,2,FALSE),0)</f>
        <v>0</v>
      </c>
      <c r="V52">
        <f>IF(D52=År1,P52,SUM(O52,P52))*IFERROR(VLOOKUP(A52,[1]Tørstofindhold!A$2:B$24,2,FALSE),0)</f>
        <v>0</v>
      </c>
      <c r="W52">
        <f>J52*IFERROR(VLOOKUP(A52,[1]Tørstofindhold!A$2:B$24,2,FALSE),0)</f>
        <v>0</v>
      </c>
      <c r="X52" s="170">
        <f t="shared" si="12"/>
        <v>0</v>
      </c>
      <c r="Y52">
        <f t="shared" si="2"/>
        <v>0</v>
      </c>
      <c r="Z52">
        <f t="shared" si="3"/>
        <v>1</v>
      </c>
    </row>
    <row r="53" spans="1:26" hidden="1" x14ac:dyDescent="0.55000000000000004">
      <c r="A53" s="171" t="str">
        <f t="shared" si="17"/>
        <v>Bioaffald</v>
      </c>
      <c r="B53" s="171" t="str">
        <f t="shared" si="18"/>
        <v>Bionedbrydeligt affald</v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71">
        <f t="shared" si="19"/>
        <v>2030</v>
      </c>
      <c r="E53" t="s">
        <v>23</v>
      </c>
      <c r="F53" s="94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94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94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94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94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94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9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79">
        <f t="shared" ca="1" si="9"/>
        <v>0</v>
      </c>
      <c r="O53" s="94">
        <f t="shared" ca="1" si="1"/>
        <v>0</v>
      </c>
      <c r="P53" s="180">
        <f t="shared" ca="1" si="10"/>
        <v>195082.22598438186</v>
      </c>
      <c r="Q53">
        <f ca="1">IFERROR(VLOOKUP(A53,[1]Energiindhold!$A$2:$C$11,3,FALSE),IFERROR(VLOOKUP(A53,[1]Biogasudbytte!$A$2:$B$18,2,FALSE)*[1]Energiindhold!$C$10,0))*O53</f>
        <v>0</v>
      </c>
      <c r="R53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>
        <f ca="1">IFERROR(VLOOKUP(A53,[1]Biogasudbytte!$A$2:$B$18,2,FALSE)*[1]Energiindhold!$C$10,0)*J53*IFERROR(VLOOKUP(A53,Biogasanlæg!$F$3:$G$8,2,FALSE),1)</f>
        <v>0</v>
      </c>
      <c r="T53" s="170">
        <f t="shared" ca="1" si="11"/>
        <v>3.4826509179371086</v>
      </c>
      <c r="U53" s="169">
        <f ca="1">O53*IFERROR(VLOOKUP(A53,[1]Tørstofindhold!A$2:B$24,2,FALSE),0)</f>
        <v>0</v>
      </c>
      <c r="V53">
        <f ca="1">IF(D53=År1,P53,SUM(O53,P53))*IFERROR(VLOOKUP(A53,[1]Tørstofindhold!A$2:B$24,2,FALSE),0)</f>
        <v>54623.023275626925</v>
      </c>
      <c r="W53">
        <f ca="1">J53*IFERROR(VLOOKUP(A53,[1]Tørstofindhold!A$2:B$24,2,FALSE),0)</f>
        <v>0</v>
      </c>
      <c r="X53" s="170">
        <f t="shared" ca="1" si="12"/>
        <v>54623.023275626925</v>
      </c>
      <c r="Y53">
        <f t="shared" ca="1" si="2"/>
        <v>0</v>
      </c>
      <c r="Z53">
        <f t="shared" ca="1" si="3"/>
        <v>0</v>
      </c>
    </row>
    <row r="54" spans="1:26" hidden="1" x14ac:dyDescent="0.55000000000000004">
      <c r="A54" s="171" t="str">
        <f t="shared" si="17"/>
        <v>Biogas</v>
      </c>
      <c r="B54" s="171" t="str">
        <f t="shared" si="18"/>
        <v/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9"/>
        <v>2030</v>
      </c>
      <c r="E54" t="s">
        <v>23</v>
      </c>
      <c r="F54" s="94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492782535.68274039</v>
      </c>
      <c r="G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94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492782535.68274039</v>
      </c>
      <c r="M54" s="9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79">
        <f t="shared" ca="1" si="9"/>
        <v>0</v>
      </c>
      <c r="O54" s="94">
        <f t="shared" ca="1" si="1"/>
        <v>0</v>
      </c>
      <c r="P54" s="180">
        <f t="shared" ca="1" si="10"/>
        <v>492782535.68274039</v>
      </c>
      <c r="Q54">
        <f ca="1">IFERROR(VLOOKUP(A54,[1]Energiindhold!$A$2:$C$11,3,FALSE),IFERROR(VLOOKUP(A54,[1]Biogasudbytte!$A$2:$B$18,2,FALSE)*[1]Energiindhold!$C$10,0))*O54</f>
        <v>0</v>
      </c>
      <c r="R54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>
        <f>IFERROR(VLOOKUP(A54,[1]Biogasudbytte!$A$2:$B$18,2,FALSE)*[1]Energiindhold!$C$10,0)*J54*IFERROR(VLOOKUP(A54,Biogasanlæg!$F$3:$G$8,2,FALSE),1)</f>
        <v>0</v>
      </c>
      <c r="T54" s="170">
        <f t="shared" si="11"/>
        <v>0</v>
      </c>
      <c r="U54" s="169">
        <f ca="1">O54*IFERROR(VLOOKUP(A54,[1]Tørstofindhold!A$2:B$24,2,FALSE),0)</f>
        <v>0</v>
      </c>
      <c r="V54">
        <f ca="1">IF(D54=År1,P54,SUM(O54,P54))*IFERROR(VLOOKUP(A54,[1]Tørstofindhold!A$2:B$24,2,FALSE),0)</f>
        <v>0</v>
      </c>
      <c r="W54">
        <f>J54*IFERROR(VLOOKUP(A54,[1]Tørstofindhold!A$2:B$24,2,FALSE),0)</f>
        <v>0</v>
      </c>
      <c r="X54" s="170">
        <f t="shared" ca="1" si="12"/>
        <v>0</v>
      </c>
      <c r="Y54">
        <f t="shared" ca="1" si="2"/>
        <v>0</v>
      </c>
      <c r="Z54">
        <f t="shared" ca="1" si="3"/>
        <v>0</v>
      </c>
    </row>
    <row r="55" spans="1:26" hidden="1" x14ac:dyDescent="0.55000000000000004">
      <c r="A55" s="171" t="str">
        <f t="shared" si="17"/>
        <v>Biogasgylle</v>
      </c>
      <c r="B55" s="171" t="str">
        <f t="shared" si="18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71">
        <f t="shared" si="19"/>
        <v>2030</v>
      </c>
      <c r="E55" t="s">
        <v>23</v>
      </c>
      <c r="F55" s="94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23970432.839117184</v>
      </c>
      <c r="G55" s="94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94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94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94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19339631.292659696</v>
      </c>
      <c r="L55" s="94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9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79">
        <f t="shared" ca="1" si="9"/>
        <v>4630801.5464574881</v>
      </c>
      <c r="O55" s="94">
        <f t="shared" si="1"/>
        <v>0</v>
      </c>
      <c r="P55" s="180">
        <f t="shared" si="10"/>
        <v>0</v>
      </c>
      <c r="Q55">
        <f>IFERROR(VLOOKUP(A55,[1]Energiindhold!$A$2:$C$11,3,FALSE),IFERROR(VLOOKUP(A55,[1]Biogasudbytte!$A$2:$B$18,2,FALSE)*[1]Energiindhold!$C$10,0))*O55</f>
        <v>0</v>
      </c>
      <c r="R55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>
        <f>IFERROR(VLOOKUP(A55,[1]Biogasudbytte!$A$2:$B$18,2,FALSE)*[1]Energiindhold!$C$10,0)*J55*IFERROR(VLOOKUP(A55,Biogasanlæg!$F$3:$G$8,2,FALSE),1)</f>
        <v>0</v>
      </c>
      <c r="T55" s="170">
        <f t="shared" si="11"/>
        <v>0</v>
      </c>
      <c r="U55" s="169">
        <f>O55*IFERROR(VLOOKUP(A55,[1]Tørstofindhold!A$2:B$24,2,FALSE),0)</f>
        <v>0</v>
      </c>
      <c r="V55">
        <f>IF(D55=År1,P55,SUM(O55,P55))*IFERROR(VLOOKUP(A55,[1]Tørstofindhold!A$2:B$24,2,FALSE),0)</f>
        <v>0</v>
      </c>
      <c r="W55">
        <f>J55*IFERROR(VLOOKUP(A55,[1]Tørstofindhold!A$2:B$24,2,FALSE),0)</f>
        <v>0</v>
      </c>
      <c r="X55" s="170">
        <f t="shared" si="12"/>
        <v>0</v>
      </c>
      <c r="Y55">
        <f t="shared" ca="1" si="2"/>
        <v>0</v>
      </c>
      <c r="Z55">
        <f t="shared" ca="1" si="3"/>
        <v>1</v>
      </c>
    </row>
    <row r="56" spans="1:26" hidden="1" x14ac:dyDescent="0.55000000000000004">
      <c r="A56" s="171" t="str">
        <f t="shared" si="17"/>
        <v>Brun saft</v>
      </c>
      <c r="B56" s="171" t="str">
        <f t="shared" si="18"/>
        <v>Bionedbrydeligt affald</v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71">
        <f t="shared" si="19"/>
        <v>2030</v>
      </c>
      <c r="E56" t="s">
        <v>23</v>
      </c>
      <c r="F56" s="94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94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9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79">
        <f t="shared" si="9"/>
        <v>0</v>
      </c>
      <c r="O56" s="94">
        <f t="shared" si="1"/>
        <v>0</v>
      </c>
      <c r="P56" s="180">
        <f t="shared" si="10"/>
        <v>0</v>
      </c>
      <c r="Q56">
        <f>IFERROR(VLOOKUP(A56,[1]Energiindhold!$A$2:$C$11,3,FALSE),IFERROR(VLOOKUP(A56,[1]Biogasudbytte!$A$2:$B$18,2,FALSE)*[1]Energiindhold!$C$10,0))*O56</f>
        <v>0</v>
      </c>
      <c r="R56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>
        <f>IFERROR(VLOOKUP(A56,[1]Biogasudbytte!$A$2:$B$18,2,FALSE)*[1]Energiindhold!$C$10,0)*J56*IFERROR(VLOOKUP(A56,Biogasanlæg!$F$3:$G$8,2,FALSE),1)</f>
        <v>0</v>
      </c>
      <c r="T56" s="170">
        <f t="shared" si="11"/>
        <v>0</v>
      </c>
      <c r="U56" s="169">
        <f>O56*IFERROR(VLOOKUP(A56,[1]Tørstofindhold!A$2:B$24,2,FALSE),0)</f>
        <v>0</v>
      </c>
      <c r="V56">
        <f>IF(D56=År1,P56,SUM(O56,P56))*IFERROR(VLOOKUP(A56,[1]Tørstofindhold!A$2:B$24,2,FALSE),0)</f>
        <v>0</v>
      </c>
      <c r="W56">
        <f>J56*IFERROR(VLOOKUP(A56,[1]Tørstofindhold!A$2:B$24,2,FALSE),0)</f>
        <v>0</v>
      </c>
      <c r="X56" s="170">
        <f t="shared" si="12"/>
        <v>0</v>
      </c>
      <c r="Y56">
        <f t="shared" si="2"/>
        <v>0</v>
      </c>
      <c r="Z56">
        <f t="shared" si="3"/>
        <v>0</v>
      </c>
    </row>
    <row r="57" spans="1:26" hidden="1" x14ac:dyDescent="0.55000000000000004">
      <c r="A57" s="171" t="str">
        <f t="shared" si="17"/>
        <v>Dybstrøelse</v>
      </c>
      <c r="B57" s="171" t="str">
        <f t="shared" si="18"/>
        <v>Husdyrgødning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9"/>
        <v>2030</v>
      </c>
      <c r="E57" t="s">
        <v>23</v>
      </c>
      <c r="F57" s="94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2572334.3954420607</v>
      </c>
      <c r="G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1929250.7965815454</v>
      </c>
      <c r="K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243453.07671148074</v>
      </c>
      <c r="L57" s="94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9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79">
        <f t="shared" si="9"/>
        <v>399630.52214903431</v>
      </c>
      <c r="O57" s="94">
        <f t="shared" si="1"/>
        <v>399630.52214903431</v>
      </c>
      <c r="P57" s="180">
        <f t="shared" si="10"/>
        <v>1929250.7965815454</v>
      </c>
      <c r="Q57">
        <f>IFERROR(VLOOKUP(A57,[1]Energiindhold!$A$2:$C$11,3,FALSE),IFERROR(VLOOKUP(A57,[1]Biogasudbytte!$A$2:$B$18,2,FALSE)*[1]Energiindhold!$C$10,0))*O57</f>
        <v>0.86080414470901989</v>
      </c>
      <c r="R5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5.0164103605456685</v>
      </c>
      <c r="S57">
        <f>IFERROR(VLOOKUP(A57,[1]Biogasudbytte!$A$2:$B$18,2,FALSE)*[1]Energiindhold!$C$10,0)*J57*IFERROR(VLOOKUP(A57,Biogasanlæg!$F$3:$G$8,2,FALSE),1)</f>
        <v>4.1556062158366487</v>
      </c>
      <c r="T57" s="170">
        <f t="shared" si="11"/>
        <v>0.86080414470901978</v>
      </c>
      <c r="U57" s="169">
        <f>O57*IFERROR(VLOOKUP(A57,[1]Tørstofindhold!A$2:B$24,2,FALSE),0)</f>
        <v>119889.15664471028</v>
      </c>
      <c r="V57">
        <f>IF(D57=År1,P57,SUM(O57,P57))*IFERROR(VLOOKUP(A57,[1]Tørstofindhold!A$2:B$24,2,FALSE),0)</f>
        <v>698664.39561917388</v>
      </c>
      <c r="W57">
        <f>J57*IFERROR(VLOOKUP(A57,[1]Tørstofindhold!A$2:B$24,2,FALSE),0)</f>
        <v>578775.23897446354</v>
      </c>
      <c r="X57" s="170">
        <f t="shared" si="12"/>
        <v>119889.15664471034</v>
      </c>
      <c r="Y57">
        <f t="shared" si="2"/>
        <v>0</v>
      </c>
      <c r="Z57">
        <f t="shared" si="3"/>
        <v>1</v>
      </c>
    </row>
    <row r="58" spans="1:26" hidden="1" x14ac:dyDescent="0.55000000000000004">
      <c r="A58" s="171" t="str">
        <f t="shared" si="17"/>
        <v>Fiberfraktion</v>
      </c>
      <c r="B58" s="171" t="str">
        <f t="shared" si="18"/>
        <v/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71">
        <f t="shared" si="19"/>
        <v>2030</v>
      </c>
      <c r="E58" t="s">
        <v>23</v>
      </c>
      <c r="F58" s="94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94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9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79">
        <f t="shared" si="9"/>
        <v>0</v>
      </c>
      <c r="O58" s="94">
        <f t="shared" si="1"/>
        <v>0</v>
      </c>
      <c r="P58" s="180">
        <f t="shared" si="10"/>
        <v>0</v>
      </c>
      <c r="Q58">
        <f>IFERROR(VLOOKUP(A58,[1]Energiindhold!$A$2:$C$11,3,FALSE),IFERROR(VLOOKUP(A58,[1]Biogasudbytte!$A$2:$B$18,2,FALSE)*[1]Energiindhold!$C$10,0))*O58</f>
        <v>0</v>
      </c>
      <c r="R5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>
        <f>IFERROR(VLOOKUP(A58,[1]Biogasudbytte!$A$2:$B$18,2,FALSE)*[1]Energiindhold!$C$10,0)*J58*IFERROR(VLOOKUP(A58,Biogasanlæg!$F$3:$G$8,2,FALSE),1)</f>
        <v>0</v>
      </c>
      <c r="T58" s="170">
        <f t="shared" si="11"/>
        <v>0</v>
      </c>
      <c r="U58" s="169">
        <f>O58*IFERROR(VLOOKUP(A58,[1]Tørstofindhold!A$2:B$24,2,FALSE),0)</f>
        <v>0</v>
      </c>
      <c r="V58">
        <f>IF(D58=År1,P58,SUM(O58,P58))*IFERROR(VLOOKUP(A58,[1]Tørstofindhold!A$2:B$24,2,FALSE),0)</f>
        <v>0</v>
      </c>
      <c r="W58">
        <f>J58*IFERROR(VLOOKUP(A58,[1]Tørstofindhold!A$2:B$24,2,FALSE),0)</f>
        <v>0</v>
      </c>
      <c r="X58" s="170">
        <f t="shared" si="12"/>
        <v>0</v>
      </c>
      <c r="Y58">
        <f t="shared" si="2"/>
        <v>0</v>
      </c>
      <c r="Z58">
        <f t="shared" si="3"/>
        <v>0</v>
      </c>
    </row>
    <row r="59" spans="1:26" hidden="1" x14ac:dyDescent="0.55000000000000004">
      <c r="A59" s="171" t="str">
        <f t="shared" si="17"/>
        <v>Fjerkrægylle</v>
      </c>
      <c r="B59" s="171" t="str">
        <f t="shared" si="18"/>
        <v>Husdyrgødning</v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71">
        <f t="shared" si="19"/>
        <v>2030</v>
      </c>
      <c r="E59" t="s">
        <v>23</v>
      </c>
      <c r="F59" s="94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94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9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79">
        <f t="shared" si="9"/>
        <v>0</v>
      </c>
      <c r="O59" s="94">
        <f t="shared" si="1"/>
        <v>0</v>
      </c>
      <c r="P59" s="180">
        <f t="shared" si="10"/>
        <v>6257.0446016591122</v>
      </c>
      <c r="Q59">
        <f>IFERROR(VLOOKUP(A59,[1]Energiindhold!$A$2:$C$11,3,FALSE),IFERROR(VLOOKUP(A59,[1]Biogasudbytte!$A$2:$B$18,2,FALSE)*[1]Energiindhold!$C$10,0))*O59</f>
        <v>0</v>
      </c>
      <c r="R59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>
        <f>IFERROR(VLOOKUP(A59,[1]Biogasudbytte!$A$2:$B$18,2,FALSE)*[1]Energiindhold!$C$10,0)*J59*IFERROR(VLOOKUP(A59,Biogasanlæg!$F$3:$G$8,2,FALSE),1)</f>
        <v>2.9426255057142638E-3</v>
      </c>
      <c r="T59" s="170">
        <f t="shared" si="11"/>
        <v>0</v>
      </c>
      <c r="U59" s="169">
        <f>O59*IFERROR(VLOOKUP(A59,[1]Tørstofindhold!A$2:B$24,2,FALSE),0)</f>
        <v>0</v>
      </c>
      <c r="V59">
        <f>IF(D59=År1,P59,SUM(O59,P59))*IFERROR(VLOOKUP(A59,[1]Tørstofindhold!A$2:B$24,2,FALSE),0)</f>
        <v>394.19380990452407</v>
      </c>
      <c r="W59">
        <f>J59*IFERROR(VLOOKUP(A59,[1]Tørstofindhold!A$2:B$24,2,FALSE),0)</f>
        <v>394.19380990452407</v>
      </c>
      <c r="X59" s="170">
        <f t="shared" si="12"/>
        <v>0</v>
      </c>
      <c r="Y59">
        <f t="shared" si="2"/>
        <v>0</v>
      </c>
      <c r="Z59">
        <f t="shared" si="3"/>
        <v>0</v>
      </c>
    </row>
    <row r="60" spans="1:26" hidden="1" x14ac:dyDescent="0.55000000000000004">
      <c r="A60" s="171" t="str">
        <f t="shared" si="17"/>
        <v>Fjerkrækød</v>
      </c>
      <c r="B60" s="171" t="str">
        <f t="shared" si="18"/>
        <v/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71">
        <f t="shared" si="19"/>
        <v>2030</v>
      </c>
      <c r="E60" t="s">
        <v>23</v>
      </c>
      <c r="F60" s="94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94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9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79">
        <f t="shared" si="9"/>
        <v>153393.07628424684</v>
      </c>
      <c r="O60" s="94">
        <f t="shared" si="1"/>
        <v>0</v>
      </c>
      <c r="P60" s="180">
        <f t="shared" si="10"/>
        <v>0</v>
      </c>
      <c r="Q60">
        <f>IFERROR(VLOOKUP(A60,[1]Energiindhold!$A$2:$C$11,3,FALSE),IFERROR(VLOOKUP(A60,[1]Biogasudbytte!$A$2:$B$18,2,FALSE)*[1]Energiindhold!$C$10,0))*O60</f>
        <v>0</v>
      </c>
      <c r="R6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>
        <f>IFERROR(VLOOKUP(A60,[1]Biogasudbytte!$A$2:$B$18,2,FALSE)*[1]Energiindhold!$C$10,0)*J60*IFERROR(VLOOKUP(A60,Biogasanlæg!$F$3:$G$8,2,FALSE),1)</f>
        <v>0</v>
      </c>
      <c r="T60" s="170">
        <f t="shared" si="11"/>
        <v>0</v>
      </c>
      <c r="U60" s="169">
        <f>O60*IFERROR(VLOOKUP(A60,[1]Tørstofindhold!A$2:B$24,2,FALSE),0)</f>
        <v>0</v>
      </c>
      <c r="V60">
        <f>IF(D60=År1,P60,SUM(O60,P60))*IFERROR(VLOOKUP(A60,[1]Tørstofindhold!A$2:B$24,2,FALSE),0)</f>
        <v>0</v>
      </c>
      <c r="W60">
        <f>J60*IFERROR(VLOOKUP(A60,[1]Tørstofindhold!A$2:B$24,2,FALSE),0)</f>
        <v>0</v>
      </c>
      <c r="X60" s="170">
        <f t="shared" si="12"/>
        <v>0</v>
      </c>
      <c r="Y60">
        <f t="shared" si="2"/>
        <v>0</v>
      </c>
      <c r="Z60">
        <f t="shared" si="3"/>
        <v>1</v>
      </c>
    </row>
    <row r="61" spans="1:26" hidden="1" x14ac:dyDescent="0.55000000000000004">
      <c r="A61" s="171" t="str">
        <f t="shared" si="17"/>
        <v>Frø</v>
      </c>
      <c r="B61" s="171" t="str">
        <f t="shared" si="18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9"/>
        <v>2030</v>
      </c>
      <c r="E61" t="s">
        <v>23</v>
      </c>
      <c r="F61" s="94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896684.85799615958</v>
      </c>
      <c r="G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94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9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79">
        <f t="shared" si="9"/>
        <v>896684.85799615958</v>
      </c>
      <c r="O61" s="94">
        <f t="shared" si="1"/>
        <v>0</v>
      </c>
      <c r="P61" s="180">
        <f t="shared" si="10"/>
        <v>0</v>
      </c>
      <c r="Q61">
        <f>IFERROR(VLOOKUP(A61,[1]Energiindhold!$A$2:$C$11,3,FALSE),IFERROR(VLOOKUP(A61,[1]Biogasudbytte!$A$2:$B$18,2,FALSE)*[1]Energiindhold!$C$10,0))*O61</f>
        <v>0</v>
      </c>
      <c r="R61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>
        <f>IFERROR(VLOOKUP(A61,[1]Biogasudbytte!$A$2:$B$18,2,FALSE)*[1]Energiindhold!$C$10,0)*J61*IFERROR(VLOOKUP(A61,Biogasanlæg!$F$3:$G$8,2,FALSE),1)</f>
        <v>0</v>
      </c>
      <c r="T61" s="170">
        <f t="shared" si="11"/>
        <v>0</v>
      </c>
      <c r="U61" s="169">
        <f>O61*IFERROR(VLOOKUP(A61,[1]Tørstofindhold!A$2:B$24,2,FALSE),0)</f>
        <v>0</v>
      </c>
      <c r="V61">
        <f>IF(D61=År1,P61,SUM(O61,P61))*IFERROR(VLOOKUP(A61,[1]Tørstofindhold!A$2:B$24,2,FALSE),0)</f>
        <v>0</v>
      </c>
      <c r="W61">
        <f>J61*IFERROR(VLOOKUP(A61,[1]Tørstofindhold!A$2:B$24,2,FALSE),0)</f>
        <v>0</v>
      </c>
      <c r="X61" s="170">
        <f t="shared" si="12"/>
        <v>0</v>
      </c>
      <c r="Y61">
        <f t="shared" si="2"/>
        <v>0</v>
      </c>
      <c r="Z61">
        <f t="shared" si="3"/>
        <v>1</v>
      </c>
    </row>
    <row r="62" spans="1:26" hidden="1" x14ac:dyDescent="0.55000000000000004">
      <c r="A62" s="171" t="str">
        <f t="shared" si="17"/>
        <v>Frugt</v>
      </c>
      <c r="B62" s="171" t="str">
        <f t="shared" si="18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9"/>
        <v>2030</v>
      </c>
      <c r="E62" t="s">
        <v>23</v>
      </c>
      <c r="F62" s="94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26490.425666789368</v>
      </c>
      <c r="G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94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9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79">
        <f t="shared" si="9"/>
        <v>-231432.86871112624</v>
      </c>
      <c r="O62" s="94">
        <f t="shared" si="1"/>
        <v>0</v>
      </c>
      <c r="P62" s="180">
        <f t="shared" si="10"/>
        <v>0</v>
      </c>
      <c r="Q62">
        <f>IFERROR(VLOOKUP(A62,[1]Energiindhold!$A$2:$C$11,3,FALSE),IFERROR(VLOOKUP(A62,[1]Biogasudbytte!$A$2:$B$18,2,FALSE)*[1]Energiindhold!$C$10,0))*O62</f>
        <v>0</v>
      </c>
      <c r="R6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>
        <f>IFERROR(VLOOKUP(A62,[1]Biogasudbytte!$A$2:$B$18,2,FALSE)*[1]Energiindhold!$C$10,0)*J62*IFERROR(VLOOKUP(A62,Biogasanlæg!$F$3:$G$8,2,FALSE),1)</f>
        <v>0</v>
      </c>
      <c r="T62" s="170">
        <f t="shared" si="11"/>
        <v>0</v>
      </c>
      <c r="U62" s="169">
        <f>O62*IFERROR(VLOOKUP(A62,[1]Tørstofindhold!A$2:B$24,2,FALSE),0)</f>
        <v>0</v>
      </c>
      <c r="V62">
        <f>IF(D62=År1,P62,SUM(O62,P62))*IFERROR(VLOOKUP(A62,[1]Tørstofindhold!A$2:B$24,2,FALSE),0)</f>
        <v>0</v>
      </c>
      <c r="W62">
        <f>J62*IFERROR(VLOOKUP(A62,[1]Tørstofindhold!A$2:B$24,2,FALSE),0)</f>
        <v>0</v>
      </c>
      <c r="X62" s="170">
        <f t="shared" si="12"/>
        <v>0</v>
      </c>
      <c r="Y62">
        <f t="shared" si="2"/>
        <v>1</v>
      </c>
      <c r="Z62">
        <f t="shared" si="3"/>
        <v>0</v>
      </c>
    </row>
    <row r="63" spans="1:26" hidden="1" x14ac:dyDescent="0.55000000000000004">
      <c r="A63" s="171" t="str">
        <f t="shared" si="17"/>
        <v>Glycerin</v>
      </c>
      <c r="B63" s="171" t="str">
        <f t="shared" si="18"/>
        <v>Glycerin</v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71">
        <f t="shared" si="19"/>
        <v>2030</v>
      </c>
      <c r="E63" t="s">
        <v>23</v>
      </c>
      <c r="F63" s="94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94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9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79">
        <f t="shared" si="9"/>
        <v>-114193.60000000001</v>
      </c>
      <c r="O63" s="94">
        <f t="shared" si="1"/>
        <v>0</v>
      </c>
      <c r="P63" s="180">
        <f t="shared" si="10"/>
        <v>114193.60000000001</v>
      </c>
      <c r="Q63">
        <f>IFERROR(VLOOKUP(A63,[1]Energiindhold!$A$2:$C$11,3,FALSE),IFERROR(VLOOKUP(A63,[1]Biogasudbytte!$A$2:$B$18,2,FALSE)*[1]Energiindhold!$C$10,0))*O63</f>
        <v>0</v>
      </c>
      <c r="R63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>
        <f>IFERROR(VLOOKUP(A63,[1]Biogasudbytte!$A$2:$B$18,2,FALSE)*[1]Energiindhold!$C$10,0)*J63*IFERROR(VLOOKUP(A63,Biogasanlæg!$F$3:$G$8,2,FALSE),1)</f>
        <v>1.7355855896064003</v>
      </c>
      <c r="T63" s="170">
        <f t="shared" si="11"/>
        <v>0</v>
      </c>
      <c r="U63" s="169">
        <f>O63*IFERROR(VLOOKUP(A63,[1]Tørstofindhold!A$2:B$24,2,FALSE),0)</f>
        <v>0</v>
      </c>
      <c r="V63">
        <f>IF(D63=År1,P63,SUM(O63,P63))*IFERROR(VLOOKUP(A63,[1]Tørstofindhold!A$2:B$24,2,FALSE),0)</f>
        <v>102774.24</v>
      </c>
      <c r="W63">
        <f>J63*IFERROR(VLOOKUP(A63,[1]Tørstofindhold!A$2:B$24,2,FALSE),0)</f>
        <v>102774.24</v>
      </c>
      <c r="X63" s="170">
        <f t="shared" si="12"/>
        <v>0</v>
      </c>
      <c r="Y63">
        <f t="shared" si="2"/>
        <v>1</v>
      </c>
      <c r="Z63">
        <f t="shared" si="3"/>
        <v>0</v>
      </c>
    </row>
    <row r="64" spans="1:26" hidden="1" x14ac:dyDescent="0.55000000000000004">
      <c r="A64" s="171" t="str">
        <f t="shared" si="17"/>
        <v>Græs</v>
      </c>
      <c r="B64" s="171" t="str">
        <f t="shared" si="18"/>
        <v>Græs og urter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9"/>
        <v>2030</v>
      </c>
      <c r="E64" t="s">
        <v>23</v>
      </c>
      <c r="F64" s="94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15769668.337175274</v>
      </c>
      <c r="G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11936022.044118334</v>
      </c>
      <c r="H64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94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9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79">
        <f t="shared" si="9"/>
        <v>3833646.2930569407</v>
      </c>
      <c r="O64" s="94">
        <f t="shared" si="1"/>
        <v>3833646.2930569407</v>
      </c>
      <c r="P64" s="180">
        <f t="shared" si="10"/>
        <v>0</v>
      </c>
      <c r="Q64">
        <f>IFERROR(VLOOKUP(A64,[1]Energiindhold!$A$2:$C$11,3,FALSE),IFERROR(VLOOKUP(A64,[1]Biogasudbytte!$A$2:$B$18,2,FALSE)*[1]Energiindhold!$C$10,0))*O64</f>
        <v>7.0534299734381394</v>
      </c>
      <c r="R64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7.0534299734381394</v>
      </c>
      <c r="S64">
        <f>IFERROR(VLOOKUP(A64,[1]Biogasudbytte!$A$2:$B$18,2,FALSE)*[1]Energiindhold!$C$10,0)*J64*IFERROR(VLOOKUP(A64,Biogasanlæg!$F$3:$G$8,2,FALSE),1)</f>
        <v>0</v>
      </c>
      <c r="T64" s="170">
        <f t="shared" si="11"/>
        <v>7.0534299734381394</v>
      </c>
      <c r="U64" s="169">
        <f>O64*IFERROR(VLOOKUP(A64,[1]Tørstofindhold!A$2:B$24,2,FALSE),0)</f>
        <v>1073420.9620559434</v>
      </c>
      <c r="V64">
        <f>IF(D64=År1,P64,SUM(O64,P64))*IFERROR(VLOOKUP(A64,[1]Tørstofindhold!A$2:B$24,2,FALSE),0)</f>
        <v>1073420.9620559434</v>
      </c>
      <c r="W64">
        <f>J64*IFERROR(VLOOKUP(A64,[1]Tørstofindhold!A$2:B$24,2,FALSE),0)</f>
        <v>0</v>
      </c>
      <c r="X64" s="170">
        <f t="shared" si="12"/>
        <v>1073420.9620559434</v>
      </c>
      <c r="Y64">
        <f t="shared" si="2"/>
        <v>0</v>
      </c>
      <c r="Z64">
        <f t="shared" si="3"/>
        <v>1</v>
      </c>
    </row>
    <row r="65" spans="1:26" hidden="1" x14ac:dyDescent="0.55000000000000004">
      <c r="A65" s="171" t="str">
        <f t="shared" si="17"/>
        <v>Græsprotein</v>
      </c>
      <c r="B65" s="171" t="str">
        <f t="shared" si="18"/>
        <v/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71">
        <f t="shared" si="19"/>
        <v>2030</v>
      </c>
      <c r="E65" t="s">
        <v>23</v>
      </c>
      <c r="F65" s="94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94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9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79">
        <f t="shared" si="9"/>
        <v>0</v>
      </c>
      <c r="O65" s="94">
        <f t="shared" si="1"/>
        <v>0</v>
      </c>
      <c r="P65" s="180">
        <f t="shared" si="10"/>
        <v>0</v>
      </c>
      <c r="Q65">
        <f>IFERROR(VLOOKUP(A65,[1]Energiindhold!$A$2:$C$11,3,FALSE),IFERROR(VLOOKUP(A65,[1]Biogasudbytte!$A$2:$B$18,2,FALSE)*[1]Energiindhold!$C$10,0))*O65</f>
        <v>0</v>
      </c>
      <c r="R65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>
        <f>IFERROR(VLOOKUP(A65,[1]Biogasudbytte!$A$2:$B$18,2,FALSE)*[1]Energiindhold!$C$10,0)*J65*IFERROR(VLOOKUP(A65,Biogasanlæg!$F$3:$G$8,2,FALSE),1)</f>
        <v>0</v>
      </c>
      <c r="T65" s="170">
        <f t="shared" si="11"/>
        <v>0</v>
      </c>
      <c r="U65" s="169">
        <f>O65*IFERROR(VLOOKUP(A65,[1]Tørstofindhold!A$2:B$24,2,FALSE),0)</f>
        <v>0</v>
      </c>
      <c r="V65">
        <f>IF(D65=År1,P65,SUM(O65,P65))*IFERROR(VLOOKUP(A65,[1]Tørstofindhold!A$2:B$24,2,FALSE),0)</f>
        <v>0</v>
      </c>
      <c r="W65">
        <f>J65*IFERROR(VLOOKUP(A65,[1]Tørstofindhold!A$2:B$24,2,FALSE),0)</f>
        <v>0</v>
      </c>
      <c r="X65" s="170">
        <f t="shared" si="12"/>
        <v>0</v>
      </c>
      <c r="Y65">
        <f t="shared" si="2"/>
        <v>0</v>
      </c>
      <c r="Z65">
        <f t="shared" si="3"/>
        <v>0</v>
      </c>
    </row>
    <row r="66" spans="1:26" hidden="1" x14ac:dyDescent="0.55000000000000004">
      <c r="A66" s="171" t="str">
        <f t="shared" si="17"/>
        <v>Grøntsager</v>
      </c>
      <c r="B66" s="171" t="str">
        <f t="shared" si="18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9"/>
        <v>2030</v>
      </c>
      <c r="E66" t="s">
        <v>23</v>
      </c>
      <c r="F66" s="94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189947.9283403279</v>
      </c>
      <c r="G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94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9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79">
        <f t="shared" si="9"/>
        <v>-80192.785244962695</v>
      </c>
      <c r="O66" s="94">
        <f t="shared" si="1"/>
        <v>0</v>
      </c>
      <c r="P66" s="180">
        <f t="shared" si="10"/>
        <v>0</v>
      </c>
      <c r="Q66">
        <f>IFERROR(VLOOKUP(A66,[1]Energiindhold!$A$2:$C$11,3,FALSE),IFERROR(VLOOKUP(A66,[1]Biogasudbytte!$A$2:$B$18,2,FALSE)*[1]Energiindhold!$C$10,0))*O66</f>
        <v>0</v>
      </c>
      <c r="R66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>
        <f>IFERROR(VLOOKUP(A66,[1]Biogasudbytte!$A$2:$B$18,2,FALSE)*[1]Energiindhold!$C$10,0)*J66*IFERROR(VLOOKUP(A66,Biogasanlæg!$F$3:$G$8,2,FALSE),1)</f>
        <v>0</v>
      </c>
      <c r="T66" s="170">
        <f t="shared" si="11"/>
        <v>0</v>
      </c>
      <c r="U66" s="169">
        <f>O66*IFERROR(VLOOKUP(A66,[1]Tørstofindhold!A$2:B$24,2,FALSE),0)</f>
        <v>0</v>
      </c>
      <c r="V66">
        <f>IF(D66=År1,P66,SUM(O66,P66))*IFERROR(VLOOKUP(A66,[1]Tørstofindhold!A$2:B$24,2,FALSE),0)</f>
        <v>0</v>
      </c>
      <c r="W66">
        <f>J66*IFERROR(VLOOKUP(A66,[1]Tørstofindhold!A$2:B$24,2,FALSE),0)</f>
        <v>0</v>
      </c>
      <c r="X66" s="170">
        <f t="shared" si="12"/>
        <v>0</v>
      </c>
      <c r="Y66">
        <f t="shared" si="2"/>
        <v>1</v>
      </c>
      <c r="Z66">
        <f t="shared" si="3"/>
        <v>0</v>
      </c>
    </row>
    <row r="67" spans="1:26" hidden="1" x14ac:dyDescent="0.55000000000000004">
      <c r="A67" s="171" t="str">
        <f t="shared" si="17"/>
        <v>Halm</v>
      </c>
      <c r="B67" s="171" t="str">
        <f t="shared" si="18"/>
        <v>Halm og strå</v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71">
        <f t="shared" si="19"/>
        <v>2030</v>
      </c>
      <c r="E67" t="s">
        <v>23</v>
      </c>
      <c r="F67" s="94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3749912.1092935386</v>
      </c>
      <c r="G67" s="392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754028.76978801878</v>
      </c>
      <c r="H67" s="392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702117.72064633376</v>
      </c>
      <c r="I67" s="392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392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392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392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2293765.6188591849</v>
      </c>
      <c r="M67" s="393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79">
        <f t="shared" si="9"/>
        <v>0</v>
      </c>
      <c r="O67" s="94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180">
        <f t="shared" si="10"/>
        <v>2293765.6188591849</v>
      </c>
      <c r="Q67">
        <f>IFERROR(VLOOKUP(A67,[1]Energiindhold!$A$2:$C$11,3,FALSE),IFERROR(VLOOKUP(A67,[1]Biogasudbytte!$A$2:$B$18,2,FALSE)*[1]Energiindhold!$C$10,0))*O67</f>
        <v>0</v>
      </c>
      <c r="R6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23.707917223893222</v>
      </c>
      <c r="S67">
        <f>IFERROR(VLOOKUP(A67,[1]Biogasudbytte!$A$2:$B$18,2,FALSE)*[1]Energiindhold!$C$10,0)*J67*IFERROR(VLOOKUP(A67,Biogasanlæg!$F$3:$G$8,2,FALSE),1)</f>
        <v>0</v>
      </c>
      <c r="T67" s="170">
        <f t="shared" si="11"/>
        <v>23.707917223893222</v>
      </c>
      <c r="U67" s="169">
        <f>O67*IFERROR(VLOOKUP(A67,[1]Tørstofindhold!A$2:B$24,2,FALSE),0)</f>
        <v>0</v>
      </c>
      <c r="V67">
        <f>IF(D67=År1,P67,SUM(O67,P67))*IFERROR(VLOOKUP(A67,[1]Tørstofindhold!A$2:B$24,2,FALSE),0)</f>
        <v>1949700.7760303072</v>
      </c>
      <c r="W67">
        <f>J67*IFERROR(VLOOKUP(A67,[1]Tørstofindhold!A$2:B$24,2,FALSE),0)</f>
        <v>0</v>
      </c>
      <c r="X67" s="170">
        <f t="shared" si="12"/>
        <v>1949700.7760303072</v>
      </c>
      <c r="Y67">
        <f t="shared" ref="Y67:Y130" si="21">IF(SUMIFS($N$3:$N$290,$A$3:$A$290,A67,$D$3:$D$290,D67)&lt;0,1,0)</f>
        <v>0</v>
      </c>
      <c r="Z67">
        <f t="shared" ref="Z67:Z130" si="22">IF(SUMIFS($N$3:$N$290,$A$3:$A$290,A67,$D$3:$D$290,D67)&gt;0,1,0)</f>
        <v>0</v>
      </c>
    </row>
    <row r="68" spans="1:26" hidden="1" x14ac:dyDescent="0.55000000000000004">
      <c r="A68" s="171" t="str">
        <f t="shared" si="17"/>
        <v>Have/parkaffald</v>
      </c>
      <c r="B68" s="171" t="str">
        <f t="shared" si="18"/>
        <v>Bionedbrydeligt affald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9"/>
        <v>2030</v>
      </c>
      <c r="E68" t="s">
        <v>23</v>
      </c>
      <c r="F68" s="94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94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9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79">
        <f t="shared" si="9"/>
        <v>0</v>
      </c>
      <c r="O68" s="94">
        <f t="shared" si="20"/>
        <v>0</v>
      </c>
      <c r="P68" s="180">
        <f t="shared" si="10"/>
        <v>526734.10986839118</v>
      </c>
      <c r="Q68">
        <f>IFERROR(VLOOKUP(A68,[1]Energiindhold!$A$2:$C$11,3,FALSE),IFERROR(VLOOKUP(A68,[1]Biogasudbytte!$A$2:$B$18,2,FALSE)*[1]Energiindhold!$C$10,0))*O68</f>
        <v>0</v>
      </c>
      <c r="R6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>
        <f>IFERROR(VLOOKUP(A68,[1]Biogasudbytte!$A$2:$B$18,2,FALSE)*[1]Energiindhold!$C$10,0)*J68*IFERROR(VLOOKUP(A68,Biogasanlæg!$F$3:$G$8,2,FALSE),1)</f>
        <v>0.68255738648930186</v>
      </c>
      <c r="T68" s="170">
        <f t="shared" si="11"/>
        <v>2.2274826316201262</v>
      </c>
      <c r="U68" s="169">
        <f>O68*IFERROR(VLOOKUP(A68,[1]Tørstofindhold!A$2:B$24,2,FALSE),0)</f>
        <v>0</v>
      </c>
      <c r="V68">
        <f>IF(D68=År1,P68,SUM(O68,P68))*IFERROR(VLOOKUP(A68,[1]Tørstofindhold!A$2:B$24,2,FALSE),0)</f>
        <v>158020.23296051734</v>
      </c>
      <c r="W68">
        <f>J68*IFERROR(VLOOKUP(A68,[1]Tørstofindhold!A$2:B$24,2,FALSE),0)</f>
        <v>120588.20657969962</v>
      </c>
      <c r="X68" s="170">
        <f t="shared" si="12"/>
        <v>37432.026380817726</v>
      </c>
      <c r="Y68">
        <f t="shared" si="21"/>
        <v>0</v>
      </c>
      <c r="Z68">
        <f t="shared" si="22"/>
        <v>0</v>
      </c>
    </row>
    <row r="69" spans="1:26" hidden="1" x14ac:dyDescent="0.55000000000000004">
      <c r="A69" s="171" t="str">
        <f t="shared" si="17"/>
        <v>Import af foder</v>
      </c>
      <c r="B69" s="171" t="str">
        <f t="shared" si="18"/>
        <v/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71">
        <f t="shared" si="19"/>
        <v>2030</v>
      </c>
      <c r="E69" t="s">
        <v>23</v>
      </c>
      <c r="F69" s="94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4709403.3246320067</v>
      </c>
      <c r="H69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94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9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79">
        <f t="shared" si="9"/>
        <v>-4709403.3246320067</v>
      </c>
      <c r="O69" s="94">
        <f t="shared" si="20"/>
        <v>0</v>
      </c>
      <c r="P69" s="180">
        <f t="shared" si="10"/>
        <v>0</v>
      </c>
      <c r="Q69">
        <f>IFERROR(VLOOKUP(A69,[1]Energiindhold!$A$2:$C$11,3,FALSE),IFERROR(VLOOKUP(A69,[1]Biogasudbytte!$A$2:$B$18,2,FALSE)*[1]Energiindhold!$C$10,0))*O69</f>
        <v>0</v>
      </c>
      <c r="R69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>
        <f>IFERROR(VLOOKUP(A69,[1]Biogasudbytte!$A$2:$B$18,2,FALSE)*[1]Energiindhold!$C$10,0)*J69*IFERROR(VLOOKUP(A69,Biogasanlæg!$F$3:$G$8,2,FALSE),1)</f>
        <v>0</v>
      </c>
      <c r="T69" s="170">
        <f t="shared" si="11"/>
        <v>0</v>
      </c>
      <c r="U69" s="169">
        <f>O69*IFERROR(VLOOKUP(A69,[1]Tørstofindhold!A$2:B$24,2,FALSE),0)</f>
        <v>0</v>
      </c>
      <c r="V69">
        <f>IF(D69=År1,P69,SUM(O69,P69))*IFERROR(VLOOKUP(A69,[1]Tørstofindhold!A$2:B$24,2,FALSE),0)</f>
        <v>0</v>
      </c>
      <c r="W69">
        <f>J69*IFERROR(VLOOKUP(A69,[1]Tørstofindhold!A$2:B$24,2,FALSE),0)</f>
        <v>0</v>
      </c>
      <c r="X69" s="170">
        <f t="shared" si="12"/>
        <v>0</v>
      </c>
      <c r="Y69">
        <f t="shared" si="21"/>
        <v>1</v>
      </c>
      <c r="Z69">
        <f t="shared" si="22"/>
        <v>0</v>
      </c>
    </row>
    <row r="70" spans="1:26" hidden="1" x14ac:dyDescent="0.55000000000000004">
      <c r="A70" s="171" t="str">
        <f t="shared" si="17"/>
        <v>Industriaffald</v>
      </c>
      <c r="B70" s="171" t="str">
        <f t="shared" si="18"/>
        <v>Bionedbrydeligt affald</v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71">
        <f t="shared" si="19"/>
        <v>2030</v>
      </c>
      <c r="E70" t="s">
        <v>23</v>
      </c>
      <c r="F70" s="94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516148.16711972357</v>
      </c>
      <c r="G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94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9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79">
        <f t="shared" si="9"/>
        <v>516148.16711972357</v>
      </c>
      <c r="O70" s="94">
        <f t="shared" si="20"/>
        <v>516148.16711972357</v>
      </c>
      <c r="P70" s="180">
        <f t="shared" si="10"/>
        <v>0</v>
      </c>
      <c r="Q70">
        <f>IFERROR(VLOOKUP(A70,[1]Energiindhold!$A$2:$C$11,3,FALSE),IFERROR(VLOOKUP(A70,[1]Biogasudbytte!$A$2:$B$18,2,FALSE)*[1]Energiindhold!$C$10,0))*O70</f>
        <v>2.2365371073914879</v>
      </c>
      <c r="R7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2.2365371073914879</v>
      </c>
      <c r="S70">
        <f>IFERROR(VLOOKUP(A70,[1]Biogasudbytte!$A$2:$B$18,2,FALSE)*[1]Energiindhold!$C$10,0)*J70*IFERROR(VLOOKUP(A70,Biogasanlæg!$F$3:$G$8,2,FALSE),1)</f>
        <v>0</v>
      </c>
      <c r="T70" s="170">
        <f t="shared" si="11"/>
        <v>2.2365371073914879</v>
      </c>
      <c r="U70" s="169">
        <f>O70*IFERROR(VLOOKUP(A70,[1]Tørstofindhold!A$2:B$24,2,FALSE),0)</f>
        <v>216782.23019028388</v>
      </c>
      <c r="V70">
        <f>IF(D70=År1,P70,SUM(O70,P70))*IFERROR(VLOOKUP(A70,[1]Tørstofindhold!A$2:B$24,2,FALSE),0)</f>
        <v>216782.23019028388</v>
      </c>
      <c r="W70">
        <f>J70*IFERROR(VLOOKUP(A70,[1]Tørstofindhold!A$2:B$24,2,FALSE),0)</f>
        <v>0</v>
      </c>
      <c r="X70" s="170">
        <f t="shared" si="12"/>
        <v>216782.23019028388</v>
      </c>
      <c r="Y70">
        <f t="shared" si="21"/>
        <v>0</v>
      </c>
      <c r="Z70">
        <f t="shared" si="22"/>
        <v>1</v>
      </c>
    </row>
    <row r="71" spans="1:26" hidden="1" x14ac:dyDescent="0.55000000000000004">
      <c r="A71" s="171" t="str">
        <f t="shared" si="17"/>
        <v>Juletræer</v>
      </c>
      <c r="B71" s="171" t="str">
        <f t="shared" si="18"/>
        <v/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71">
        <f t="shared" si="19"/>
        <v>2030</v>
      </c>
      <c r="E71" t="s">
        <v>23</v>
      </c>
      <c r="F71" s="94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782472.88933192089</v>
      </c>
      <c r="G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94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9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79">
        <f t="shared" si="9"/>
        <v>782472.88933192089</v>
      </c>
      <c r="O71" s="94">
        <f t="shared" si="20"/>
        <v>0</v>
      </c>
      <c r="P71" s="180">
        <f t="shared" si="10"/>
        <v>0</v>
      </c>
      <c r="Q71">
        <f>IFERROR(VLOOKUP(A71,[1]Energiindhold!$A$2:$C$11,3,FALSE),IFERROR(VLOOKUP(A71,[1]Biogasudbytte!$A$2:$B$18,2,FALSE)*[1]Energiindhold!$C$10,0))*O71</f>
        <v>0</v>
      </c>
      <c r="R71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>
        <f>IFERROR(VLOOKUP(A71,[1]Biogasudbytte!$A$2:$B$18,2,FALSE)*[1]Energiindhold!$C$10,0)*J71*IFERROR(VLOOKUP(A71,Biogasanlæg!$F$3:$G$8,2,FALSE),1)</f>
        <v>0</v>
      </c>
      <c r="T71" s="170">
        <f t="shared" si="11"/>
        <v>0</v>
      </c>
      <c r="U71" s="169">
        <f>O71*IFERROR(VLOOKUP(A71,[1]Tørstofindhold!A$2:B$24,2,FALSE),0)</f>
        <v>0</v>
      </c>
      <c r="V71">
        <f>IF(D71=År1,P71,SUM(O71,P71))*IFERROR(VLOOKUP(A71,[1]Tørstofindhold!A$2:B$24,2,FALSE),0)</f>
        <v>0</v>
      </c>
      <c r="W71">
        <f>J71*IFERROR(VLOOKUP(A71,[1]Tørstofindhold!A$2:B$24,2,FALSE),0)</f>
        <v>0</v>
      </c>
      <c r="X71" s="170">
        <f t="shared" si="12"/>
        <v>0</v>
      </c>
      <c r="Y71">
        <f t="shared" si="21"/>
        <v>0</v>
      </c>
      <c r="Z71">
        <f t="shared" si="22"/>
        <v>1</v>
      </c>
    </row>
    <row r="72" spans="1:26" hidden="1" x14ac:dyDescent="0.55000000000000004">
      <c r="A72" s="171" t="str">
        <f t="shared" si="17"/>
        <v>Kartofler</v>
      </c>
      <c r="B72" s="171" t="str">
        <f t="shared" si="18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9"/>
        <v>2030</v>
      </c>
      <c r="E72" t="s">
        <v>23</v>
      </c>
      <c r="F72" s="94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2184559.2882253225</v>
      </c>
      <c r="G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94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9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79">
        <f t="shared" si="9"/>
        <v>2061027.6051285313</v>
      </c>
      <c r="O72" s="94">
        <f t="shared" si="20"/>
        <v>0</v>
      </c>
      <c r="P72" s="180">
        <f t="shared" si="10"/>
        <v>0</v>
      </c>
      <c r="Q72">
        <f>IFERROR(VLOOKUP(A72,[1]Energiindhold!$A$2:$C$11,3,FALSE),IFERROR(VLOOKUP(A72,[1]Biogasudbytte!$A$2:$B$18,2,FALSE)*[1]Energiindhold!$C$10,0))*O72</f>
        <v>0</v>
      </c>
      <c r="R7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>
        <f>IFERROR(VLOOKUP(A72,[1]Biogasudbytte!$A$2:$B$18,2,FALSE)*[1]Energiindhold!$C$10,0)*J72*IFERROR(VLOOKUP(A72,Biogasanlæg!$F$3:$G$8,2,FALSE),1)</f>
        <v>0</v>
      </c>
      <c r="T72" s="170">
        <f t="shared" si="11"/>
        <v>0</v>
      </c>
      <c r="U72" s="169">
        <f>O72*IFERROR(VLOOKUP(A72,[1]Tørstofindhold!A$2:B$24,2,FALSE),0)</f>
        <v>0</v>
      </c>
      <c r="V72">
        <f>IF(D72=År1,P72,SUM(O72,P72))*IFERROR(VLOOKUP(A72,[1]Tørstofindhold!A$2:B$24,2,FALSE),0)</f>
        <v>0</v>
      </c>
      <c r="W72">
        <f>J72*IFERROR(VLOOKUP(A72,[1]Tørstofindhold!A$2:B$24,2,FALSE),0)</f>
        <v>0</v>
      </c>
      <c r="X72" s="170">
        <f t="shared" si="12"/>
        <v>0</v>
      </c>
      <c r="Y72">
        <f t="shared" si="21"/>
        <v>0</v>
      </c>
      <c r="Z72">
        <f t="shared" si="22"/>
        <v>1</v>
      </c>
    </row>
    <row r="73" spans="1:26" hidden="1" x14ac:dyDescent="0.55000000000000004">
      <c r="A73" s="171" t="str">
        <f t="shared" si="17"/>
        <v>Korn</v>
      </c>
      <c r="B73" s="171" t="str">
        <f t="shared" si="18"/>
        <v>Halm og strå</v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71">
        <f t="shared" si="19"/>
        <v>2030</v>
      </c>
      <c r="E73" t="s">
        <v>23</v>
      </c>
      <c r="F73" s="94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7012260.3004318569</v>
      </c>
      <c r="G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5734288.3153172266</v>
      </c>
      <c r="H73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94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9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79">
        <f t="shared" si="9"/>
        <v>982038.94209154788</v>
      </c>
      <c r="O73" s="94">
        <f t="shared" si="20"/>
        <v>982038.94209154788</v>
      </c>
      <c r="P73" s="180">
        <f t="shared" si="10"/>
        <v>0</v>
      </c>
      <c r="Q73">
        <f>IFERROR(VLOOKUP(A73,[1]Energiindhold!$A$2:$C$11,3,FALSE),IFERROR(VLOOKUP(A73,[1]Biogasudbytte!$A$2:$B$18,2,FALSE)*[1]Energiindhold!$C$10,0))*O73</f>
        <v>3.3633458912116594</v>
      </c>
      <c r="R73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3.3633458912116594</v>
      </c>
      <c r="S73">
        <f>IFERROR(VLOOKUP(A73,[1]Biogasudbytte!$A$2:$B$18,2,FALSE)*[1]Energiindhold!$C$10,0)*J73*IFERROR(VLOOKUP(A73,Biogasanlæg!$F$3:$G$8,2,FALSE),1)</f>
        <v>0</v>
      </c>
      <c r="T73" s="170">
        <f t="shared" si="11"/>
        <v>3.3633458912116594</v>
      </c>
      <c r="U73" s="169">
        <f>O73*IFERROR(VLOOKUP(A73,[1]Tørstofindhold!A$2:B$24,2,FALSE),0)</f>
        <v>304432.07204837987</v>
      </c>
      <c r="V73">
        <f>IF(D73=År1,P73,SUM(O73,P73))*IFERROR(VLOOKUP(A73,[1]Tørstofindhold!A$2:B$24,2,FALSE),0)</f>
        <v>304432.07204837987</v>
      </c>
      <c r="W73">
        <f>J73*IFERROR(VLOOKUP(A73,[1]Tørstofindhold!A$2:B$24,2,FALSE),0)</f>
        <v>0</v>
      </c>
      <c r="X73" s="170">
        <f t="shared" si="12"/>
        <v>304432.07204837987</v>
      </c>
      <c r="Y73">
        <f t="shared" si="21"/>
        <v>0</v>
      </c>
      <c r="Z73">
        <f t="shared" si="22"/>
        <v>1</v>
      </c>
    </row>
    <row r="74" spans="1:26" hidden="1" x14ac:dyDescent="0.55000000000000004">
      <c r="A74" s="171" t="str">
        <f t="shared" si="17"/>
        <v>Kunstgødning</v>
      </c>
      <c r="B74" s="171" t="str">
        <f t="shared" si="18"/>
        <v/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71">
        <f t="shared" si="19"/>
        <v>2030</v>
      </c>
      <c r="E74" t="s">
        <v>23</v>
      </c>
      <c r="F74" s="94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94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94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94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94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590491.77533861843</v>
      </c>
      <c r="L74" s="94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9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79">
        <f t="shared" ca="1" si="9"/>
        <v>-590491.77533861843</v>
      </c>
      <c r="O74" s="94">
        <f t="shared" si="20"/>
        <v>0</v>
      </c>
      <c r="P74" s="180">
        <f t="shared" si="10"/>
        <v>0</v>
      </c>
      <c r="Q74">
        <f>IFERROR(VLOOKUP(A74,[1]Energiindhold!$A$2:$C$11,3,FALSE),IFERROR(VLOOKUP(A74,[1]Biogasudbytte!$A$2:$B$18,2,FALSE)*[1]Energiindhold!$C$10,0))*O74</f>
        <v>0</v>
      </c>
      <c r="R74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>
        <f>IFERROR(VLOOKUP(A74,[1]Biogasudbytte!$A$2:$B$18,2,FALSE)*[1]Energiindhold!$C$10,0)*J74*IFERROR(VLOOKUP(A74,Biogasanlæg!$F$3:$G$8,2,FALSE),1)</f>
        <v>0</v>
      </c>
      <c r="T74" s="170">
        <f t="shared" si="11"/>
        <v>0</v>
      </c>
      <c r="U74" s="169">
        <f>O74*IFERROR(VLOOKUP(A74,[1]Tørstofindhold!A$2:B$24,2,FALSE),0)</f>
        <v>0</v>
      </c>
      <c r="V74">
        <f>IF(D74=År1,P74,SUM(O74,P74))*IFERROR(VLOOKUP(A74,[1]Tørstofindhold!A$2:B$24,2,FALSE),0)</f>
        <v>0</v>
      </c>
      <c r="W74">
        <f>J74*IFERROR(VLOOKUP(A74,[1]Tørstofindhold!A$2:B$24,2,FALSE),0)</f>
        <v>0</v>
      </c>
      <c r="X74" s="170">
        <f t="shared" si="12"/>
        <v>0</v>
      </c>
      <c r="Y74">
        <f t="shared" ca="1" si="21"/>
        <v>1</v>
      </c>
      <c r="Z74">
        <f t="shared" ca="1" si="22"/>
        <v>0</v>
      </c>
    </row>
    <row r="75" spans="1:26" hidden="1" x14ac:dyDescent="0.55000000000000004">
      <c r="A75" s="171" t="str">
        <f t="shared" si="17"/>
        <v>Kvæggylle</v>
      </c>
      <c r="B75" s="171" t="str">
        <f t="shared" si="18"/>
        <v>Husdyrgødning</v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71">
        <f t="shared" si="19"/>
        <v>2030</v>
      </c>
      <c r="E75" t="s">
        <v>23</v>
      </c>
      <c r="F75" s="94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94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9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79">
        <f t="shared" si="9"/>
        <v>0</v>
      </c>
      <c r="O75" s="94">
        <f t="shared" si="20"/>
        <v>0</v>
      </c>
      <c r="P75" s="180">
        <f t="shared" si="10"/>
        <v>9737622.5335018374</v>
      </c>
      <c r="Q75">
        <f>IFERROR(VLOOKUP(A75,[1]Energiindhold!$A$2:$C$11,3,FALSE),IFERROR(VLOOKUP(A75,[1]Biogasudbytte!$A$2:$B$18,2,FALSE)*[1]Energiindhold!$C$10,0))*O75</f>
        <v>0</v>
      </c>
      <c r="R75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>
        <f>IFERROR(VLOOKUP(A75,[1]Biogasudbytte!$A$2:$B$18,2,FALSE)*[1]Energiindhold!$C$10,0)*J75*IFERROR(VLOOKUP(A75,Biogasanlæg!$F$3:$G$8,2,FALSE),1)</f>
        <v>4.929087150233296</v>
      </c>
      <c r="T75" s="170">
        <f t="shared" si="11"/>
        <v>0</v>
      </c>
      <c r="U75" s="169">
        <f>O75*IFERROR(VLOOKUP(A75,[1]Tørstofindhold!A$2:B$24,2,FALSE),0)</f>
        <v>0</v>
      </c>
      <c r="V75">
        <f>IF(D75=År1,P75,SUM(O75,P75))*IFERROR(VLOOKUP(A75,[1]Tørstofindhold!A$2:B$24,2,FALSE),0)</f>
        <v>740059.31254613958</v>
      </c>
      <c r="W75">
        <f>J75*IFERROR(VLOOKUP(A75,[1]Tørstofindhold!A$2:B$24,2,FALSE),0)</f>
        <v>740059.31254613958</v>
      </c>
      <c r="X75" s="170">
        <f t="shared" si="12"/>
        <v>0</v>
      </c>
      <c r="Y75">
        <f t="shared" si="21"/>
        <v>0</v>
      </c>
      <c r="Z75">
        <f t="shared" si="22"/>
        <v>0</v>
      </c>
    </row>
    <row r="76" spans="1:26" hidden="1" x14ac:dyDescent="0.55000000000000004">
      <c r="A76" s="171" t="str">
        <f t="shared" si="17"/>
        <v>Mælk til foder</v>
      </c>
      <c r="B76" s="171" t="str">
        <f t="shared" si="18"/>
        <v/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71">
        <f t="shared" si="19"/>
        <v>2030</v>
      </c>
      <c r="E76" t="s">
        <v>23</v>
      </c>
      <c r="F76" s="94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1478350.7282518283</v>
      </c>
      <c r="H76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94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9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79">
        <f t="shared" si="9"/>
        <v>142643.13711483451</v>
      </c>
      <c r="O76" s="94">
        <f t="shared" si="20"/>
        <v>0</v>
      </c>
      <c r="P76" s="180">
        <f t="shared" si="10"/>
        <v>0</v>
      </c>
      <c r="Q76">
        <f>IFERROR(VLOOKUP(A76,[1]Energiindhold!$A$2:$C$11,3,FALSE),IFERROR(VLOOKUP(A76,[1]Biogasudbytte!$A$2:$B$18,2,FALSE)*[1]Energiindhold!$C$10,0))*O76</f>
        <v>0</v>
      </c>
      <c r="R76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>
        <f>IFERROR(VLOOKUP(A76,[1]Biogasudbytte!$A$2:$B$18,2,FALSE)*[1]Energiindhold!$C$10,0)*J76*IFERROR(VLOOKUP(A76,Biogasanlæg!$F$3:$G$8,2,FALSE),1)</f>
        <v>0</v>
      </c>
      <c r="T76" s="170">
        <f t="shared" si="11"/>
        <v>0</v>
      </c>
      <c r="U76" s="169">
        <f>O76*IFERROR(VLOOKUP(A76,[1]Tørstofindhold!A$2:B$24,2,FALSE),0)</f>
        <v>0</v>
      </c>
      <c r="V76">
        <f>IF(D76=År1,P76,SUM(O76,P76))*IFERROR(VLOOKUP(A76,[1]Tørstofindhold!A$2:B$24,2,FALSE),0)</f>
        <v>0</v>
      </c>
      <c r="W76">
        <f>J76*IFERROR(VLOOKUP(A76,[1]Tørstofindhold!A$2:B$24,2,FALSE),0)</f>
        <v>0</v>
      </c>
      <c r="X76" s="170">
        <f t="shared" si="12"/>
        <v>0</v>
      </c>
      <c r="Y76">
        <f t="shared" si="21"/>
        <v>0</v>
      </c>
      <c r="Z76">
        <f t="shared" si="22"/>
        <v>1</v>
      </c>
    </row>
    <row r="77" spans="1:26" hidden="1" x14ac:dyDescent="0.55000000000000004">
      <c r="A77" s="171" t="str">
        <f t="shared" si="17"/>
        <v>Majs</v>
      </c>
      <c r="B77" s="171" t="str">
        <f t="shared" si="18"/>
        <v>Græs og urter</v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71">
        <f t="shared" si="19"/>
        <v>2030</v>
      </c>
      <c r="E77" t="s">
        <v>23</v>
      </c>
      <c r="F77" s="94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7810797.3149183672</v>
      </c>
      <c r="G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5517603.3385994658</v>
      </c>
      <c r="H7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94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9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79">
        <f t="shared" si="9"/>
        <v>2293193.9763189014</v>
      </c>
      <c r="O77" s="94">
        <f t="shared" si="20"/>
        <v>2001163.0190917293</v>
      </c>
      <c r="P77" s="180">
        <f t="shared" si="10"/>
        <v>0</v>
      </c>
      <c r="Q77">
        <f>IFERROR(VLOOKUP(A77,[1]Energiindhold!$A$2:$C$11,3,FALSE),IFERROR(VLOOKUP(A77,[1]Biogasudbytte!$A$2:$B$18,2,FALSE)*[1]Energiindhold!$C$10,0))*O77</f>
        <v>7.1841752385393089</v>
      </c>
      <c r="R7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7.1841752385393089</v>
      </c>
      <c r="S77">
        <f>IFERROR(VLOOKUP(A77,[1]Biogasudbytte!$A$2:$B$18,2,FALSE)*[1]Energiindhold!$C$10,0)*J77*IFERROR(VLOOKUP(A77,Biogasanlæg!$F$3:$G$8,2,FALSE),1)</f>
        <v>0</v>
      </c>
      <c r="T77" s="170">
        <f t="shared" si="11"/>
        <v>7.1841752385393089</v>
      </c>
      <c r="U77" s="169">
        <f>O77*IFERROR(VLOOKUP(A77,[1]Tørstofindhold!A$2:B$24,2,FALSE),0)</f>
        <v>600348.90572751872</v>
      </c>
      <c r="V77">
        <f>IF(D77=År1,P77,SUM(O77,P77))*IFERROR(VLOOKUP(A77,[1]Tørstofindhold!A$2:B$24,2,FALSE),0)</f>
        <v>600348.90572751872</v>
      </c>
      <c r="W77">
        <f>J77*IFERROR(VLOOKUP(A77,[1]Tørstofindhold!A$2:B$24,2,FALSE),0)</f>
        <v>0</v>
      </c>
      <c r="X77" s="170">
        <f t="shared" si="12"/>
        <v>600348.90572751872</v>
      </c>
      <c r="Y77">
        <f t="shared" si="21"/>
        <v>0</v>
      </c>
      <c r="Z77">
        <f t="shared" si="22"/>
        <v>1</v>
      </c>
    </row>
    <row r="78" spans="1:26" hidden="1" x14ac:dyDescent="0.55000000000000004">
      <c r="A78" s="171" t="str">
        <f t="shared" si="17"/>
        <v>Mejeriprodukter</v>
      </c>
      <c r="B78" s="171" t="str">
        <f t="shared" si="18"/>
        <v/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71">
        <f t="shared" si="19"/>
        <v>2030</v>
      </c>
      <c r="E78" t="s">
        <v>23</v>
      </c>
      <c r="F78" s="94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94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9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79">
        <f t="shared" si="9"/>
        <v>2655270.0055985088</v>
      </c>
      <c r="O78" s="94">
        <f t="shared" si="20"/>
        <v>0</v>
      </c>
      <c r="P78" s="180">
        <f t="shared" si="10"/>
        <v>0</v>
      </c>
      <c r="Q78">
        <f>IFERROR(VLOOKUP(A78,[1]Energiindhold!$A$2:$C$11,3,FALSE),IFERROR(VLOOKUP(A78,[1]Biogasudbytte!$A$2:$B$18,2,FALSE)*[1]Energiindhold!$C$10,0))*O78</f>
        <v>0</v>
      </c>
      <c r="R7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>
        <f>IFERROR(VLOOKUP(A78,[1]Biogasudbytte!$A$2:$B$18,2,FALSE)*[1]Energiindhold!$C$10,0)*J78*IFERROR(VLOOKUP(A78,Biogasanlæg!$F$3:$G$8,2,FALSE),1)</f>
        <v>0</v>
      </c>
      <c r="T78" s="170">
        <f t="shared" si="11"/>
        <v>0</v>
      </c>
      <c r="U78" s="169">
        <f>O78*IFERROR(VLOOKUP(A78,[1]Tørstofindhold!A$2:B$24,2,FALSE),0)</f>
        <v>0</v>
      </c>
      <c r="V78">
        <f>IF(D78=År1,P78,SUM(O78,P78))*IFERROR(VLOOKUP(A78,[1]Tørstofindhold!A$2:B$24,2,FALSE),0)</f>
        <v>0</v>
      </c>
      <c r="W78">
        <f>J78*IFERROR(VLOOKUP(A78,[1]Tørstofindhold!A$2:B$24,2,FALSE),0)</f>
        <v>0</v>
      </c>
      <c r="X78" s="170">
        <f t="shared" si="12"/>
        <v>0</v>
      </c>
      <c r="Y78">
        <f t="shared" si="21"/>
        <v>0</v>
      </c>
      <c r="Z78">
        <f t="shared" si="22"/>
        <v>1</v>
      </c>
    </row>
    <row r="79" spans="1:26" hidden="1" x14ac:dyDescent="0.55000000000000004">
      <c r="A79" s="171" t="str">
        <f t="shared" si="17"/>
        <v>Muslinger</v>
      </c>
      <c r="B79" s="171" t="str">
        <f t="shared" si="18"/>
        <v>Havbiomasse</v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71">
        <f t="shared" si="19"/>
        <v>2030</v>
      </c>
      <c r="E79" t="s">
        <v>23</v>
      </c>
      <c r="F79" s="94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878.90231344976178</v>
      </c>
      <c r="G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94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9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79">
        <f t="shared" si="9"/>
        <v>878.90231344976178</v>
      </c>
      <c r="O79" s="94">
        <f t="shared" si="20"/>
        <v>878.90231344976178</v>
      </c>
      <c r="P79" s="180">
        <f t="shared" si="10"/>
        <v>0</v>
      </c>
      <c r="Q79">
        <f>IFERROR(VLOOKUP(A79,[1]Energiindhold!$A$2:$C$11,3,FALSE),IFERROR(VLOOKUP(A79,[1]Biogasudbytte!$A$2:$B$18,2,FALSE)*[1]Energiindhold!$C$10,0))*O79</f>
        <v>7.8881482632116122E-4</v>
      </c>
      <c r="R79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7.8881482632116122E-4</v>
      </c>
      <c r="S79">
        <f>IFERROR(VLOOKUP(A79,[1]Biogasudbytte!$A$2:$B$18,2,FALSE)*[1]Energiindhold!$C$10,0)*J79*IFERROR(VLOOKUP(A79,Biogasanlæg!$F$3:$G$8,2,FALSE),1)</f>
        <v>0</v>
      </c>
      <c r="T79" s="170">
        <f t="shared" si="11"/>
        <v>7.8881482632116122E-4</v>
      </c>
      <c r="U79" s="169">
        <f>O79*IFERROR(VLOOKUP(A79,[1]Tørstofindhold!A$2:B$24,2,FALSE),0)</f>
        <v>131.83534701746427</v>
      </c>
      <c r="V79">
        <f>IF(D79=År1,P79,SUM(O79,P79))*IFERROR(VLOOKUP(A79,[1]Tørstofindhold!A$2:B$24,2,FALSE),0)</f>
        <v>131.83534701746427</v>
      </c>
      <c r="W79">
        <f>J79*IFERROR(VLOOKUP(A79,[1]Tørstofindhold!A$2:B$24,2,FALSE),0)</f>
        <v>0</v>
      </c>
      <c r="X79" s="170">
        <f t="shared" si="12"/>
        <v>131.83534701746427</v>
      </c>
      <c r="Y79">
        <f t="shared" si="21"/>
        <v>0</v>
      </c>
      <c r="Z79">
        <f t="shared" si="22"/>
        <v>1</v>
      </c>
    </row>
    <row r="80" spans="1:26" hidden="1" x14ac:dyDescent="0.55000000000000004">
      <c r="A80" s="171" t="str">
        <f t="shared" si="17"/>
        <v>Oksekød</v>
      </c>
      <c r="B80" s="171" t="str">
        <f t="shared" si="18"/>
        <v/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71">
        <f t="shared" si="19"/>
        <v>2030</v>
      </c>
      <c r="E80" t="s">
        <v>23</v>
      </c>
      <c r="F80" s="94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94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9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79">
        <f t="shared" si="9"/>
        <v>58145.536110363057</v>
      </c>
      <c r="O80" s="94">
        <f t="shared" si="20"/>
        <v>0</v>
      </c>
      <c r="P80" s="180">
        <f t="shared" si="10"/>
        <v>0</v>
      </c>
      <c r="Q80">
        <f>IFERROR(VLOOKUP(A80,[1]Energiindhold!$A$2:$C$11,3,FALSE),IFERROR(VLOOKUP(A80,[1]Biogasudbytte!$A$2:$B$18,2,FALSE)*[1]Energiindhold!$C$10,0))*O80</f>
        <v>0</v>
      </c>
      <c r="R8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>
        <f>IFERROR(VLOOKUP(A80,[1]Biogasudbytte!$A$2:$B$18,2,FALSE)*[1]Energiindhold!$C$10,0)*J80*IFERROR(VLOOKUP(A80,Biogasanlæg!$F$3:$G$8,2,FALSE),1)</f>
        <v>0</v>
      </c>
      <c r="T80" s="170">
        <f t="shared" si="11"/>
        <v>0</v>
      </c>
      <c r="U80" s="169">
        <f>O80*IFERROR(VLOOKUP(A80,[1]Tørstofindhold!A$2:B$24,2,FALSE),0)</f>
        <v>0</v>
      </c>
      <c r="V80">
        <f>IF(D80=År1,P80,SUM(O80,P80))*IFERROR(VLOOKUP(A80,[1]Tørstofindhold!A$2:B$24,2,FALSE),0)</f>
        <v>0</v>
      </c>
      <c r="W80">
        <f>J80*IFERROR(VLOOKUP(A80,[1]Tørstofindhold!A$2:B$24,2,FALSE),0)</f>
        <v>0</v>
      </c>
      <c r="X80" s="170">
        <f t="shared" si="12"/>
        <v>0</v>
      </c>
      <c r="Y80">
        <f t="shared" si="21"/>
        <v>0</v>
      </c>
      <c r="Z80">
        <f t="shared" si="22"/>
        <v>1</v>
      </c>
    </row>
    <row r="81" spans="1:26" hidden="1" x14ac:dyDescent="0.55000000000000004">
      <c r="A81" s="171" t="str">
        <f t="shared" si="17"/>
        <v>Øvrige</v>
      </c>
      <c r="B81" s="171" t="str">
        <f t="shared" si="18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9"/>
        <v>2030</v>
      </c>
      <c r="E81" t="s">
        <v>23</v>
      </c>
      <c r="F81" s="94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1644241.434656535</v>
      </c>
      <c r="G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94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9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79">
        <f t="shared" si="9"/>
        <v>1644241.434656535</v>
      </c>
      <c r="O81" s="94">
        <f t="shared" si="20"/>
        <v>0</v>
      </c>
      <c r="P81" s="180">
        <f t="shared" si="10"/>
        <v>0</v>
      </c>
      <c r="Q81">
        <f>IFERROR(VLOOKUP(A81,[1]Energiindhold!$A$2:$C$11,3,FALSE),IFERROR(VLOOKUP(A81,[1]Biogasudbytte!$A$2:$B$18,2,FALSE)*[1]Energiindhold!$C$10,0))*O81</f>
        <v>0</v>
      </c>
      <c r="R81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>
        <f>IFERROR(VLOOKUP(A81,[1]Biogasudbytte!$A$2:$B$18,2,FALSE)*[1]Energiindhold!$C$10,0)*J81*IFERROR(VLOOKUP(A81,Biogasanlæg!$F$3:$G$8,2,FALSE),1)</f>
        <v>0</v>
      </c>
      <c r="T81" s="170">
        <f t="shared" si="11"/>
        <v>0</v>
      </c>
      <c r="U81" s="169">
        <f>O81*IFERROR(VLOOKUP(A81,[1]Tørstofindhold!A$2:B$24,2,FALSE),0)</f>
        <v>0</v>
      </c>
      <c r="V81">
        <f>IF(D81=År1,P81,SUM(O81,P81))*IFERROR(VLOOKUP(A81,[1]Tørstofindhold!A$2:B$24,2,FALSE),0)</f>
        <v>0</v>
      </c>
      <c r="W81">
        <f>J81*IFERROR(VLOOKUP(A81,[1]Tørstofindhold!A$2:B$24,2,FALSE),0)</f>
        <v>0</v>
      </c>
      <c r="X81" s="170">
        <f t="shared" si="12"/>
        <v>0</v>
      </c>
      <c r="Y81">
        <f t="shared" si="21"/>
        <v>0</v>
      </c>
      <c r="Z81">
        <f t="shared" si="22"/>
        <v>1</v>
      </c>
    </row>
    <row r="82" spans="1:26" hidden="1" x14ac:dyDescent="0.55000000000000004">
      <c r="A82" s="171" t="str">
        <f t="shared" si="17"/>
        <v>Pil &amp; poppel</v>
      </c>
      <c r="B82" s="171" t="str">
        <f t="shared" si="18"/>
        <v>Vedmasse</v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71">
        <f t="shared" si="19"/>
        <v>2030</v>
      </c>
      <c r="E82" t="s">
        <v>23</v>
      </c>
      <c r="F82" s="94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170203.15251490066</v>
      </c>
      <c r="G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94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170203.15251490066</v>
      </c>
      <c r="M82" s="9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79">
        <f t="shared" ref="N82:N149" si="23">F82-SUM(G82:M82)</f>
        <v>0</v>
      </c>
      <c r="O82" s="94">
        <f t="shared" si="20"/>
        <v>0</v>
      </c>
      <c r="P82" s="180">
        <f t="shared" ref="P82:P149" si="24">SUM(J82,L82)</f>
        <v>170203.15251490066</v>
      </c>
      <c r="Q82">
        <f>IFERROR(VLOOKUP(A82,[1]Energiindhold!$A$2:$C$11,3,FALSE),IFERROR(VLOOKUP(A82,[1]Biogasudbytte!$A$2:$B$18,2,FALSE)*[1]Energiindhold!$C$10,0))*O82</f>
        <v>0</v>
      </c>
      <c r="R8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3.1317380062741718</v>
      </c>
      <c r="S82">
        <f>IFERROR(VLOOKUP(A82,[1]Biogasudbytte!$A$2:$B$18,2,FALSE)*[1]Energiindhold!$C$10,0)*J82*IFERROR(VLOOKUP(A82,Biogasanlæg!$F$3:$G$8,2,FALSE),1)</f>
        <v>0</v>
      </c>
      <c r="T82" s="170">
        <f t="shared" ref="T82:T149" si="25">R82-S82</f>
        <v>3.1317380062741718</v>
      </c>
      <c r="U82" s="169">
        <f>O82*IFERROR(VLOOKUP(A82,[1]Tørstofindhold!A$2:B$24,2,FALSE),0)</f>
        <v>0</v>
      </c>
      <c r="V82">
        <f>IF(D82=År1,P82,SUM(O82,P82))*IFERROR(VLOOKUP(A82,[1]Tørstofindhold!A$2:B$24,2,FALSE),0)</f>
        <v>70634.308293683775</v>
      </c>
      <c r="W82">
        <f>J82*IFERROR(VLOOKUP(A82,[1]Tørstofindhold!A$2:B$24,2,FALSE),0)</f>
        <v>0</v>
      </c>
      <c r="X82" s="170">
        <f t="shared" ref="X82:X149" si="26">V82-W82</f>
        <v>70634.308293683775</v>
      </c>
      <c r="Y82">
        <f t="shared" si="21"/>
        <v>0</v>
      </c>
      <c r="Z82">
        <f t="shared" si="22"/>
        <v>0</v>
      </c>
    </row>
    <row r="83" spans="1:26" hidden="1" x14ac:dyDescent="0.55000000000000004">
      <c r="A83" s="171" t="str">
        <f t="shared" ref="A83:A84" si="27">A35</f>
        <v>Pyrolysegas</v>
      </c>
      <c r="B83" s="171" t="str">
        <f t="shared" ref="B83:B84" si="28">IF(B35&lt;&gt;"",B35,"")</f>
        <v>Pyrolyseprodukter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9"/>
        <v>2030</v>
      </c>
      <c r="E83" t="s">
        <v>23</v>
      </c>
      <c r="F83" s="94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94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9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79">
        <f t="shared" ref="N83:N84" si="29">F83-SUM(G83:M83)</f>
        <v>0</v>
      </c>
      <c r="O83" s="94">
        <f t="shared" si="20"/>
        <v>0</v>
      </c>
      <c r="P83" s="180">
        <f t="shared" ref="P83:P84" si="30">SUM(J83,L83)</f>
        <v>0</v>
      </c>
      <c r="Q83">
        <f>IFERROR(VLOOKUP(A83,[1]Energiindhold!$A$2:$C$11,3,FALSE),IFERROR(VLOOKUP(A83,[1]Biogasudbytte!$A$2:$B$18,2,FALSE)*[1]Energiindhold!$C$10,0))*O83</f>
        <v>0</v>
      </c>
      <c r="R83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>
        <f>IFERROR(VLOOKUP(A83,[1]Biogasudbytte!$A$2:$B$18,2,FALSE)*[1]Energiindhold!$C$10,0)*J83*IFERROR(VLOOKUP(A83,Biogasanlæg!$F$3:$G$8,2,FALSE),1)</f>
        <v>0</v>
      </c>
      <c r="T83" s="170">
        <f t="shared" ref="T83:T84" si="31">R83-S83</f>
        <v>0</v>
      </c>
      <c r="U83" s="169">
        <f>O83*IFERROR(VLOOKUP(A83,[1]Tørstofindhold!A$2:B$24,2,FALSE),0)</f>
        <v>0</v>
      </c>
      <c r="V83">
        <f>IF(D83=År1,P83,SUM(O83,P83))*IFERROR(VLOOKUP(A83,[1]Tørstofindhold!A$2:B$24,2,FALSE),0)</f>
        <v>0</v>
      </c>
      <c r="W83">
        <f>J83*IFERROR(VLOOKUP(A83,[1]Tørstofindhold!A$2:B$24,2,FALSE),0)</f>
        <v>0</v>
      </c>
      <c r="X83" s="170">
        <f t="shared" ref="X83:X84" si="32">V83-W83</f>
        <v>0</v>
      </c>
      <c r="Y83">
        <f t="shared" si="21"/>
        <v>0</v>
      </c>
      <c r="Z83">
        <f t="shared" si="22"/>
        <v>0</v>
      </c>
    </row>
    <row r="84" spans="1:26" hidden="1" x14ac:dyDescent="0.55000000000000004">
      <c r="A84" s="171" t="str">
        <f t="shared" si="27"/>
        <v>Pyrolyseolie</v>
      </c>
      <c r="B84" s="171" t="str">
        <f t="shared" si="28"/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9"/>
        <v>2030</v>
      </c>
      <c r="E84" t="s">
        <v>23</v>
      </c>
      <c r="F84" s="94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94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9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79">
        <f t="shared" si="29"/>
        <v>0</v>
      </c>
      <c r="O84" s="94">
        <f t="shared" si="20"/>
        <v>0</v>
      </c>
      <c r="P84" s="180">
        <f t="shared" si="30"/>
        <v>0</v>
      </c>
      <c r="Q84">
        <f>IFERROR(VLOOKUP(A84,[1]Energiindhold!$A$2:$C$11,3,FALSE),IFERROR(VLOOKUP(A84,[1]Biogasudbytte!$A$2:$B$18,2,FALSE)*[1]Energiindhold!$C$10,0))*O84</f>
        <v>0</v>
      </c>
      <c r="R84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>
        <f>IFERROR(VLOOKUP(A84,[1]Biogasudbytte!$A$2:$B$18,2,FALSE)*[1]Energiindhold!$C$10,0)*J84*IFERROR(VLOOKUP(A84,Biogasanlæg!$F$3:$G$8,2,FALSE),1)</f>
        <v>0</v>
      </c>
      <c r="T84" s="170">
        <f t="shared" si="31"/>
        <v>0</v>
      </c>
      <c r="U84" s="169">
        <f>O84*IFERROR(VLOOKUP(A84,[1]Tørstofindhold!A$2:B$24,2,FALSE),0)</f>
        <v>0</v>
      </c>
      <c r="V84">
        <f>IF(D84=År1,P84,SUM(O84,P84))*IFERROR(VLOOKUP(A84,[1]Tørstofindhold!A$2:B$24,2,FALSE),0)</f>
        <v>0</v>
      </c>
      <c r="W84">
        <f>J84*IFERROR(VLOOKUP(A84,[1]Tørstofindhold!A$2:B$24,2,FALSE),0)</f>
        <v>0</v>
      </c>
      <c r="X84" s="170">
        <f t="shared" si="32"/>
        <v>0</v>
      </c>
      <c r="Y84">
        <f t="shared" si="21"/>
        <v>0</v>
      </c>
      <c r="Z84">
        <f t="shared" si="22"/>
        <v>0</v>
      </c>
    </row>
    <row r="85" spans="1:26" hidden="1" x14ac:dyDescent="0.55000000000000004">
      <c r="A85" s="171" t="str">
        <f t="shared" ref="A85:A130" si="33">A37</f>
        <v>Råmælk</v>
      </c>
      <c r="B85" s="171" t="str">
        <f t="shared" ref="B85:B130" si="34">IF(B37&lt;&gt;"",B37,"")</f>
        <v/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71">
        <f t="shared" si="19"/>
        <v>2030</v>
      </c>
      <c r="E85" t="s">
        <v>23</v>
      </c>
      <c r="F85" s="94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94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9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79">
        <f t="shared" si="23"/>
        <v>4870431.535367866</v>
      </c>
      <c r="O85" s="94">
        <f t="shared" si="20"/>
        <v>0</v>
      </c>
      <c r="P85" s="180">
        <f t="shared" si="24"/>
        <v>0</v>
      </c>
      <c r="Q85">
        <f>IFERROR(VLOOKUP(A85,[1]Energiindhold!$A$2:$C$11,3,FALSE),IFERROR(VLOOKUP(A85,[1]Biogasudbytte!$A$2:$B$18,2,FALSE)*[1]Energiindhold!$C$10,0))*O85</f>
        <v>0</v>
      </c>
      <c r="R85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>
        <f>IFERROR(VLOOKUP(A85,[1]Biogasudbytte!$A$2:$B$18,2,FALSE)*[1]Energiindhold!$C$10,0)*J85*IFERROR(VLOOKUP(A85,Biogasanlæg!$F$3:$G$8,2,FALSE),1)</f>
        <v>0</v>
      </c>
      <c r="T85" s="170">
        <f t="shared" si="25"/>
        <v>0</v>
      </c>
      <c r="U85" s="169">
        <f>O85*IFERROR(VLOOKUP(A85,[1]Tørstofindhold!A$2:B$24,2,FALSE),0)</f>
        <v>0</v>
      </c>
      <c r="V85">
        <f>IF(D85=År1,P85,SUM(O85,P85))*IFERROR(VLOOKUP(A85,[1]Tørstofindhold!A$2:B$24,2,FALSE),0)</f>
        <v>0</v>
      </c>
      <c r="W85">
        <f>J85*IFERROR(VLOOKUP(A85,[1]Tørstofindhold!A$2:B$24,2,FALSE),0)</f>
        <v>0</v>
      </c>
      <c r="X85" s="170">
        <f t="shared" si="26"/>
        <v>0</v>
      </c>
      <c r="Y85">
        <f t="shared" si="21"/>
        <v>0</v>
      </c>
      <c r="Z85">
        <f t="shared" si="22"/>
        <v>1</v>
      </c>
    </row>
    <row r="86" spans="1:26" hidden="1" x14ac:dyDescent="0.55000000000000004">
      <c r="A86" s="171" t="str">
        <f t="shared" si="33"/>
        <v>Raps</v>
      </c>
      <c r="B86" s="171" t="str">
        <f t="shared" si="34"/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9"/>
        <v>2030</v>
      </c>
      <c r="E86" t="s">
        <v>23</v>
      </c>
      <c r="F86" s="94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497134.76694638823</v>
      </c>
      <c r="G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94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94">
        <f>SUMIFS('Forbrug af biomasse'!E:E,'Forbrug af biomasse'!C:C,'Resultat-Produktion &amp; forbrug'!$A86,'Forbrug af biomasse'!D:D,'Resultat-Produktion &amp; forbrug'!$D86,'Forbrug af biomasse'!G:G,1,'Forbrug af biomasse'!B:B,$E86)</f>
        <v>497134.76694638823</v>
      </c>
      <c r="N86" s="179">
        <f t="shared" si="23"/>
        <v>0</v>
      </c>
      <c r="O86" s="94">
        <f t="shared" si="20"/>
        <v>0</v>
      </c>
      <c r="P86" s="180">
        <f t="shared" si="24"/>
        <v>0</v>
      </c>
      <c r="Q86">
        <f>IFERROR(VLOOKUP(A86,[1]Energiindhold!$A$2:$C$11,3,FALSE),IFERROR(VLOOKUP(A86,[1]Biogasudbytte!$A$2:$B$18,2,FALSE)*[1]Energiindhold!$C$10,0))*O86</f>
        <v>0</v>
      </c>
      <c r="R86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>
        <f>IFERROR(VLOOKUP(A86,[1]Biogasudbytte!$A$2:$B$18,2,FALSE)*[1]Energiindhold!$C$10,0)*J86*IFERROR(VLOOKUP(A86,Biogasanlæg!$F$3:$G$8,2,FALSE),1)</f>
        <v>0</v>
      </c>
      <c r="T86" s="170">
        <f t="shared" si="25"/>
        <v>0</v>
      </c>
      <c r="U86" s="169">
        <f>O86*IFERROR(VLOOKUP(A86,[1]Tørstofindhold!A$2:B$24,2,FALSE),0)</f>
        <v>0</v>
      </c>
      <c r="V86">
        <f>IF(D86=År1,P86,SUM(O86,P86))*IFERROR(VLOOKUP(A86,[1]Tørstofindhold!A$2:B$24,2,FALSE),0)</f>
        <v>0</v>
      </c>
      <c r="W86">
        <f>J86*IFERROR(VLOOKUP(A86,[1]Tørstofindhold!A$2:B$24,2,FALSE),0)</f>
        <v>0</v>
      </c>
      <c r="X86" s="170">
        <f t="shared" si="26"/>
        <v>0</v>
      </c>
      <c r="Y86">
        <f t="shared" si="21"/>
        <v>0</v>
      </c>
      <c r="Z86">
        <f t="shared" si="22"/>
        <v>0</v>
      </c>
    </row>
    <row r="87" spans="1:26" hidden="1" x14ac:dyDescent="0.55000000000000004">
      <c r="A87" s="171" t="str">
        <f t="shared" si="33"/>
        <v>Rapskage</v>
      </c>
      <c r="B87" s="171" t="str">
        <f t="shared" si="34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9"/>
        <v>2030</v>
      </c>
      <c r="E87" t="s">
        <v>23</v>
      </c>
      <c r="F87" s="94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248567.38347319412</v>
      </c>
      <c r="G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208821.40901429488</v>
      </c>
      <c r="H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94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9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79">
        <f t="shared" si="23"/>
        <v>39745.974458899233</v>
      </c>
      <c r="O87" s="94">
        <f t="shared" si="20"/>
        <v>0</v>
      </c>
      <c r="P87" s="180">
        <f t="shared" si="24"/>
        <v>0</v>
      </c>
      <c r="Q87">
        <f>IFERROR(VLOOKUP(A87,[1]Energiindhold!$A$2:$C$11,3,FALSE),IFERROR(VLOOKUP(A87,[1]Biogasudbytte!$A$2:$B$18,2,FALSE)*[1]Energiindhold!$C$10,0))*O87</f>
        <v>0</v>
      </c>
      <c r="R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>
        <f>IFERROR(VLOOKUP(A87,[1]Biogasudbytte!$A$2:$B$18,2,FALSE)*[1]Energiindhold!$C$10,0)*J87*IFERROR(VLOOKUP(A87,Biogasanlæg!$F$3:$G$8,2,FALSE),1)</f>
        <v>0</v>
      </c>
      <c r="T87" s="170">
        <f t="shared" si="25"/>
        <v>0</v>
      </c>
      <c r="U87" s="169">
        <f>O87*IFERROR(VLOOKUP(A87,[1]Tørstofindhold!A$2:B$24,2,FALSE),0)</f>
        <v>0</v>
      </c>
      <c r="V87">
        <f>IF(D87=År1,P87,SUM(O87,P87))*IFERROR(VLOOKUP(A87,[1]Tørstofindhold!A$2:B$24,2,FALSE),0)</f>
        <v>0</v>
      </c>
      <c r="W87">
        <f>J87*IFERROR(VLOOKUP(A87,[1]Tørstofindhold!A$2:B$24,2,FALSE),0)</f>
        <v>0</v>
      </c>
      <c r="X87" s="170">
        <f t="shared" si="26"/>
        <v>0</v>
      </c>
      <c r="Y87">
        <f t="shared" si="21"/>
        <v>0</v>
      </c>
      <c r="Z87">
        <f t="shared" si="22"/>
        <v>1</v>
      </c>
    </row>
    <row r="88" spans="1:26" hidden="1" x14ac:dyDescent="0.55000000000000004">
      <c r="A88" s="171" t="str">
        <f t="shared" si="33"/>
        <v>Rapsolie</v>
      </c>
      <c r="B88" s="171" t="str">
        <f t="shared" si="34"/>
        <v>Rapsolie</v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71">
        <f t="shared" si="19"/>
        <v>2030</v>
      </c>
      <c r="E88" t="s">
        <v>23</v>
      </c>
      <c r="F88" s="94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159083.12542284423</v>
      </c>
      <c r="G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94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159083.12542284423</v>
      </c>
      <c r="M88" s="9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79">
        <f t="shared" si="23"/>
        <v>0</v>
      </c>
      <c r="O88" s="94">
        <f t="shared" si="20"/>
        <v>0</v>
      </c>
      <c r="P88" s="180">
        <f t="shared" si="24"/>
        <v>159083.12542284423</v>
      </c>
      <c r="Q88">
        <f>IFERROR(VLOOKUP(A88,[1]Energiindhold!$A$2:$C$11,3,FALSE),IFERROR(VLOOKUP(A88,[1]Biogasudbytte!$A$2:$B$18,2,FALSE)*[1]Energiindhold!$C$10,0))*O88</f>
        <v>0</v>
      </c>
      <c r="R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5.5679093897995475</v>
      </c>
      <c r="S88">
        <f>IFERROR(VLOOKUP(A88,[1]Biogasudbytte!$A$2:$B$18,2,FALSE)*[1]Energiindhold!$C$10,0)*J88*IFERROR(VLOOKUP(A88,Biogasanlæg!$F$3:$G$8,2,FALSE),1)</f>
        <v>0</v>
      </c>
      <c r="T88" s="170">
        <f t="shared" si="25"/>
        <v>5.5679093897995475</v>
      </c>
      <c r="U88" s="169">
        <f>O88*IFERROR(VLOOKUP(A88,[1]Tørstofindhold!A$2:B$24,2,FALSE),0)</f>
        <v>0</v>
      </c>
      <c r="V88">
        <f>IF(D88=År1,P88,SUM(O88,P88))*IFERROR(VLOOKUP(A88,[1]Tørstofindhold!A$2:B$24,2,FALSE),0)</f>
        <v>0</v>
      </c>
      <c r="W88">
        <f>J88*IFERROR(VLOOKUP(A88,[1]Tørstofindhold!A$2:B$24,2,FALSE),0)</f>
        <v>0</v>
      </c>
      <c r="X88" s="170">
        <f t="shared" si="26"/>
        <v>0</v>
      </c>
      <c r="Y88">
        <f t="shared" si="21"/>
        <v>0</v>
      </c>
      <c r="Z88">
        <f t="shared" si="22"/>
        <v>0</v>
      </c>
    </row>
    <row r="89" spans="1:26" hidden="1" x14ac:dyDescent="0.55000000000000004">
      <c r="A89" s="171" t="str">
        <f t="shared" si="33"/>
        <v>Roer</v>
      </c>
      <c r="B89" s="171" t="str">
        <f t="shared" si="34"/>
        <v>Græs og urter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9"/>
        <v>2030</v>
      </c>
      <c r="E89" t="s">
        <v>23</v>
      </c>
      <c r="F89" s="94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387359.23061650008</v>
      </c>
      <c r="G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820432.23039507493</v>
      </c>
      <c r="H89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94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9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79">
        <f t="shared" si="23"/>
        <v>-433072.99977857486</v>
      </c>
      <c r="O89" s="94">
        <f t="shared" si="20"/>
        <v>0</v>
      </c>
      <c r="P89" s="180">
        <f t="shared" si="24"/>
        <v>0</v>
      </c>
      <c r="Q89">
        <f>IFERROR(VLOOKUP(A89,[1]Energiindhold!$A$2:$C$11,3,FALSE),IFERROR(VLOOKUP(A89,[1]Biogasudbytte!$A$2:$B$18,2,FALSE)*[1]Energiindhold!$C$10,0))*O89</f>
        <v>0</v>
      </c>
      <c r="R89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>
        <f>IFERROR(VLOOKUP(A89,[1]Biogasudbytte!$A$2:$B$18,2,FALSE)*[1]Energiindhold!$C$10,0)*J89*IFERROR(VLOOKUP(A89,Biogasanlæg!$F$3:$G$8,2,FALSE),1)</f>
        <v>0</v>
      </c>
      <c r="T89" s="170">
        <f t="shared" si="25"/>
        <v>0</v>
      </c>
      <c r="U89" s="169">
        <f>O89*IFERROR(VLOOKUP(A89,[1]Tørstofindhold!A$2:B$24,2,FALSE),0)</f>
        <v>0</v>
      </c>
      <c r="V89">
        <f>IF(D89=År1,P89,SUM(O89,P89))*IFERROR(VLOOKUP(A89,[1]Tørstofindhold!A$2:B$24,2,FALSE),0)</f>
        <v>0</v>
      </c>
      <c r="W89">
        <f>J89*IFERROR(VLOOKUP(A89,[1]Tørstofindhold!A$2:B$24,2,FALSE),0)</f>
        <v>0</v>
      </c>
      <c r="X89" s="170">
        <f t="shared" si="26"/>
        <v>0</v>
      </c>
      <c r="Y89">
        <f t="shared" si="21"/>
        <v>0</v>
      </c>
      <c r="Z89">
        <f t="shared" si="22"/>
        <v>1</v>
      </c>
    </row>
    <row r="90" spans="1:26" hidden="1" x14ac:dyDescent="0.55000000000000004">
      <c r="A90" s="171" t="str">
        <f t="shared" si="33"/>
        <v>Slagteriaffald til andet</v>
      </c>
      <c r="B90" s="171" t="str">
        <f t="shared" si="34"/>
        <v/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71">
        <f t="shared" si="19"/>
        <v>2030</v>
      </c>
      <c r="E90" t="s">
        <v>23</v>
      </c>
      <c r="F90" s="94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186820.23082427966</v>
      </c>
      <c r="G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94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9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79">
        <f t="shared" si="23"/>
        <v>186820.23082427966</v>
      </c>
      <c r="O90" s="94">
        <f t="shared" si="20"/>
        <v>0</v>
      </c>
      <c r="P90" s="180">
        <f t="shared" si="24"/>
        <v>0</v>
      </c>
      <c r="Q90">
        <f>IFERROR(VLOOKUP(A90,[1]Energiindhold!$A$2:$C$11,3,FALSE),IFERROR(VLOOKUP(A90,[1]Biogasudbytte!$A$2:$B$18,2,FALSE)*[1]Energiindhold!$C$10,0))*O90</f>
        <v>0</v>
      </c>
      <c r="R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>
        <f>IFERROR(VLOOKUP(A90,[1]Biogasudbytte!$A$2:$B$18,2,FALSE)*[1]Energiindhold!$C$10,0)*J90*IFERROR(VLOOKUP(A90,Biogasanlæg!$F$3:$G$8,2,FALSE),1)</f>
        <v>0</v>
      </c>
      <c r="T90" s="170">
        <f t="shared" si="25"/>
        <v>0</v>
      </c>
      <c r="U90" s="169">
        <f>O90*IFERROR(VLOOKUP(A90,[1]Tørstofindhold!A$2:B$24,2,FALSE),0)</f>
        <v>0</v>
      </c>
      <c r="V90">
        <f>IF(D90=År1,P90,SUM(O90,P90))*IFERROR(VLOOKUP(A90,[1]Tørstofindhold!A$2:B$24,2,FALSE),0)</f>
        <v>0</v>
      </c>
      <c r="W90">
        <f>J90*IFERROR(VLOOKUP(A90,[1]Tørstofindhold!A$2:B$24,2,FALSE),0)</f>
        <v>0</v>
      </c>
      <c r="X90" s="170">
        <f t="shared" si="26"/>
        <v>0</v>
      </c>
      <c r="Y90">
        <f t="shared" si="21"/>
        <v>0</v>
      </c>
      <c r="Z90">
        <f t="shared" si="22"/>
        <v>1</v>
      </c>
    </row>
    <row r="91" spans="1:26" hidden="1" x14ac:dyDescent="0.55000000000000004">
      <c r="A91" s="171" t="str">
        <f t="shared" si="33"/>
        <v>Slagteriaffald til foder</v>
      </c>
      <c r="B91" s="171" t="str">
        <f t="shared" si="34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9"/>
        <v>2030</v>
      </c>
      <c r="E91" t="s">
        <v>23</v>
      </c>
      <c r="F91" s="94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125332.48409482336</v>
      </c>
      <c r="G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38444.108772506181</v>
      </c>
      <c r="H91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94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9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79">
        <f t="shared" si="23"/>
        <v>86888.375322317181</v>
      </c>
      <c r="O91" s="94">
        <f t="shared" si="20"/>
        <v>0</v>
      </c>
      <c r="P91" s="180">
        <f t="shared" si="24"/>
        <v>0</v>
      </c>
      <c r="Q91">
        <f>IFERROR(VLOOKUP(A91,[1]Energiindhold!$A$2:$C$11,3,FALSE),IFERROR(VLOOKUP(A91,[1]Biogasudbytte!$A$2:$B$18,2,FALSE)*[1]Energiindhold!$C$10,0))*O91</f>
        <v>0</v>
      </c>
      <c r="R91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>
        <f>IFERROR(VLOOKUP(A91,[1]Biogasudbytte!$A$2:$B$18,2,FALSE)*[1]Energiindhold!$C$10,0)*J91*IFERROR(VLOOKUP(A91,Biogasanlæg!$F$3:$G$8,2,FALSE),1)</f>
        <v>0</v>
      </c>
      <c r="T91" s="170">
        <f t="shared" si="25"/>
        <v>0</v>
      </c>
      <c r="U91" s="169">
        <f>O91*IFERROR(VLOOKUP(A91,[1]Tørstofindhold!A$2:B$24,2,FALSE),0)</f>
        <v>0</v>
      </c>
      <c r="V91">
        <f>IF(D91=År1,P91,SUM(O91,P91))*IFERROR(VLOOKUP(A91,[1]Tørstofindhold!A$2:B$24,2,FALSE),0)</f>
        <v>0</v>
      </c>
      <c r="W91">
        <f>J91*IFERROR(VLOOKUP(A91,[1]Tørstofindhold!A$2:B$24,2,FALSE),0)</f>
        <v>0</v>
      </c>
      <c r="X91" s="170">
        <f t="shared" si="26"/>
        <v>0</v>
      </c>
      <c r="Y91">
        <f t="shared" si="21"/>
        <v>0</v>
      </c>
      <c r="Z91">
        <f t="shared" si="22"/>
        <v>1</v>
      </c>
    </row>
    <row r="92" spans="1:26" hidden="1" x14ac:dyDescent="0.55000000000000004">
      <c r="A92" s="171" t="str">
        <f t="shared" si="33"/>
        <v>Spildevandsslam</v>
      </c>
      <c r="B92" s="171" t="str">
        <f t="shared" si="34"/>
        <v>Bionedbrydeligt affald</v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71">
        <f t="shared" si="19"/>
        <v>2030</v>
      </c>
      <c r="E92" t="s">
        <v>23</v>
      </c>
      <c r="F92" s="94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94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9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79">
        <f t="shared" si="23"/>
        <v>993477.74937617499</v>
      </c>
      <c r="O92" s="94">
        <f t="shared" si="20"/>
        <v>993477.74937617499</v>
      </c>
      <c r="P92" s="180">
        <f t="shared" si="24"/>
        <v>2980433.248128525</v>
      </c>
      <c r="Q92">
        <f>IFERROR(VLOOKUP(A92,[1]Energiindhold!$A$2:$C$11,3,FALSE),IFERROR(VLOOKUP(A92,[1]Biogasudbytte!$A$2:$B$18,2,FALSE)*[1]Energiindhold!$C$10,0))*O92</f>
        <v>0.49575533171620517</v>
      </c>
      <c r="R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>
        <f>IFERROR(VLOOKUP(A92,[1]Biogasudbytte!$A$2:$B$18,2,FALSE)*[1]Energiindhold!$C$10,0)*J92*IFERROR(VLOOKUP(A92,Biogasanlæg!$F$3:$G$8,2,FALSE),1)</f>
        <v>1.4872659951486156</v>
      </c>
      <c r="T92" s="170">
        <f t="shared" si="25"/>
        <v>0.49575533171620512</v>
      </c>
      <c r="U92" s="169">
        <f>O92*IFERROR(VLOOKUP(A92,[1]Tørstofindhold!A$2:B$24,2,FALSE),0)</f>
        <v>59608.664962570496</v>
      </c>
      <c r="V92">
        <f>IF(D92=År1,P92,SUM(O92,P92))*IFERROR(VLOOKUP(A92,[1]Tørstofindhold!A$2:B$24,2,FALSE),0)</f>
        <v>238434.65985028198</v>
      </c>
      <c r="W92">
        <f>J92*IFERROR(VLOOKUP(A92,[1]Tørstofindhold!A$2:B$24,2,FALSE),0)</f>
        <v>178825.99488771148</v>
      </c>
      <c r="X92" s="170">
        <f t="shared" si="26"/>
        <v>59608.664962570503</v>
      </c>
      <c r="Y92">
        <f t="shared" si="21"/>
        <v>0</v>
      </c>
      <c r="Z92">
        <f t="shared" si="22"/>
        <v>1</v>
      </c>
    </row>
    <row r="93" spans="1:26" hidden="1" x14ac:dyDescent="0.55000000000000004">
      <c r="A93" s="171" t="str">
        <f t="shared" si="33"/>
        <v>Svinegylle</v>
      </c>
      <c r="B93" s="171" t="str">
        <f t="shared" si="34"/>
        <v>Husdyrgødning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9"/>
        <v>2030</v>
      </c>
      <c r="E93" t="s">
        <v>23</v>
      </c>
      <c r="F93" s="94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14539919.740607873</v>
      </c>
      <c r="G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10904939.805455904</v>
      </c>
      <c r="K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3634979.9351519686</v>
      </c>
      <c r="L93" s="94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9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79">
        <f t="shared" si="23"/>
        <v>0</v>
      </c>
      <c r="O93" s="94">
        <f t="shared" si="20"/>
        <v>0</v>
      </c>
      <c r="P93" s="180">
        <f t="shared" si="24"/>
        <v>10904939.805455904</v>
      </c>
      <c r="Q93">
        <f>IFERROR(VLOOKUP(A93,[1]Energiindhold!$A$2:$C$11,3,FALSE),IFERROR(VLOOKUP(A93,[1]Biogasudbytte!$A$2:$B$18,2,FALSE)*[1]Energiindhold!$C$10,0))*O93</f>
        <v>0</v>
      </c>
      <c r="R93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4.697848068190404</v>
      </c>
      <c r="S93">
        <f>IFERROR(VLOOKUP(A93,[1]Biogasudbytte!$A$2:$B$18,2,FALSE)*[1]Energiindhold!$C$10,0)*J93*IFERROR(VLOOKUP(A93,Biogasanlæg!$F$3:$G$8,2,FALSE),1)</f>
        <v>4.697848068190404</v>
      </c>
      <c r="T93" s="170">
        <f t="shared" si="25"/>
        <v>0</v>
      </c>
      <c r="U93" s="169">
        <f>O93*IFERROR(VLOOKUP(A93,[1]Tørstofindhold!A$2:B$24,2,FALSE),0)</f>
        <v>0</v>
      </c>
      <c r="V93">
        <f>IF(D93=År1,P93,SUM(O93,P93))*IFERROR(VLOOKUP(A93,[1]Tørstofindhold!A$2:B$24,2,FALSE),0)</f>
        <v>545246.9902727952</v>
      </c>
      <c r="W93">
        <f>J93*IFERROR(VLOOKUP(A93,[1]Tørstofindhold!A$2:B$24,2,FALSE),0)</f>
        <v>545246.9902727952</v>
      </c>
      <c r="X93" s="170">
        <f t="shared" si="26"/>
        <v>0</v>
      </c>
      <c r="Y93">
        <f t="shared" si="21"/>
        <v>0</v>
      </c>
      <c r="Z93">
        <f t="shared" si="22"/>
        <v>0</v>
      </c>
    </row>
    <row r="94" spans="1:26" hidden="1" x14ac:dyDescent="0.55000000000000004">
      <c r="A94" s="171" t="str">
        <f t="shared" si="33"/>
        <v>Svinekød</v>
      </c>
      <c r="B94" s="171" t="str">
        <f t="shared" si="34"/>
        <v/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71">
        <f t="shared" si="19"/>
        <v>2030</v>
      </c>
      <c r="E94" t="s">
        <v>23</v>
      </c>
      <c r="F94" s="94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1329115.7893830882</v>
      </c>
      <c r="G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94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9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79">
        <f t="shared" si="23"/>
        <v>1231615.3541441439</v>
      </c>
      <c r="O94" s="94">
        <f t="shared" si="20"/>
        <v>0</v>
      </c>
      <c r="P94" s="180">
        <f t="shared" si="24"/>
        <v>0</v>
      </c>
      <c r="Q94">
        <f>IFERROR(VLOOKUP(A94,[1]Energiindhold!$A$2:$C$11,3,FALSE),IFERROR(VLOOKUP(A94,[1]Biogasudbytte!$A$2:$B$18,2,FALSE)*[1]Energiindhold!$C$10,0))*O94</f>
        <v>0</v>
      </c>
      <c r="R94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>
        <f>IFERROR(VLOOKUP(A94,[1]Biogasudbytte!$A$2:$B$18,2,FALSE)*[1]Energiindhold!$C$10,0)*J94*IFERROR(VLOOKUP(A94,Biogasanlæg!$F$3:$G$8,2,FALSE),1)</f>
        <v>0</v>
      </c>
      <c r="T94" s="170">
        <f t="shared" si="25"/>
        <v>0</v>
      </c>
      <c r="U94" s="169">
        <f>O94*IFERROR(VLOOKUP(A94,[1]Tørstofindhold!A$2:B$24,2,FALSE),0)</f>
        <v>0</v>
      </c>
      <c r="V94">
        <f>IF(D94=År1,P94,SUM(O94,P94))*IFERROR(VLOOKUP(A94,[1]Tørstofindhold!A$2:B$24,2,FALSE),0)</f>
        <v>0</v>
      </c>
      <c r="W94">
        <f>J94*IFERROR(VLOOKUP(A94,[1]Tørstofindhold!A$2:B$24,2,FALSE),0)</f>
        <v>0</v>
      </c>
      <c r="X94" s="170">
        <f t="shared" si="26"/>
        <v>0</v>
      </c>
      <c r="Y94">
        <f t="shared" si="21"/>
        <v>0</v>
      </c>
      <c r="Z94">
        <f t="shared" si="22"/>
        <v>1</v>
      </c>
    </row>
    <row r="95" spans="1:26" hidden="1" x14ac:dyDescent="0.55000000000000004">
      <c r="A95" s="171" t="str">
        <f t="shared" si="33"/>
        <v>Tang</v>
      </c>
      <c r="B95" s="171" t="str">
        <f t="shared" si="34"/>
        <v>Havbiomasse</v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71">
        <f t="shared" si="19"/>
        <v>2030</v>
      </c>
      <c r="E95" t="s">
        <v>23</v>
      </c>
      <c r="F95" s="94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382.5</v>
      </c>
      <c r="G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94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9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79">
        <f t="shared" si="23"/>
        <v>382.5</v>
      </c>
      <c r="O95" s="94">
        <f t="shared" si="20"/>
        <v>382.5</v>
      </c>
      <c r="P95" s="180">
        <f t="shared" si="24"/>
        <v>0</v>
      </c>
      <c r="Q95">
        <f>IFERROR(VLOOKUP(A95,[1]Energiindhold!$A$2:$C$11,3,FALSE),IFERROR(VLOOKUP(A95,[1]Biogasudbytte!$A$2:$B$18,2,FALSE)*[1]Energiindhold!$C$10,0))*O95</f>
        <v>3.4329375000000003E-4</v>
      </c>
      <c r="R95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3.4329375000000003E-4</v>
      </c>
      <c r="S95">
        <f>IFERROR(VLOOKUP(A95,[1]Biogasudbytte!$A$2:$B$18,2,FALSE)*[1]Energiindhold!$C$10,0)*J95*IFERROR(VLOOKUP(A95,Biogasanlæg!$F$3:$G$8,2,FALSE),1)</f>
        <v>0</v>
      </c>
      <c r="T95" s="170">
        <f t="shared" si="25"/>
        <v>3.4329375000000003E-4</v>
      </c>
      <c r="U95" s="169">
        <f>O95*IFERROR(VLOOKUP(A95,[1]Tørstofindhold!A$2:B$24,2,FALSE),0)</f>
        <v>57.375</v>
      </c>
      <c r="V95">
        <f>IF(D95=År1,P95,SUM(O95,P95))*IFERROR(VLOOKUP(A95,[1]Tørstofindhold!A$2:B$24,2,FALSE),0)</f>
        <v>57.375</v>
      </c>
      <c r="W95">
        <f>J95*IFERROR(VLOOKUP(A95,[1]Tørstofindhold!A$2:B$24,2,FALSE),0)</f>
        <v>0</v>
      </c>
      <c r="X95" s="170">
        <f t="shared" si="26"/>
        <v>57.375</v>
      </c>
      <c r="Y95">
        <f t="shared" si="21"/>
        <v>0</v>
      </c>
      <c r="Z95">
        <f t="shared" si="22"/>
        <v>1</v>
      </c>
    </row>
    <row r="96" spans="1:26" hidden="1" x14ac:dyDescent="0.55000000000000004">
      <c r="A96" s="171" t="str">
        <f t="shared" si="33"/>
        <v>Total til biogas</v>
      </c>
      <c r="B96" s="171" t="str">
        <f t="shared" si="34"/>
        <v/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9"/>
        <v>2030</v>
      </c>
      <c r="E96" t="s">
        <v>23</v>
      </c>
      <c r="F96" s="94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94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9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79">
        <f t="shared" si="23"/>
        <v>0</v>
      </c>
      <c r="O96" s="94">
        <f t="shared" si="20"/>
        <v>0</v>
      </c>
      <c r="P96" s="180">
        <f t="shared" si="24"/>
        <v>0</v>
      </c>
      <c r="Q96">
        <f>IFERROR(VLOOKUP(A96,[1]Energiindhold!$A$2:$C$11,3,FALSE),IFERROR(VLOOKUP(A96,[1]Biogasudbytte!$A$2:$B$18,2,FALSE)*[1]Energiindhold!$C$10,0))*O96</f>
        <v>0</v>
      </c>
      <c r="R96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>
        <f>IFERROR(VLOOKUP(A96,[1]Biogasudbytte!$A$2:$B$18,2,FALSE)*[1]Energiindhold!$C$10,0)*J96*IFERROR(VLOOKUP(A96,Biogasanlæg!$F$3:$G$8,2,FALSE),1)</f>
        <v>0</v>
      </c>
      <c r="T96" s="170">
        <f t="shared" si="25"/>
        <v>0</v>
      </c>
      <c r="U96" s="169">
        <f>O96*IFERROR(VLOOKUP(A96,[1]Tørstofindhold!A$2:B$24,2,FALSE),0)</f>
        <v>0</v>
      </c>
      <c r="V96">
        <f>IF(D96=År1,P96,SUM(O96,P96))*IFERROR(VLOOKUP(A96,[1]Tørstofindhold!A$2:B$24,2,FALSE),0)</f>
        <v>0</v>
      </c>
      <c r="W96">
        <f>J96*IFERROR(VLOOKUP(A96,[1]Tørstofindhold!A$2:B$24,2,FALSE),0)</f>
        <v>0</v>
      </c>
      <c r="X96" s="170">
        <f t="shared" si="26"/>
        <v>0</v>
      </c>
      <c r="Y96">
        <f t="shared" si="21"/>
        <v>0</v>
      </c>
      <c r="Z96">
        <f t="shared" si="22"/>
        <v>0</v>
      </c>
    </row>
    <row r="97" spans="1:26" hidden="1" x14ac:dyDescent="0.55000000000000004">
      <c r="A97" s="171" t="str">
        <f t="shared" si="33"/>
        <v>Træ til energi</v>
      </c>
      <c r="B97" s="171" t="str">
        <f t="shared" si="34"/>
        <v>Vedmasse</v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9"/>
        <v>2030</v>
      </c>
      <c r="E97" t="s">
        <v>23</v>
      </c>
      <c r="F97" s="94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2217144.8993992088</v>
      </c>
      <c r="G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94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2217144.8993992088</v>
      </c>
      <c r="M97" s="9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79">
        <f t="shared" ca="1" si="23"/>
        <v>0</v>
      </c>
      <c r="O97" s="94">
        <f t="shared" ca="1" si="20"/>
        <v>0</v>
      </c>
      <c r="P97" s="180">
        <f t="shared" ca="1" si="24"/>
        <v>2217144.8993992088</v>
      </c>
      <c r="Q97">
        <f ca="1">IFERROR(VLOOKUP(A97,[1]Energiindhold!$A$2:$C$11,3,FALSE),IFERROR(VLOOKUP(A97,[1]Biogasudbytte!$A$2:$B$18,2,FALSE)*[1]Energiindhold!$C$10,0))*O97</f>
        <v>0</v>
      </c>
      <c r="R9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32.134342362444997</v>
      </c>
      <c r="S97">
        <f>IFERROR(VLOOKUP(A97,[1]Biogasudbytte!$A$2:$B$18,2,FALSE)*[1]Energiindhold!$C$10,0)*J97*IFERROR(VLOOKUP(A97,Biogasanlæg!$F$3:$G$8,2,FALSE),1)</f>
        <v>0</v>
      </c>
      <c r="T97" s="170">
        <f t="shared" ca="1" si="25"/>
        <v>32.134342362444997</v>
      </c>
      <c r="U97" s="169">
        <f ca="1">O97*IFERROR(VLOOKUP(A97,[1]Tørstofindhold!A$2:B$24,2,FALSE),0)</f>
        <v>0</v>
      </c>
      <c r="V97">
        <f ca="1">IF(D97=År1,P97,SUM(O97,P97))*IFERROR(VLOOKUP(A97,[1]Tørstofindhold!A$2:B$24,2,FALSE),0)</f>
        <v>1096562.9148278586</v>
      </c>
      <c r="W97">
        <f>J97*IFERROR(VLOOKUP(A97,[1]Tørstofindhold!A$2:B$24,2,FALSE),0)</f>
        <v>0</v>
      </c>
      <c r="X97" s="170">
        <f t="shared" ca="1" si="26"/>
        <v>1096562.9148278586</v>
      </c>
      <c r="Y97">
        <f t="shared" ca="1" si="21"/>
        <v>0</v>
      </c>
      <c r="Z97">
        <f t="shared" ca="1" si="22"/>
        <v>0</v>
      </c>
    </row>
    <row r="98" spans="1:26" hidden="1" x14ac:dyDescent="0.55000000000000004">
      <c r="A98" s="171" t="str">
        <f t="shared" si="33"/>
        <v>Træmaterialer</v>
      </c>
      <c r="B98" s="171" t="str">
        <f t="shared" si="34"/>
        <v/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71">
        <f t="shared" si="19"/>
        <v>2030</v>
      </c>
      <c r="E98" t="s">
        <v>23</v>
      </c>
      <c r="F98" s="94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610444.4261939266</v>
      </c>
      <c r="G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94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94">
        <f ca="1">SUMIFS('Forbrug af biomasse'!E:E,'Forbrug af biomasse'!C:C,'Resultat-Produktion &amp; forbrug'!$A98,'Forbrug af biomasse'!D:D,'Resultat-Produktion &amp; forbrug'!$D98,'Forbrug af biomasse'!G:G,1,'Forbrug af biomasse'!B:B,$E98)</f>
        <v>610444.4261939266</v>
      </c>
      <c r="N98" s="179">
        <f t="shared" ca="1" si="23"/>
        <v>0</v>
      </c>
      <c r="O98" s="94">
        <f t="shared" si="20"/>
        <v>0</v>
      </c>
      <c r="P98" s="180">
        <f t="shared" si="24"/>
        <v>0</v>
      </c>
      <c r="Q98">
        <f>IFERROR(VLOOKUP(A98,[1]Energiindhold!$A$2:$C$11,3,FALSE),IFERROR(VLOOKUP(A98,[1]Biogasudbytte!$A$2:$B$18,2,FALSE)*[1]Energiindhold!$C$10,0))*O98</f>
        <v>0</v>
      </c>
      <c r="R9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>
        <f>IFERROR(VLOOKUP(A98,[1]Biogasudbytte!$A$2:$B$18,2,FALSE)*[1]Energiindhold!$C$10,0)*J98*IFERROR(VLOOKUP(A98,Biogasanlæg!$F$3:$G$8,2,FALSE),1)</f>
        <v>0</v>
      </c>
      <c r="T98" s="170">
        <f t="shared" si="25"/>
        <v>0</v>
      </c>
      <c r="U98" s="169">
        <f>O98*IFERROR(VLOOKUP(A98,[1]Tørstofindhold!A$2:B$24,2,FALSE),0)</f>
        <v>0</v>
      </c>
      <c r="V98">
        <f>IF(D98=År1,P98,SUM(O98,P98))*IFERROR(VLOOKUP(A98,[1]Tørstofindhold!A$2:B$24,2,FALSE),0)</f>
        <v>0</v>
      </c>
      <c r="W98">
        <f>J98*IFERROR(VLOOKUP(A98,[1]Tørstofindhold!A$2:B$24,2,FALSE),0)</f>
        <v>0</v>
      </c>
      <c r="X98" s="170">
        <f t="shared" si="26"/>
        <v>0</v>
      </c>
      <c r="Y98">
        <f t="shared" ca="1" si="21"/>
        <v>0</v>
      </c>
      <c r="Z98">
        <f t="shared" ca="1" si="22"/>
        <v>0</v>
      </c>
    </row>
    <row r="99" spans="1:26" x14ac:dyDescent="0.55000000000000004">
      <c r="A99" s="171" t="str">
        <f t="shared" si="33"/>
        <v>Æg</v>
      </c>
      <c r="B99" s="171" t="str">
        <f t="shared" si="34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ref="D99:D146" si="35">År3</f>
        <v>2050</v>
      </c>
      <c r="E99" t="s">
        <v>23</v>
      </c>
      <c r="F99" s="94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94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9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79">
        <f t="shared" si="23"/>
        <v>174373.27010647443</v>
      </c>
      <c r="O99" s="94">
        <f t="shared" si="20"/>
        <v>0</v>
      </c>
      <c r="P99" s="180">
        <f t="shared" si="24"/>
        <v>0</v>
      </c>
      <c r="Q99">
        <f>IFERROR(VLOOKUP(A99,[1]Energiindhold!$A$2:$C$11,3,FALSE),IFERROR(VLOOKUP(A99,[1]Biogasudbytte!$A$2:$B$18,2,FALSE)*[1]Energiindhold!$C$10,0))*O99</f>
        <v>0</v>
      </c>
      <c r="R99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>
        <f>IFERROR(VLOOKUP(A99,[1]Biogasudbytte!$A$2:$B$18,2,FALSE)*[1]Energiindhold!$C$10,0)*J99*IFERROR(VLOOKUP(A99,Biogasanlæg!$F$3:$G$8,2,FALSE),1)</f>
        <v>0</v>
      </c>
      <c r="T99" s="170">
        <f t="shared" si="25"/>
        <v>0</v>
      </c>
      <c r="U99" s="169">
        <f>O99*IFERROR(VLOOKUP(A99,[1]Tørstofindhold!A$2:B$24,2,FALSE),0)</f>
        <v>0</v>
      </c>
      <c r="V99">
        <f>IF(D99=År1,P99,SUM(O99,P99))*IFERROR(VLOOKUP(A99,[1]Tørstofindhold!A$2:B$24,2,FALSE),0)</f>
        <v>0</v>
      </c>
      <c r="W99">
        <f>J99*IFERROR(VLOOKUP(A99,[1]Tørstofindhold!A$2:B$24,2,FALSE),0)</f>
        <v>0</v>
      </c>
      <c r="X99" s="170">
        <f t="shared" si="26"/>
        <v>0</v>
      </c>
      <c r="Y99">
        <f t="shared" si="21"/>
        <v>0</v>
      </c>
      <c r="Z99">
        <f t="shared" si="22"/>
        <v>1</v>
      </c>
    </row>
    <row r="100" spans="1:26" x14ac:dyDescent="0.55000000000000004">
      <c r="A100" s="171" t="str">
        <f t="shared" si="33"/>
        <v>Bælgsæd</v>
      </c>
      <c r="B100" s="171" t="str">
        <f t="shared" si="34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35"/>
        <v>2050</v>
      </c>
      <c r="E100" t="s">
        <v>23</v>
      </c>
      <c r="F100" s="94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250215.04217969507</v>
      </c>
      <c r="G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60017.752814183521</v>
      </c>
      <c r="H10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94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9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79">
        <f t="shared" si="23"/>
        <v>99930.70566832539</v>
      </c>
      <c r="O100" s="94">
        <f t="shared" si="20"/>
        <v>0</v>
      </c>
      <c r="P100" s="180">
        <f t="shared" si="24"/>
        <v>0</v>
      </c>
      <c r="Q100">
        <f>IFERROR(VLOOKUP(A100,[1]Energiindhold!$A$2:$C$11,3,FALSE),IFERROR(VLOOKUP(A100,[1]Biogasudbytte!$A$2:$B$18,2,FALSE)*[1]Energiindhold!$C$10,0))*O100</f>
        <v>0</v>
      </c>
      <c r="R10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>
        <f>IFERROR(VLOOKUP(A100,[1]Biogasudbytte!$A$2:$B$18,2,FALSE)*[1]Energiindhold!$C$10,0)*J100*IFERROR(VLOOKUP(A100,Biogasanlæg!$F$3:$G$8,2,FALSE),1)</f>
        <v>0</v>
      </c>
      <c r="T100" s="170">
        <f t="shared" si="25"/>
        <v>0</v>
      </c>
      <c r="U100" s="169">
        <f>O100*IFERROR(VLOOKUP(A100,[1]Tørstofindhold!A$2:B$24,2,FALSE),0)</f>
        <v>0</v>
      </c>
      <c r="V100">
        <f>IF(D100=År1,P100,SUM(O100,P100))*IFERROR(VLOOKUP(A100,[1]Tørstofindhold!A$2:B$24,2,FALSE),0)</f>
        <v>0</v>
      </c>
      <c r="W100">
        <f>J100*IFERROR(VLOOKUP(A100,[1]Tørstofindhold!A$2:B$24,2,FALSE),0)</f>
        <v>0</v>
      </c>
      <c r="X100" s="170">
        <f t="shared" si="26"/>
        <v>0</v>
      </c>
      <c r="Y100">
        <f t="shared" si="21"/>
        <v>0</v>
      </c>
      <c r="Z100">
        <f t="shared" si="22"/>
        <v>1</v>
      </c>
    </row>
    <row r="101" spans="1:26" hidden="1" x14ac:dyDescent="0.55000000000000004">
      <c r="A101" s="171" t="str">
        <f t="shared" si="33"/>
        <v>Bioaffald</v>
      </c>
      <c r="B101" s="171" t="str">
        <f t="shared" si="34"/>
        <v>Bionedbrydeligt affald</v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71">
        <f t="shared" si="35"/>
        <v>2050</v>
      </c>
      <c r="E101" t="s">
        <v>23</v>
      </c>
      <c r="F101" s="94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94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94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94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94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94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9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79">
        <f t="shared" ca="1" si="23"/>
        <v>0</v>
      </c>
      <c r="O101" s="94">
        <f t="shared" ca="1" si="20"/>
        <v>0</v>
      </c>
      <c r="P101" s="180">
        <f t="shared" ca="1" si="24"/>
        <v>197484.13479984918</v>
      </c>
      <c r="Q101">
        <f ca="1">IFERROR(VLOOKUP(A101,[1]Energiindhold!$A$2:$C$11,3,FALSE),IFERROR(VLOOKUP(A101,[1]Biogasudbytte!$A$2:$B$18,2,FALSE)*[1]Energiindhold!$C$10,0))*O101</f>
        <v>0</v>
      </c>
      <c r="R101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>
        <f ca="1">IFERROR(VLOOKUP(A101,[1]Biogasudbytte!$A$2:$B$18,2,FALSE)*[1]Energiindhold!$C$10,0)*J101*IFERROR(VLOOKUP(A101,Biogasanlæg!$F$3:$G$8,2,FALSE),1)</f>
        <v>0</v>
      </c>
      <c r="T101" s="170">
        <f t="shared" ca="1" si="25"/>
        <v>3.5255303237813815</v>
      </c>
      <c r="U101" s="169">
        <f ca="1">O101*IFERROR(VLOOKUP(A101,[1]Tørstofindhold!A$2:B$24,2,FALSE),0)</f>
        <v>0</v>
      </c>
      <c r="V101">
        <f ca="1">IF(D101=År1,P101,SUM(O101,P101))*IFERROR(VLOOKUP(A101,[1]Tørstofindhold!A$2:B$24,2,FALSE),0)</f>
        <v>55295.557743957776</v>
      </c>
      <c r="W101">
        <f ca="1">J101*IFERROR(VLOOKUP(A101,[1]Tørstofindhold!A$2:B$24,2,FALSE),0)</f>
        <v>0</v>
      </c>
      <c r="X101" s="170">
        <f t="shared" ca="1" si="26"/>
        <v>55295.557743957776</v>
      </c>
      <c r="Y101">
        <f t="shared" ca="1" si="21"/>
        <v>0</v>
      </c>
      <c r="Z101">
        <f t="shared" ca="1" si="22"/>
        <v>0</v>
      </c>
    </row>
    <row r="102" spans="1:26" hidden="1" x14ac:dyDescent="0.55000000000000004">
      <c r="A102" s="171" t="str">
        <f t="shared" si="33"/>
        <v>Biogas</v>
      </c>
      <c r="B102" s="171" t="str">
        <f t="shared" si="34"/>
        <v/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35"/>
        <v>2050</v>
      </c>
      <c r="E102" t="s">
        <v>23</v>
      </c>
      <c r="F102" s="94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563663167.57084477</v>
      </c>
      <c r="G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94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563663167.57084477</v>
      </c>
      <c r="M102" s="9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79">
        <f t="shared" ca="1" si="23"/>
        <v>0</v>
      </c>
      <c r="O102" s="94">
        <f t="shared" ca="1" si="20"/>
        <v>0</v>
      </c>
      <c r="P102" s="180">
        <f t="shared" ca="1" si="24"/>
        <v>563663167.57084477</v>
      </c>
      <c r="Q102">
        <f ca="1">IFERROR(VLOOKUP(A102,[1]Energiindhold!$A$2:$C$11,3,FALSE),IFERROR(VLOOKUP(A102,[1]Biogasudbytte!$A$2:$B$18,2,FALSE)*[1]Energiindhold!$C$10,0))*O102</f>
        <v>0</v>
      </c>
      <c r="R10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>
        <f>IFERROR(VLOOKUP(A102,[1]Biogasudbytte!$A$2:$B$18,2,FALSE)*[1]Energiindhold!$C$10,0)*J102*IFERROR(VLOOKUP(A102,Biogasanlæg!$F$3:$G$8,2,FALSE),1)</f>
        <v>0</v>
      </c>
      <c r="T102" s="170">
        <f t="shared" si="25"/>
        <v>0</v>
      </c>
      <c r="U102" s="169">
        <f ca="1">O102*IFERROR(VLOOKUP(A102,[1]Tørstofindhold!A$2:B$24,2,FALSE),0)</f>
        <v>0</v>
      </c>
      <c r="V102">
        <f ca="1">IF(D102=År1,P102,SUM(O102,P102))*IFERROR(VLOOKUP(A102,[1]Tørstofindhold!A$2:B$24,2,FALSE),0)</f>
        <v>0</v>
      </c>
      <c r="W102">
        <f>J102*IFERROR(VLOOKUP(A102,[1]Tørstofindhold!A$2:B$24,2,FALSE),0)</f>
        <v>0</v>
      </c>
      <c r="X102" s="170">
        <f t="shared" ca="1" si="26"/>
        <v>0</v>
      </c>
      <c r="Y102">
        <f t="shared" ca="1" si="21"/>
        <v>0</v>
      </c>
      <c r="Z102">
        <f t="shared" ca="1" si="22"/>
        <v>0</v>
      </c>
    </row>
    <row r="103" spans="1:26" hidden="1" x14ac:dyDescent="0.55000000000000004">
      <c r="A103" s="171" t="str">
        <f t="shared" si="33"/>
        <v>Biogasgylle</v>
      </c>
      <c r="B103" s="171" t="str">
        <f t="shared" si="34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71">
        <f t="shared" si="35"/>
        <v>2050</v>
      </c>
      <c r="E103" t="s">
        <v>23</v>
      </c>
      <c r="F103" s="94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27386289.783254456</v>
      </c>
      <c r="G103" s="94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94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94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94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21610883.072868608</v>
      </c>
      <c r="L103" s="94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9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79">
        <f t="shared" ca="1" si="23"/>
        <v>5775406.7103858478</v>
      </c>
      <c r="O103" s="94">
        <f t="shared" si="20"/>
        <v>0</v>
      </c>
      <c r="P103" s="180">
        <f t="shared" si="24"/>
        <v>0</v>
      </c>
      <c r="Q103">
        <f>IFERROR(VLOOKUP(A103,[1]Energiindhold!$A$2:$C$11,3,FALSE),IFERROR(VLOOKUP(A103,[1]Biogasudbytte!$A$2:$B$18,2,FALSE)*[1]Energiindhold!$C$10,0))*O103</f>
        <v>0</v>
      </c>
      <c r="R103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>
        <f>IFERROR(VLOOKUP(A103,[1]Biogasudbytte!$A$2:$B$18,2,FALSE)*[1]Energiindhold!$C$10,0)*J103*IFERROR(VLOOKUP(A103,Biogasanlæg!$F$3:$G$8,2,FALSE),1)</f>
        <v>0</v>
      </c>
      <c r="T103" s="170">
        <f t="shared" si="25"/>
        <v>0</v>
      </c>
      <c r="U103" s="169">
        <f>O103*IFERROR(VLOOKUP(A103,[1]Tørstofindhold!A$2:B$24,2,FALSE),0)</f>
        <v>0</v>
      </c>
      <c r="V103">
        <f>IF(D103=År1,P103,SUM(O103,P103))*IFERROR(VLOOKUP(A103,[1]Tørstofindhold!A$2:B$24,2,FALSE),0)</f>
        <v>0</v>
      </c>
      <c r="W103">
        <f>J103*IFERROR(VLOOKUP(A103,[1]Tørstofindhold!A$2:B$24,2,FALSE),0)</f>
        <v>0</v>
      </c>
      <c r="X103" s="170">
        <f t="shared" si="26"/>
        <v>0</v>
      </c>
      <c r="Y103">
        <f t="shared" ca="1" si="21"/>
        <v>0</v>
      </c>
      <c r="Z103">
        <f t="shared" ca="1" si="22"/>
        <v>1</v>
      </c>
    </row>
    <row r="104" spans="1:26" hidden="1" x14ac:dyDescent="0.55000000000000004">
      <c r="A104" s="171" t="str">
        <f t="shared" si="33"/>
        <v>Brun saft</v>
      </c>
      <c r="B104" s="171" t="str">
        <f t="shared" si="34"/>
        <v>Bionedbrydeligt affald</v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71">
        <f t="shared" si="35"/>
        <v>2050</v>
      </c>
      <c r="E104" t="s">
        <v>23</v>
      </c>
      <c r="F104" s="94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94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9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79">
        <f t="shared" si="23"/>
        <v>0</v>
      </c>
      <c r="O104" s="94">
        <f t="shared" si="20"/>
        <v>0</v>
      </c>
      <c r="P104" s="180">
        <f t="shared" si="24"/>
        <v>0</v>
      </c>
      <c r="Q104">
        <f>IFERROR(VLOOKUP(A104,[1]Energiindhold!$A$2:$C$11,3,FALSE),IFERROR(VLOOKUP(A104,[1]Biogasudbytte!$A$2:$B$18,2,FALSE)*[1]Energiindhold!$C$10,0))*O104</f>
        <v>0</v>
      </c>
      <c r="R104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>
        <f>IFERROR(VLOOKUP(A104,[1]Biogasudbytte!$A$2:$B$18,2,FALSE)*[1]Energiindhold!$C$10,0)*J104*IFERROR(VLOOKUP(A104,Biogasanlæg!$F$3:$G$8,2,FALSE),1)</f>
        <v>0</v>
      </c>
      <c r="T104" s="170">
        <f t="shared" si="25"/>
        <v>0</v>
      </c>
      <c r="U104" s="169">
        <f>O104*IFERROR(VLOOKUP(A104,[1]Tørstofindhold!A$2:B$24,2,FALSE),0)</f>
        <v>0</v>
      </c>
      <c r="V104">
        <f>IF(D104=År1,P104,SUM(O104,P104))*IFERROR(VLOOKUP(A104,[1]Tørstofindhold!A$2:B$24,2,FALSE),0)</f>
        <v>0</v>
      </c>
      <c r="W104">
        <f>J104*IFERROR(VLOOKUP(A104,[1]Tørstofindhold!A$2:B$24,2,FALSE),0)</f>
        <v>0</v>
      </c>
      <c r="X104" s="170">
        <f t="shared" si="26"/>
        <v>0</v>
      </c>
      <c r="Y104">
        <f t="shared" si="21"/>
        <v>0</v>
      </c>
      <c r="Z104">
        <f t="shared" si="22"/>
        <v>0</v>
      </c>
    </row>
    <row r="105" spans="1:26" hidden="1" x14ac:dyDescent="0.55000000000000004">
      <c r="A105" s="171" t="str">
        <f t="shared" si="33"/>
        <v>Dybstrøelse</v>
      </c>
      <c r="B105" s="171" t="str">
        <f t="shared" si="34"/>
        <v>Husdyrgødning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35"/>
        <v>2050</v>
      </c>
      <c r="E105" t="s">
        <v>23</v>
      </c>
      <c r="F105" s="94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2537079.9796545585</v>
      </c>
      <c r="G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2283371.9816891025</v>
      </c>
      <c r="K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96046.599229779691</v>
      </c>
      <c r="L105" s="94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9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79">
        <f t="shared" si="23"/>
        <v>157661.39873567643</v>
      </c>
      <c r="O105" s="94">
        <f t="shared" si="20"/>
        <v>157661.39873567643</v>
      </c>
      <c r="P105" s="180">
        <f t="shared" si="24"/>
        <v>2283371.9816891025</v>
      </c>
      <c r="Q105">
        <f>IFERROR(VLOOKUP(A105,[1]Energiindhold!$A$2:$C$11,3,FALSE),IFERROR(VLOOKUP(A105,[1]Biogasudbytte!$A$2:$B$18,2,FALSE)*[1]Energiindhold!$C$10,0))*O105</f>
        <v>0.33960265287664704</v>
      </c>
      <c r="R105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5.2579859014349744</v>
      </c>
      <c r="S105">
        <f>IFERROR(VLOOKUP(A105,[1]Biogasudbytte!$A$2:$B$18,2,FALSE)*[1]Energiindhold!$C$10,0)*J105*IFERROR(VLOOKUP(A105,Biogasanlæg!$F$3:$G$8,2,FALSE),1)</f>
        <v>4.9183832485583272</v>
      </c>
      <c r="T105" s="170">
        <f t="shared" si="25"/>
        <v>0.33960265287664715</v>
      </c>
      <c r="U105" s="169">
        <f>O105*IFERROR(VLOOKUP(A105,[1]Tørstofindhold!A$2:B$24,2,FALSE),0)</f>
        <v>47298.419620702924</v>
      </c>
      <c r="V105">
        <f>IF(D105=År1,P105,SUM(O105,P105))*IFERROR(VLOOKUP(A105,[1]Tørstofindhold!A$2:B$24,2,FALSE),0)</f>
        <v>732310.01412743365</v>
      </c>
      <c r="W105">
        <f>J105*IFERROR(VLOOKUP(A105,[1]Tørstofindhold!A$2:B$24,2,FALSE),0)</f>
        <v>685011.59450673067</v>
      </c>
      <c r="X105" s="170">
        <f t="shared" si="26"/>
        <v>47298.419620702974</v>
      </c>
      <c r="Y105">
        <f t="shared" si="21"/>
        <v>0</v>
      </c>
      <c r="Z105">
        <f t="shared" si="22"/>
        <v>1</v>
      </c>
    </row>
    <row r="106" spans="1:26" hidden="1" x14ac:dyDescent="0.55000000000000004">
      <c r="A106" s="171" t="str">
        <f t="shared" si="33"/>
        <v>Fiberfraktion</v>
      </c>
      <c r="B106" s="171" t="str">
        <f t="shared" si="34"/>
        <v/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71">
        <f t="shared" si="35"/>
        <v>2050</v>
      </c>
      <c r="E106" t="s">
        <v>23</v>
      </c>
      <c r="F106" s="94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94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9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79">
        <f t="shared" si="23"/>
        <v>0</v>
      </c>
      <c r="O106" s="94">
        <f t="shared" si="20"/>
        <v>0</v>
      </c>
      <c r="P106" s="180">
        <f t="shared" si="24"/>
        <v>0</v>
      </c>
      <c r="Q106">
        <f>IFERROR(VLOOKUP(A106,[1]Energiindhold!$A$2:$C$11,3,FALSE),IFERROR(VLOOKUP(A106,[1]Biogasudbytte!$A$2:$B$18,2,FALSE)*[1]Energiindhold!$C$10,0))*O106</f>
        <v>0</v>
      </c>
      <c r="R106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>
        <f>IFERROR(VLOOKUP(A106,[1]Biogasudbytte!$A$2:$B$18,2,FALSE)*[1]Energiindhold!$C$10,0)*J106*IFERROR(VLOOKUP(A106,Biogasanlæg!$F$3:$G$8,2,FALSE),1)</f>
        <v>0</v>
      </c>
      <c r="T106" s="170">
        <f t="shared" si="25"/>
        <v>0</v>
      </c>
      <c r="U106" s="169">
        <f>O106*IFERROR(VLOOKUP(A106,[1]Tørstofindhold!A$2:B$24,2,FALSE),0)</f>
        <v>0</v>
      </c>
      <c r="V106">
        <f>IF(D106=År1,P106,SUM(O106,P106))*IFERROR(VLOOKUP(A106,[1]Tørstofindhold!A$2:B$24,2,FALSE),0)</f>
        <v>0</v>
      </c>
      <c r="W106">
        <f>J106*IFERROR(VLOOKUP(A106,[1]Tørstofindhold!A$2:B$24,2,FALSE),0)</f>
        <v>0</v>
      </c>
      <c r="X106" s="170">
        <f t="shared" si="26"/>
        <v>0</v>
      </c>
      <c r="Y106">
        <f t="shared" si="21"/>
        <v>0</v>
      </c>
      <c r="Z106">
        <f t="shared" si="22"/>
        <v>0</v>
      </c>
    </row>
    <row r="107" spans="1:26" hidden="1" x14ac:dyDescent="0.55000000000000004">
      <c r="A107" s="171" t="str">
        <f t="shared" si="33"/>
        <v>Fjerkrægylle</v>
      </c>
      <c r="B107" s="171" t="str">
        <f t="shared" si="34"/>
        <v>Husdyrgødning</v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71">
        <f t="shared" si="35"/>
        <v>2050</v>
      </c>
      <c r="E107" t="s">
        <v>23</v>
      </c>
      <c r="F107" s="94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94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9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79">
        <f t="shared" si="23"/>
        <v>0</v>
      </c>
      <c r="O107" s="94">
        <f t="shared" si="20"/>
        <v>0</v>
      </c>
      <c r="P107" s="180">
        <f t="shared" si="24"/>
        <v>7753.9785502341792</v>
      </c>
      <c r="Q107">
        <f>IFERROR(VLOOKUP(A107,[1]Energiindhold!$A$2:$C$11,3,FALSE),IFERROR(VLOOKUP(A107,[1]Biogasudbytte!$A$2:$B$18,2,FALSE)*[1]Energiindhold!$C$10,0))*O107</f>
        <v>0</v>
      </c>
      <c r="R10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>
        <f>IFERROR(VLOOKUP(A107,[1]Biogasudbytte!$A$2:$B$18,2,FALSE)*[1]Energiindhold!$C$10,0)*J107*IFERROR(VLOOKUP(A107,Biogasanlæg!$F$3:$G$8,2,FALSE),1)</f>
        <v>3.6466185723896321E-3</v>
      </c>
      <c r="T107" s="170">
        <f t="shared" si="25"/>
        <v>0</v>
      </c>
      <c r="U107" s="169">
        <f>O107*IFERROR(VLOOKUP(A107,[1]Tørstofindhold!A$2:B$24,2,FALSE),0)</f>
        <v>0</v>
      </c>
      <c r="V107">
        <f>IF(D107=År1,P107,SUM(O107,P107))*IFERROR(VLOOKUP(A107,[1]Tørstofindhold!A$2:B$24,2,FALSE),0)</f>
        <v>488.50064866475327</v>
      </c>
      <c r="W107">
        <f>J107*IFERROR(VLOOKUP(A107,[1]Tørstofindhold!A$2:B$24,2,FALSE),0)</f>
        <v>488.50064866475327</v>
      </c>
      <c r="X107" s="170">
        <f t="shared" si="26"/>
        <v>0</v>
      </c>
      <c r="Y107">
        <f t="shared" si="21"/>
        <v>0</v>
      </c>
      <c r="Z107">
        <f t="shared" si="22"/>
        <v>0</v>
      </c>
    </row>
    <row r="108" spans="1:26" x14ac:dyDescent="0.55000000000000004">
      <c r="A108" s="171" t="str">
        <f t="shared" si="33"/>
        <v>Fjerkrækød</v>
      </c>
      <c r="B108" s="171" t="str">
        <f t="shared" si="34"/>
        <v/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71">
        <f t="shared" si="35"/>
        <v>2050</v>
      </c>
      <c r="E108" t="s">
        <v>23</v>
      </c>
      <c r="F108" s="94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94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9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79">
        <f t="shared" si="23"/>
        <v>151656.27147373973</v>
      </c>
      <c r="O108" s="94">
        <f t="shared" si="20"/>
        <v>0</v>
      </c>
      <c r="P108" s="180">
        <f t="shared" si="24"/>
        <v>0</v>
      </c>
      <c r="Q108">
        <f>IFERROR(VLOOKUP(A108,[1]Energiindhold!$A$2:$C$11,3,FALSE),IFERROR(VLOOKUP(A108,[1]Biogasudbytte!$A$2:$B$18,2,FALSE)*[1]Energiindhold!$C$10,0))*O108</f>
        <v>0</v>
      </c>
      <c r="R10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>
        <f>IFERROR(VLOOKUP(A108,[1]Biogasudbytte!$A$2:$B$18,2,FALSE)*[1]Energiindhold!$C$10,0)*J108*IFERROR(VLOOKUP(A108,Biogasanlæg!$F$3:$G$8,2,FALSE),1)</f>
        <v>0</v>
      </c>
      <c r="T108" s="170">
        <f t="shared" si="25"/>
        <v>0</v>
      </c>
      <c r="U108" s="169">
        <f>O108*IFERROR(VLOOKUP(A108,[1]Tørstofindhold!A$2:B$24,2,FALSE),0)</f>
        <v>0</v>
      </c>
      <c r="V108">
        <f>IF(D108=År1,P108,SUM(O108,P108))*IFERROR(VLOOKUP(A108,[1]Tørstofindhold!A$2:B$24,2,FALSE),0)</f>
        <v>0</v>
      </c>
      <c r="W108">
        <f>J108*IFERROR(VLOOKUP(A108,[1]Tørstofindhold!A$2:B$24,2,FALSE),0)</f>
        <v>0</v>
      </c>
      <c r="X108" s="170">
        <f t="shared" si="26"/>
        <v>0</v>
      </c>
      <c r="Y108">
        <f t="shared" si="21"/>
        <v>0</v>
      </c>
      <c r="Z108">
        <f t="shared" si="22"/>
        <v>1</v>
      </c>
    </row>
    <row r="109" spans="1:26" hidden="1" x14ac:dyDescent="0.55000000000000004">
      <c r="A109" s="171" t="str">
        <f t="shared" si="33"/>
        <v>Frø</v>
      </c>
      <c r="B109" s="171" t="str">
        <f t="shared" si="34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35"/>
        <v>2050</v>
      </c>
      <c r="E109" t="s">
        <v>23</v>
      </c>
      <c r="F109" s="94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813451.18685438076</v>
      </c>
      <c r="G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94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9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79">
        <f t="shared" si="23"/>
        <v>813451.18685438076</v>
      </c>
      <c r="O109" s="94">
        <f t="shared" si="20"/>
        <v>0</v>
      </c>
      <c r="P109" s="180">
        <f t="shared" si="24"/>
        <v>0</v>
      </c>
      <c r="Q109">
        <f>IFERROR(VLOOKUP(A109,[1]Energiindhold!$A$2:$C$11,3,FALSE),IFERROR(VLOOKUP(A109,[1]Biogasudbytte!$A$2:$B$18,2,FALSE)*[1]Energiindhold!$C$10,0))*O109</f>
        <v>0</v>
      </c>
      <c r="R109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>
        <f>IFERROR(VLOOKUP(A109,[1]Biogasudbytte!$A$2:$B$18,2,FALSE)*[1]Energiindhold!$C$10,0)*J109*IFERROR(VLOOKUP(A109,Biogasanlæg!$F$3:$G$8,2,FALSE),1)</f>
        <v>0</v>
      </c>
      <c r="T109" s="170">
        <f t="shared" si="25"/>
        <v>0</v>
      </c>
      <c r="U109" s="169">
        <f>O109*IFERROR(VLOOKUP(A109,[1]Tørstofindhold!A$2:B$24,2,FALSE),0)</f>
        <v>0</v>
      </c>
      <c r="V109">
        <f>IF(D109=År1,P109,SUM(O109,P109))*IFERROR(VLOOKUP(A109,[1]Tørstofindhold!A$2:B$24,2,FALSE),0)</f>
        <v>0</v>
      </c>
      <c r="W109">
        <f>J109*IFERROR(VLOOKUP(A109,[1]Tørstofindhold!A$2:B$24,2,FALSE),0)</f>
        <v>0</v>
      </c>
      <c r="X109" s="170">
        <f t="shared" si="26"/>
        <v>0</v>
      </c>
      <c r="Y109">
        <f t="shared" si="21"/>
        <v>0</v>
      </c>
      <c r="Z109">
        <f t="shared" si="22"/>
        <v>1</v>
      </c>
    </row>
    <row r="110" spans="1:26" x14ac:dyDescent="0.55000000000000004">
      <c r="A110" s="171" t="str">
        <f t="shared" si="33"/>
        <v>Frugt</v>
      </c>
      <c r="B110" s="171" t="str">
        <f t="shared" si="34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35"/>
        <v>2050</v>
      </c>
      <c r="E110" t="s">
        <v>23</v>
      </c>
      <c r="F110" s="94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24926.840286441191</v>
      </c>
      <c r="G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94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9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79">
        <f t="shared" si="23"/>
        <v>-243052.08006458025</v>
      </c>
      <c r="O110" s="94">
        <f t="shared" si="20"/>
        <v>0</v>
      </c>
      <c r="P110" s="180">
        <f t="shared" si="24"/>
        <v>0</v>
      </c>
      <c r="Q110">
        <f>IFERROR(VLOOKUP(A110,[1]Energiindhold!$A$2:$C$11,3,FALSE),IFERROR(VLOOKUP(A110,[1]Biogasudbytte!$A$2:$B$18,2,FALSE)*[1]Energiindhold!$C$10,0))*O110</f>
        <v>0</v>
      </c>
      <c r="R11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>
        <f>IFERROR(VLOOKUP(A110,[1]Biogasudbytte!$A$2:$B$18,2,FALSE)*[1]Energiindhold!$C$10,0)*J110*IFERROR(VLOOKUP(A110,Biogasanlæg!$F$3:$G$8,2,FALSE),1)</f>
        <v>0</v>
      </c>
      <c r="T110" s="170">
        <f t="shared" si="25"/>
        <v>0</v>
      </c>
      <c r="U110" s="169">
        <f>O110*IFERROR(VLOOKUP(A110,[1]Tørstofindhold!A$2:B$24,2,FALSE),0)</f>
        <v>0</v>
      </c>
      <c r="V110">
        <f>IF(D110=År1,P110,SUM(O110,P110))*IFERROR(VLOOKUP(A110,[1]Tørstofindhold!A$2:B$24,2,FALSE),0)</f>
        <v>0</v>
      </c>
      <c r="W110">
        <f>J110*IFERROR(VLOOKUP(A110,[1]Tørstofindhold!A$2:B$24,2,FALSE),0)</f>
        <v>0</v>
      </c>
      <c r="X110" s="170">
        <f t="shared" si="26"/>
        <v>0</v>
      </c>
      <c r="Y110">
        <f t="shared" si="21"/>
        <v>1</v>
      </c>
      <c r="Z110">
        <f t="shared" si="22"/>
        <v>0</v>
      </c>
    </row>
    <row r="111" spans="1:26" hidden="1" x14ac:dyDescent="0.55000000000000004">
      <c r="A111" s="171" t="str">
        <f t="shared" si="33"/>
        <v>Glycerin</v>
      </c>
      <c r="B111" s="171" t="str">
        <f t="shared" si="34"/>
        <v>Glycerin</v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71">
        <f t="shared" si="35"/>
        <v>2050</v>
      </c>
      <c r="E111" t="s">
        <v>23</v>
      </c>
      <c r="F111" s="94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94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9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79">
        <f t="shared" si="23"/>
        <v>-114193.60000000001</v>
      </c>
      <c r="O111" s="94">
        <f t="shared" si="20"/>
        <v>0</v>
      </c>
      <c r="P111" s="180">
        <f t="shared" si="24"/>
        <v>114193.60000000001</v>
      </c>
      <c r="Q111">
        <f>IFERROR(VLOOKUP(A111,[1]Energiindhold!$A$2:$C$11,3,FALSE),IFERROR(VLOOKUP(A111,[1]Biogasudbytte!$A$2:$B$18,2,FALSE)*[1]Energiindhold!$C$10,0))*O111</f>
        <v>0</v>
      </c>
      <c r="R111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>
        <f>IFERROR(VLOOKUP(A111,[1]Biogasudbytte!$A$2:$B$18,2,FALSE)*[1]Energiindhold!$C$10,0)*J111*IFERROR(VLOOKUP(A111,Biogasanlæg!$F$3:$G$8,2,FALSE),1)</f>
        <v>1.7355855896064003</v>
      </c>
      <c r="T111" s="170">
        <f t="shared" si="25"/>
        <v>0</v>
      </c>
      <c r="U111" s="169">
        <f>O111*IFERROR(VLOOKUP(A111,[1]Tørstofindhold!A$2:B$24,2,FALSE),0)</f>
        <v>0</v>
      </c>
      <c r="V111">
        <f>IF(D111=År1,P111,SUM(O111,P111))*IFERROR(VLOOKUP(A111,[1]Tørstofindhold!A$2:B$24,2,FALSE),0)</f>
        <v>102774.24</v>
      </c>
      <c r="W111">
        <f>J111*IFERROR(VLOOKUP(A111,[1]Tørstofindhold!A$2:B$24,2,FALSE),0)</f>
        <v>102774.24</v>
      </c>
      <c r="X111" s="170">
        <f t="shared" si="26"/>
        <v>0</v>
      </c>
      <c r="Y111">
        <f t="shared" si="21"/>
        <v>1</v>
      </c>
      <c r="Z111">
        <f t="shared" si="22"/>
        <v>0</v>
      </c>
    </row>
    <row r="112" spans="1:26" x14ac:dyDescent="0.55000000000000004">
      <c r="A112" s="171" t="str">
        <f t="shared" si="33"/>
        <v>Græs</v>
      </c>
      <c r="B112" s="171" t="str">
        <f t="shared" si="34"/>
        <v>Græs og urter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35"/>
        <v>2050</v>
      </c>
      <c r="E112" t="s">
        <v>23</v>
      </c>
      <c r="F112" s="94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13682245.34995167</v>
      </c>
      <c r="G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11387535.016591122</v>
      </c>
      <c r="H112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94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9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79">
        <f t="shared" si="23"/>
        <v>2294710.3333605472</v>
      </c>
      <c r="O112" s="94">
        <f t="shared" si="20"/>
        <v>2294710.3333605472</v>
      </c>
      <c r="P112" s="180">
        <f t="shared" si="24"/>
        <v>0</v>
      </c>
      <c r="Q112">
        <f>IFERROR(VLOOKUP(A112,[1]Energiindhold!$A$2:$C$11,3,FALSE),IFERROR(VLOOKUP(A112,[1]Biogasudbytte!$A$2:$B$18,2,FALSE)*[1]Energiindhold!$C$10,0))*O112</f>
        <v>4.2219801745917369</v>
      </c>
      <c r="R11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4.2219801745917369</v>
      </c>
      <c r="S112">
        <f>IFERROR(VLOOKUP(A112,[1]Biogasudbytte!$A$2:$B$18,2,FALSE)*[1]Energiindhold!$C$10,0)*J112*IFERROR(VLOOKUP(A112,Biogasanlæg!$F$3:$G$8,2,FALSE),1)</f>
        <v>0</v>
      </c>
      <c r="T112" s="170">
        <f t="shared" si="25"/>
        <v>4.2219801745917369</v>
      </c>
      <c r="U112" s="169">
        <f>O112*IFERROR(VLOOKUP(A112,[1]Tørstofindhold!A$2:B$24,2,FALSE),0)</f>
        <v>642518.89334095328</v>
      </c>
      <c r="V112">
        <f>IF(D112=År1,P112,SUM(O112,P112))*IFERROR(VLOOKUP(A112,[1]Tørstofindhold!A$2:B$24,2,FALSE),0)</f>
        <v>642518.89334095328</v>
      </c>
      <c r="W112">
        <f>J112*IFERROR(VLOOKUP(A112,[1]Tørstofindhold!A$2:B$24,2,FALSE),0)</f>
        <v>0</v>
      </c>
      <c r="X112" s="170">
        <f t="shared" si="26"/>
        <v>642518.89334095328</v>
      </c>
      <c r="Y112">
        <f t="shared" si="21"/>
        <v>0</v>
      </c>
      <c r="Z112">
        <f t="shared" si="22"/>
        <v>1</v>
      </c>
    </row>
    <row r="113" spans="1:26" x14ac:dyDescent="0.55000000000000004">
      <c r="A113" s="171" t="str">
        <f t="shared" si="33"/>
        <v>Græsprotein</v>
      </c>
      <c r="B113" s="171" t="str">
        <f t="shared" si="34"/>
        <v/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71">
        <f t="shared" si="35"/>
        <v>2050</v>
      </c>
      <c r="E113" t="s">
        <v>23</v>
      </c>
      <c r="F113" s="94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94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9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79">
        <f t="shared" si="23"/>
        <v>0</v>
      </c>
      <c r="O113" s="94">
        <f t="shared" si="20"/>
        <v>0</v>
      </c>
      <c r="P113" s="180">
        <f t="shared" si="24"/>
        <v>0</v>
      </c>
      <c r="Q113">
        <f>IFERROR(VLOOKUP(A113,[1]Energiindhold!$A$2:$C$11,3,FALSE),IFERROR(VLOOKUP(A113,[1]Biogasudbytte!$A$2:$B$18,2,FALSE)*[1]Energiindhold!$C$10,0))*O113</f>
        <v>0</v>
      </c>
      <c r="R113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>
        <f>IFERROR(VLOOKUP(A113,[1]Biogasudbytte!$A$2:$B$18,2,FALSE)*[1]Energiindhold!$C$10,0)*J113*IFERROR(VLOOKUP(A113,Biogasanlæg!$F$3:$G$8,2,FALSE),1)</f>
        <v>0</v>
      </c>
      <c r="T113" s="170">
        <f t="shared" si="25"/>
        <v>0</v>
      </c>
      <c r="U113" s="169">
        <f>O113*IFERROR(VLOOKUP(A113,[1]Tørstofindhold!A$2:B$24,2,FALSE),0)</f>
        <v>0</v>
      </c>
      <c r="V113">
        <f>IF(D113=År1,P113,SUM(O113,P113))*IFERROR(VLOOKUP(A113,[1]Tørstofindhold!A$2:B$24,2,FALSE),0)</f>
        <v>0</v>
      </c>
      <c r="W113">
        <f>J113*IFERROR(VLOOKUP(A113,[1]Tørstofindhold!A$2:B$24,2,FALSE),0)</f>
        <v>0</v>
      </c>
      <c r="X113" s="170">
        <f t="shared" si="26"/>
        <v>0</v>
      </c>
      <c r="Y113">
        <f t="shared" si="21"/>
        <v>0</v>
      </c>
      <c r="Z113">
        <f t="shared" si="22"/>
        <v>0</v>
      </c>
    </row>
    <row r="114" spans="1:26" x14ac:dyDescent="0.55000000000000004">
      <c r="A114" s="171" t="str">
        <f t="shared" si="33"/>
        <v>Grøntsager</v>
      </c>
      <c r="B114" s="171" t="str">
        <f t="shared" si="34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35"/>
        <v>2050</v>
      </c>
      <c r="E114" t="s">
        <v>23</v>
      </c>
      <c r="F114" s="94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182765.86123576926</v>
      </c>
      <c r="G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94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9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79">
        <f t="shared" si="23"/>
        <v>-97906.797447669</v>
      </c>
      <c r="O114" s="94">
        <f t="shared" si="20"/>
        <v>0</v>
      </c>
      <c r="P114" s="180">
        <f t="shared" si="24"/>
        <v>0</v>
      </c>
      <c r="Q114">
        <f>IFERROR(VLOOKUP(A114,[1]Energiindhold!$A$2:$C$11,3,FALSE),IFERROR(VLOOKUP(A114,[1]Biogasudbytte!$A$2:$B$18,2,FALSE)*[1]Energiindhold!$C$10,0))*O114</f>
        <v>0</v>
      </c>
      <c r="R114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>
        <f>IFERROR(VLOOKUP(A114,[1]Biogasudbytte!$A$2:$B$18,2,FALSE)*[1]Energiindhold!$C$10,0)*J114*IFERROR(VLOOKUP(A114,Biogasanlæg!$F$3:$G$8,2,FALSE),1)</f>
        <v>0</v>
      </c>
      <c r="T114" s="170">
        <f t="shared" si="25"/>
        <v>0</v>
      </c>
      <c r="U114" s="169">
        <f>O114*IFERROR(VLOOKUP(A114,[1]Tørstofindhold!A$2:B$24,2,FALSE),0)</f>
        <v>0</v>
      </c>
      <c r="V114">
        <f>IF(D114=År1,P114,SUM(O114,P114))*IFERROR(VLOOKUP(A114,[1]Tørstofindhold!A$2:B$24,2,FALSE),0)</f>
        <v>0</v>
      </c>
      <c r="W114">
        <f>J114*IFERROR(VLOOKUP(A114,[1]Tørstofindhold!A$2:B$24,2,FALSE),0)</f>
        <v>0</v>
      </c>
      <c r="X114" s="170">
        <f t="shared" si="26"/>
        <v>0</v>
      </c>
      <c r="Y114">
        <f t="shared" si="21"/>
        <v>1</v>
      </c>
      <c r="Z114">
        <f t="shared" si="22"/>
        <v>0</v>
      </c>
    </row>
    <row r="115" spans="1:26" x14ac:dyDescent="0.55000000000000004">
      <c r="A115" s="171" t="str">
        <f t="shared" si="33"/>
        <v>Halm</v>
      </c>
      <c r="B115" s="171" t="str">
        <f t="shared" si="34"/>
        <v>Halm og strå</v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71">
        <f t="shared" si="35"/>
        <v>2050</v>
      </c>
      <c r="E115" t="s">
        <v>23</v>
      </c>
      <c r="F115" s="94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3995324.8119856864</v>
      </c>
      <c r="G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719379.45387000521</v>
      </c>
      <c r="H115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654302.91213284992</v>
      </c>
      <c r="I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94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2621642.4459828315</v>
      </c>
      <c r="M115" s="9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79">
        <f t="shared" si="23"/>
        <v>0</v>
      </c>
      <c r="O115" s="94">
        <f t="shared" si="20"/>
        <v>0</v>
      </c>
      <c r="P115" s="180">
        <f t="shared" si="24"/>
        <v>2621642.4459828315</v>
      </c>
      <c r="Q115">
        <f>IFERROR(VLOOKUP(A115,[1]Energiindhold!$A$2:$C$11,3,FALSE),IFERROR(VLOOKUP(A115,[1]Biogasudbytte!$A$2:$B$18,2,FALSE)*[1]Energiindhold!$C$10,0))*O115</f>
        <v>0</v>
      </c>
      <c r="R115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27.096788612133071</v>
      </c>
      <c r="S115">
        <f>IFERROR(VLOOKUP(A115,[1]Biogasudbytte!$A$2:$B$18,2,FALSE)*[1]Energiindhold!$C$10,0)*J115*IFERROR(VLOOKUP(A115,Biogasanlæg!$F$3:$G$8,2,FALSE),1)</f>
        <v>0</v>
      </c>
      <c r="T115" s="170">
        <f t="shared" si="25"/>
        <v>27.096788612133071</v>
      </c>
      <c r="U115" s="169">
        <f>O115*IFERROR(VLOOKUP(A115,[1]Tørstofindhold!A$2:B$24,2,FALSE),0)</f>
        <v>0</v>
      </c>
      <c r="V115">
        <f>IF(D115=År1,P115,SUM(O115,P115))*IFERROR(VLOOKUP(A115,[1]Tørstofindhold!A$2:B$24,2,FALSE),0)</f>
        <v>2228396.0790854068</v>
      </c>
      <c r="W115">
        <f>J115*IFERROR(VLOOKUP(A115,[1]Tørstofindhold!A$2:B$24,2,FALSE),0)</f>
        <v>0</v>
      </c>
      <c r="X115" s="170">
        <f t="shared" si="26"/>
        <v>2228396.0790854068</v>
      </c>
      <c r="Y115">
        <f t="shared" si="21"/>
        <v>0</v>
      </c>
      <c r="Z115">
        <f t="shared" si="22"/>
        <v>0</v>
      </c>
    </row>
    <row r="116" spans="1:26" hidden="1" x14ac:dyDescent="0.55000000000000004">
      <c r="A116" s="171" t="str">
        <f t="shared" si="33"/>
        <v>Have/parkaffald</v>
      </c>
      <c r="B116" s="171" t="str">
        <f t="shared" si="34"/>
        <v>Bionedbrydeligt affald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35"/>
        <v>2050</v>
      </c>
      <c r="E116" t="s">
        <v>23</v>
      </c>
      <c r="F116" s="94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94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9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79">
        <f t="shared" si="23"/>
        <v>0</v>
      </c>
      <c r="O116" s="94">
        <f t="shared" si="20"/>
        <v>0</v>
      </c>
      <c r="P116" s="180">
        <f t="shared" si="24"/>
        <v>524881.97503939818</v>
      </c>
      <c r="Q116">
        <f>IFERROR(VLOOKUP(A116,[1]Energiindhold!$A$2:$C$11,3,FALSE),IFERROR(VLOOKUP(A116,[1]Biogasudbytte!$A$2:$B$18,2,FALSE)*[1]Energiindhold!$C$10,0))*O116</f>
        <v>0</v>
      </c>
      <c r="R116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>
        <f>IFERROR(VLOOKUP(A116,[1]Biogasudbytte!$A$2:$B$18,2,FALSE)*[1]Energiindhold!$C$10,0)*J116*IFERROR(VLOOKUP(A116,Biogasanlæg!$F$3:$G$8,2,FALSE),1)</f>
        <v>0.88873891941165373</v>
      </c>
      <c r="T116" s="170">
        <f t="shared" si="25"/>
        <v>2.6781599805186684E-2</v>
      </c>
      <c r="U116" s="169">
        <f>O116*IFERROR(VLOOKUP(A116,[1]Tørstofindhold!A$2:B$24,2,FALSE),0)</f>
        <v>0</v>
      </c>
      <c r="V116">
        <f>IF(D116=År1,P116,SUM(O116,P116))*IFERROR(VLOOKUP(A116,[1]Tørstofindhold!A$2:B$24,2,FALSE),0)</f>
        <v>157464.59251181944</v>
      </c>
      <c r="W116">
        <f>J116*IFERROR(VLOOKUP(A116,[1]Tørstofindhold!A$2:B$24,2,FALSE),0)</f>
        <v>157014.53757707047</v>
      </c>
      <c r="X116" s="170">
        <f t="shared" si="26"/>
        <v>450.0549347489723</v>
      </c>
      <c r="Y116">
        <f t="shared" si="21"/>
        <v>0</v>
      </c>
      <c r="Z116">
        <f t="shared" si="22"/>
        <v>0</v>
      </c>
    </row>
    <row r="117" spans="1:26" hidden="1" x14ac:dyDescent="0.55000000000000004">
      <c r="A117" s="171" t="str">
        <f t="shared" si="33"/>
        <v>Import af foder</v>
      </c>
      <c r="B117" s="171" t="str">
        <f t="shared" si="34"/>
        <v/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71">
        <f t="shared" si="35"/>
        <v>2050</v>
      </c>
      <c r="E117" t="s">
        <v>23</v>
      </c>
      <c r="F117" s="94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4492995.6620617937</v>
      </c>
      <c r="H11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94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9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79">
        <f t="shared" si="23"/>
        <v>-4492995.6620617937</v>
      </c>
      <c r="O117" s="94">
        <f t="shared" si="20"/>
        <v>0</v>
      </c>
      <c r="P117" s="180">
        <f t="shared" si="24"/>
        <v>0</v>
      </c>
      <c r="Q117">
        <f>IFERROR(VLOOKUP(A117,[1]Energiindhold!$A$2:$C$11,3,FALSE),IFERROR(VLOOKUP(A117,[1]Biogasudbytte!$A$2:$B$18,2,FALSE)*[1]Energiindhold!$C$10,0))*O117</f>
        <v>0</v>
      </c>
      <c r="R11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>
        <f>IFERROR(VLOOKUP(A117,[1]Biogasudbytte!$A$2:$B$18,2,FALSE)*[1]Energiindhold!$C$10,0)*J117*IFERROR(VLOOKUP(A117,Biogasanlæg!$F$3:$G$8,2,FALSE),1)</f>
        <v>0</v>
      </c>
      <c r="T117" s="170">
        <f t="shared" si="25"/>
        <v>0</v>
      </c>
      <c r="U117" s="169">
        <f>O117*IFERROR(VLOOKUP(A117,[1]Tørstofindhold!A$2:B$24,2,FALSE),0)</f>
        <v>0</v>
      </c>
      <c r="V117">
        <f>IF(D117=År1,P117,SUM(O117,P117))*IFERROR(VLOOKUP(A117,[1]Tørstofindhold!A$2:B$24,2,FALSE),0)</f>
        <v>0</v>
      </c>
      <c r="W117">
        <f>J117*IFERROR(VLOOKUP(A117,[1]Tørstofindhold!A$2:B$24,2,FALSE),0)</f>
        <v>0</v>
      </c>
      <c r="X117" s="170">
        <f t="shared" si="26"/>
        <v>0</v>
      </c>
      <c r="Y117">
        <f t="shared" si="21"/>
        <v>1</v>
      </c>
      <c r="Z117">
        <f t="shared" si="22"/>
        <v>0</v>
      </c>
    </row>
    <row r="118" spans="1:26" hidden="1" x14ac:dyDescent="0.55000000000000004">
      <c r="A118" s="171" t="str">
        <f t="shared" si="33"/>
        <v>Industriaffald</v>
      </c>
      <c r="B118" s="171" t="str">
        <f t="shared" si="34"/>
        <v>Bionedbrydeligt affald</v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71">
        <f t="shared" si="35"/>
        <v>2050</v>
      </c>
      <c r="E118" t="s">
        <v>23</v>
      </c>
      <c r="F118" s="94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500298.07400383818</v>
      </c>
      <c r="G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94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9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79">
        <f t="shared" si="23"/>
        <v>500298.07400383818</v>
      </c>
      <c r="O118" s="94">
        <f t="shared" si="20"/>
        <v>500298.07400383818</v>
      </c>
      <c r="P118" s="180">
        <f t="shared" si="24"/>
        <v>0</v>
      </c>
      <c r="Q118">
        <f>IFERROR(VLOOKUP(A118,[1]Energiindhold!$A$2:$C$11,3,FALSE),IFERROR(VLOOKUP(A118,[1]Biogasudbytte!$A$2:$B$18,2,FALSE)*[1]Energiindhold!$C$10,0))*O118</f>
        <v>2.1678565934082514</v>
      </c>
      <c r="R11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2.1678565934082514</v>
      </c>
      <c r="S118">
        <f>IFERROR(VLOOKUP(A118,[1]Biogasudbytte!$A$2:$B$18,2,FALSE)*[1]Energiindhold!$C$10,0)*J118*IFERROR(VLOOKUP(A118,Biogasanlæg!$F$3:$G$8,2,FALSE),1)</f>
        <v>0</v>
      </c>
      <c r="T118" s="170">
        <f t="shared" si="25"/>
        <v>2.1678565934082514</v>
      </c>
      <c r="U118" s="169">
        <f>O118*IFERROR(VLOOKUP(A118,[1]Tørstofindhold!A$2:B$24,2,FALSE),0)</f>
        <v>210125.19108161202</v>
      </c>
      <c r="V118">
        <f>IF(D118=År1,P118,SUM(O118,P118))*IFERROR(VLOOKUP(A118,[1]Tørstofindhold!A$2:B$24,2,FALSE),0)</f>
        <v>210125.19108161202</v>
      </c>
      <c r="W118">
        <f>J118*IFERROR(VLOOKUP(A118,[1]Tørstofindhold!A$2:B$24,2,FALSE),0)</f>
        <v>0</v>
      </c>
      <c r="X118" s="170">
        <f t="shared" si="26"/>
        <v>210125.19108161202</v>
      </c>
      <c r="Y118">
        <f t="shared" si="21"/>
        <v>0</v>
      </c>
      <c r="Z118">
        <f t="shared" si="22"/>
        <v>1</v>
      </c>
    </row>
    <row r="119" spans="1:26" hidden="1" x14ac:dyDescent="0.55000000000000004">
      <c r="A119" s="171" t="str">
        <f t="shared" si="33"/>
        <v>Juletræer</v>
      </c>
      <c r="B119" s="171" t="str">
        <f t="shared" si="34"/>
        <v/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71">
        <f t="shared" si="35"/>
        <v>2050</v>
      </c>
      <c r="E119" t="s">
        <v>23</v>
      </c>
      <c r="F119" s="94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736287.78133601486</v>
      </c>
      <c r="G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94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9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79">
        <f t="shared" si="23"/>
        <v>736287.78133601486</v>
      </c>
      <c r="O119" s="94">
        <f t="shared" si="20"/>
        <v>0</v>
      </c>
      <c r="P119" s="180">
        <f t="shared" si="24"/>
        <v>0</v>
      </c>
      <c r="Q119">
        <f>IFERROR(VLOOKUP(A119,[1]Energiindhold!$A$2:$C$11,3,FALSE),IFERROR(VLOOKUP(A119,[1]Biogasudbytte!$A$2:$B$18,2,FALSE)*[1]Energiindhold!$C$10,0))*O119</f>
        <v>0</v>
      </c>
      <c r="R119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>
        <f>IFERROR(VLOOKUP(A119,[1]Biogasudbytte!$A$2:$B$18,2,FALSE)*[1]Energiindhold!$C$10,0)*J119*IFERROR(VLOOKUP(A119,Biogasanlæg!$F$3:$G$8,2,FALSE),1)</f>
        <v>0</v>
      </c>
      <c r="T119" s="170">
        <f t="shared" si="25"/>
        <v>0</v>
      </c>
      <c r="U119" s="169">
        <f>O119*IFERROR(VLOOKUP(A119,[1]Tørstofindhold!A$2:B$24,2,FALSE),0)</f>
        <v>0</v>
      </c>
      <c r="V119">
        <f>IF(D119=År1,P119,SUM(O119,P119))*IFERROR(VLOOKUP(A119,[1]Tørstofindhold!A$2:B$24,2,FALSE),0)</f>
        <v>0</v>
      </c>
      <c r="W119">
        <f>J119*IFERROR(VLOOKUP(A119,[1]Tørstofindhold!A$2:B$24,2,FALSE),0)</f>
        <v>0</v>
      </c>
      <c r="X119" s="170">
        <f t="shared" si="26"/>
        <v>0</v>
      </c>
      <c r="Y119">
        <f t="shared" si="21"/>
        <v>0</v>
      </c>
      <c r="Z119">
        <f t="shared" si="22"/>
        <v>1</v>
      </c>
    </row>
    <row r="120" spans="1:26" x14ac:dyDescent="0.55000000000000004">
      <c r="A120" s="171" t="str">
        <f t="shared" si="33"/>
        <v>Kartofler</v>
      </c>
      <c r="B120" s="171" t="str">
        <f t="shared" si="34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5"/>
        <v>2050</v>
      </c>
      <c r="E120" t="s">
        <v>23</v>
      </c>
      <c r="F120" s="94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2034058.7589381256</v>
      </c>
      <c r="G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94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9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79">
        <f t="shared" si="23"/>
        <v>1905710.9602436889</v>
      </c>
      <c r="O120" s="94">
        <f t="shared" si="20"/>
        <v>0</v>
      </c>
      <c r="P120" s="180">
        <f t="shared" si="24"/>
        <v>0</v>
      </c>
      <c r="Q120">
        <f>IFERROR(VLOOKUP(A120,[1]Energiindhold!$A$2:$C$11,3,FALSE),IFERROR(VLOOKUP(A120,[1]Biogasudbytte!$A$2:$B$18,2,FALSE)*[1]Energiindhold!$C$10,0))*O120</f>
        <v>0</v>
      </c>
      <c r="R12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>
        <f>IFERROR(VLOOKUP(A120,[1]Biogasudbytte!$A$2:$B$18,2,FALSE)*[1]Energiindhold!$C$10,0)*J120*IFERROR(VLOOKUP(A120,Biogasanlæg!$F$3:$G$8,2,FALSE),1)</f>
        <v>0</v>
      </c>
      <c r="T120" s="170">
        <f t="shared" si="25"/>
        <v>0</v>
      </c>
      <c r="U120" s="169">
        <f>O120*IFERROR(VLOOKUP(A120,[1]Tørstofindhold!A$2:B$24,2,FALSE),0)</f>
        <v>0</v>
      </c>
      <c r="V120">
        <f>IF(D120=År1,P120,SUM(O120,P120))*IFERROR(VLOOKUP(A120,[1]Tørstofindhold!A$2:B$24,2,FALSE),0)</f>
        <v>0</v>
      </c>
      <c r="W120">
        <f>J120*IFERROR(VLOOKUP(A120,[1]Tørstofindhold!A$2:B$24,2,FALSE),0)</f>
        <v>0</v>
      </c>
      <c r="X120" s="170">
        <f t="shared" si="26"/>
        <v>0</v>
      </c>
      <c r="Y120">
        <f t="shared" si="21"/>
        <v>0</v>
      </c>
      <c r="Z120">
        <f t="shared" si="22"/>
        <v>1</v>
      </c>
    </row>
    <row r="121" spans="1:26" x14ac:dyDescent="0.55000000000000004">
      <c r="A121" s="171" t="str">
        <f t="shared" si="33"/>
        <v>Korn</v>
      </c>
      <c r="B121" s="171" t="str">
        <f t="shared" si="34"/>
        <v>Halm og strå</v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71">
        <f t="shared" si="35"/>
        <v>2050</v>
      </c>
      <c r="E121" t="s">
        <v>23</v>
      </c>
      <c r="F121" s="94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6657445.6000957079</v>
      </c>
      <c r="G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5470784.8849928668</v>
      </c>
      <c r="H121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94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9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79">
        <f t="shared" si="23"/>
        <v>879190.16438430082</v>
      </c>
      <c r="O121" s="94">
        <f t="shared" si="20"/>
        <v>879190.16438430082</v>
      </c>
      <c r="P121" s="180">
        <f t="shared" si="24"/>
        <v>0</v>
      </c>
      <c r="Q121">
        <f>IFERROR(VLOOKUP(A121,[1]Energiindhold!$A$2:$C$11,3,FALSE),IFERROR(VLOOKUP(A121,[1]Biogasudbytte!$A$2:$B$18,2,FALSE)*[1]Energiindhold!$C$10,0))*O121</f>
        <v>3.0111032263932169</v>
      </c>
      <c r="R121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3.0111032263932169</v>
      </c>
      <c r="S121">
        <f>IFERROR(VLOOKUP(A121,[1]Biogasudbytte!$A$2:$B$18,2,FALSE)*[1]Energiindhold!$C$10,0)*J121*IFERROR(VLOOKUP(A121,Biogasanlæg!$F$3:$G$8,2,FALSE),1)</f>
        <v>0</v>
      </c>
      <c r="T121" s="170">
        <f t="shared" si="25"/>
        <v>3.0111032263932169</v>
      </c>
      <c r="U121" s="169">
        <f>O121*IFERROR(VLOOKUP(A121,[1]Tørstofindhold!A$2:B$24,2,FALSE),0)</f>
        <v>272548.95095913328</v>
      </c>
      <c r="V121">
        <f>IF(D121=År1,P121,SUM(O121,P121))*IFERROR(VLOOKUP(A121,[1]Tørstofindhold!A$2:B$24,2,FALSE),0)</f>
        <v>272548.95095913328</v>
      </c>
      <c r="W121">
        <f>J121*IFERROR(VLOOKUP(A121,[1]Tørstofindhold!A$2:B$24,2,FALSE),0)</f>
        <v>0</v>
      </c>
      <c r="X121" s="170">
        <f t="shared" si="26"/>
        <v>272548.95095913328</v>
      </c>
      <c r="Y121">
        <f t="shared" si="21"/>
        <v>0</v>
      </c>
      <c r="Z121">
        <f t="shared" si="22"/>
        <v>1</v>
      </c>
    </row>
    <row r="122" spans="1:26" hidden="1" x14ac:dyDescent="0.55000000000000004">
      <c r="A122" s="171" t="str">
        <f t="shared" si="33"/>
        <v>Kunstgødning</v>
      </c>
      <c r="B122" s="171" t="str">
        <f t="shared" si="34"/>
        <v/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71">
        <f t="shared" si="35"/>
        <v>2050</v>
      </c>
      <c r="E122" t="s">
        <v>23</v>
      </c>
      <c r="F122" s="94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94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94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94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94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475615.83979339601</v>
      </c>
      <c r="L122" s="94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9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79">
        <f t="shared" ca="1" si="23"/>
        <v>-475615.83979339601</v>
      </c>
      <c r="O122" s="94">
        <f t="shared" si="20"/>
        <v>0</v>
      </c>
      <c r="P122" s="180">
        <f t="shared" si="24"/>
        <v>0</v>
      </c>
      <c r="Q122">
        <f>IFERROR(VLOOKUP(A122,[1]Energiindhold!$A$2:$C$11,3,FALSE),IFERROR(VLOOKUP(A122,[1]Biogasudbytte!$A$2:$B$18,2,FALSE)*[1]Energiindhold!$C$10,0))*O122</f>
        <v>0</v>
      </c>
      <c r="R12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>
        <f>IFERROR(VLOOKUP(A122,[1]Biogasudbytte!$A$2:$B$18,2,FALSE)*[1]Energiindhold!$C$10,0)*J122*IFERROR(VLOOKUP(A122,Biogasanlæg!$F$3:$G$8,2,FALSE),1)</f>
        <v>0</v>
      </c>
      <c r="T122" s="170">
        <f t="shared" si="25"/>
        <v>0</v>
      </c>
      <c r="U122" s="169">
        <f>O122*IFERROR(VLOOKUP(A122,[1]Tørstofindhold!A$2:B$24,2,FALSE),0)</f>
        <v>0</v>
      </c>
      <c r="V122">
        <f>IF(D122=År1,P122,SUM(O122,P122))*IFERROR(VLOOKUP(A122,[1]Tørstofindhold!A$2:B$24,2,FALSE),0)</f>
        <v>0</v>
      </c>
      <c r="W122">
        <f>J122*IFERROR(VLOOKUP(A122,[1]Tørstofindhold!A$2:B$24,2,FALSE),0)</f>
        <v>0</v>
      </c>
      <c r="X122" s="170">
        <f t="shared" si="26"/>
        <v>0</v>
      </c>
      <c r="Y122">
        <f t="shared" ca="1" si="21"/>
        <v>1</v>
      </c>
      <c r="Z122">
        <f t="shared" ca="1" si="22"/>
        <v>0</v>
      </c>
    </row>
    <row r="123" spans="1:26" hidden="1" x14ac:dyDescent="0.55000000000000004">
      <c r="A123" s="171" t="str">
        <f t="shared" si="33"/>
        <v>Kvæggylle</v>
      </c>
      <c r="B123" s="171" t="str">
        <f t="shared" si="34"/>
        <v>Husdyrgødning</v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71">
        <f t="shared" si="35"/>
        <v>2050</v>
      </c>
      <c r="E123" t="s">
        <v>23</v>
      </c>
      <c r="F123" s="94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94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9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79">
        <f t="shared" si="23"/>
        <v>0</v>
      </c>
      <c r="O123" s="94">
        <f t="shared" si="20"/>
        <v>0</v>
      </c>
      <c r="P123" s="180">
        <f t="shared" si="24"/>
        <v>11461865.852294842</v>
      </c>
      <c r="Q123">
        <f>IFERROR(VLOOKUP(A123,[1]Energiindhold!$A$2:$C$11,3,FALSE),IFERROR(VLOOKUP(A123,[1]Biogasudbytte!$A$2:$B$18,2,FALSE)*[1]Energiindhold!$C$10,0))*O123</f>
        <v>0</v>
      </c>
      <c r="R123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>
        <f>IFERROR(VLOOKUP(A123,[1]Biogasudbytte!$A$2:$B$18,2,FALSE)*[1]Energiindhold!$C$10,0)*J123*IFERROR(VLOOKUP(A123,Biogasanlæg!$F$3:$G$8,2,FALSE),1)</f>
        <v>5.8018818757731268</v>
      </c>
      <c r="T123" s="170">
        <f t="shared" si="25"/>
        <v>0</v>
      </c>
      <c r="U123" s="169">
        <f>O123*IFERROR(VLOOKUP(A123,[1]Tørstofindhold!A$2:B$24,2,FALSE),0)</f>
        <v>0</v>
      </c>
      <c r="V123">
        <f>IF(D123=År1,P123,SUM(O123,P123))*IFERROR(VLOOKUP(A123,[1]Tørstofindhold!A$2:B$24,2,FALSE),0)</f>
        <v>871101.804774408</v>
      </c>
      <c r="W123">
        <f>J123*IFERROR(VLOOKUP(A123,[1]Tørstofindhold!A$2:B$24,2,FALSE),0)</f>
        <v>871101.804774408</v>
      </c>
      <c r="X123" s="170">
        <f t="shared" si="26"/>
        <v>0</v>
      </c>
      <c r="Y123">
        <f t="shared" si="21"/>
        <v>0</v>
      </c>
      <c r="Z123">
        <f t="shared" si="22"/>
        <v>0</v>
      </c>
    </row>
    <row r="124" spans="1:26" hidden="1" x14ac:dyDescent="0.55000000000000004">
      <c r="A124" s="171" t="str">
        <f t="shared" si="33"/>
        <v>Mælk til foder</v>
      </c>
      <c r="B124" s="171" t="str">
        <f t="shared" si="34"/>
        <v/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71">
        <f t="shared" si="35"/>
        <v>2050</v>
      </c>
      <c r="E124" t="s">
        <v>23</v>
      </c>
      <c r="F124" s="94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1410417.1911333126</v>
      </c>
      <c r="H124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94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9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79">
        <f t="shared" si="23"/>
        <v>180466.27894475101</v>
      </c>
      <c r="O124" s="94">
        <f t="shared" si="20"/>
        <v>0</v>
      </c>
      <c r="P124" s="180">
        <f t="shared" si="24"/>
        <v>0</v>
      </c>
      <c r="Q124">
        <f>IFERROR(VLOOKUP(A124,[1]Energiindhold!$A$2:$C$11,3,FALSE),IFERROR(VLOOKUP(A124,[1]Biogasudbytte!$A$2:$B$18,2,FALSE)*[1]Energiindhold!$C$10,0))*O124</f>
        <v>0</v>
      </c>
      <c r="R124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>
        <f>IFERROR(VLOOKUP(A124,[1]Biogasudbytte!$A$2:$B$18,2,FALSE)*[1]Energiindhold!$C$10,0)*J124*IFERROR(VLOOKUP(A124,Biogasanlæg!$F$3:$G$8,2,FALSE),1)</f>
        <v>0</v>
      </c>
      <c r="T124" s="170">
        <f t="shared" si="25"/>
        <v>0</v>
      </c>
      <c r="U124" s="169">
        <f>O124*IFERROR(VLOOKUP(A124,[1]Tørstofindhold!A$2:B$24,2,FALSE),0)</f>
        <v>0</v>
      </c>
      <c r="V124">
        <f>IF(D124=År1,P124,SUM(O124,P124))*IFERROR(VLOOKUP(A124,[1]Tørstofindhold!A$2:B$24,2,FALSE),0)</f>
        <v>0</v>
      </c>
      <c r="W124">
        <f>J124*IFERROR(VLOOKUP(A124,[1]Tørstofindhold!A$2:B$24,2,FALSE),0)</f>
        <v>0</v>
      </c>
      <c r="X124" s="170">
        <f t="shared" si="26"/>
        <v>0</v>
      </c>
      <c r="Y124">
        <f t="shared" si="21"/>
        <v>0</v>
      </c>
      <c r="Z124">
        <f t="shared" si="22"/>
        <v>1</v>
      </c>
    </row>
    <row r="125" spans="1:26" x14ac:dyDescent="0.55000000000000004">
      <c r="A125" s="171" t="str">
        <f t="shared" si="33"/>
        <v>Majs</v>
      </c>
      <c r="B125" s="171" t="str">
        <f t="shared" si="34"/>
        <v>Græs og urter</v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71">
        <f t="shared" si="35"/>
        <v>2050</v>
      </c>
      <c r="E125" t="s">
        <v>23</v>
      </c>
      <c r="F125" s="94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7480186.4136029035</v>
      </c>
      <c r="G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5264057.0697440123</v>
      </c>
      <c r="H125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94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9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79">
        <f t="shared" si="23"/>
        <v>2216129.3438588912</v>
      </c>
      <c r="O125" s="94">
        <f t="shared" si="20"/>
        <v>1964071.9525106091</v>
      </c>
      <c r="P125" s="180">
        <f t="shared" si="24"/>
        <v>0</v>
      </c>
      <c r="Q125">
        <f>IFERROR(VLOOKUP(A125,[1]Energiindhold!$A$2:$C$11,3,FALSE),IFERROR(VLOOKUP(A125,[1]Biogasudbytte!$A$2:$B$18,2,FALSE)*[1]Energiindhold!$C$10,0))*O125</f>
        <v>7.0510183095130872</v>
      </c>
      <c r="R125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7.0510183095130872</v>
      </c>
      <c r="S125">
        <f>IFERROR(VLOOKUP(A125,[1]Biogasudbytte!$A$2:$B$18,2,FALSE)*[1]Energiindhold!$C$10,0)*J125*IFERROR(VLOOKUP(A125,Biogasanlæg!$F$3:$G$8,2,FALSE),1)</f>
        <v>0</v>
      </c>
      <c r="T125" s="170">
        <f t="shared" si="25"/>
        <v>7.0510183095130872</v>
      </c>
      <c r="U125" s="169">
        <f>O125*IFERROR(VLOOKUP(A125,[1]Tørstofindhold!A$2:B$24,2,FALSE),0)</f>
        <v>589221.58575318265</v>
      </c>
      <c r="V125">
        <f>IF(D125=År1,P125,SUM(O125,P125))*IFERROR(VLOOKUP(A125,[1]Tørstofindhold!A$2:B$24,2,FALSE),0)</f>
        <v>589221.58575318265</v>
      </c>
      <c r="W125">
        <f>J125*IFERROR(VLOOKUP(A125,[1]Tørstofindhold!A$2:B$24,2,FALSE),0)</f>
        <v>0</v>
      </c>
      <c r="X125" s="170">
        <f t="shared" si="26"/>
        <v>589221.58575318265</v>
      </c>
      <c r="Y125">
        <f t="shared" si="21"/>
        <v>0</v>
      </c>
      <c r="Z125">
        <f t="shared" si="22"/>
        <v>1</v>
      </c>
    </row>
    <row r="126" spans="1:26" x14ac:dyDescent="0.55000000000000004">
      <c r="A126" s="171" t="str">
        <f t="shared" si="33"/>
        <v>Mejeriprodukter</v>
      </c>
      <c r="B126" s="171" t="str">
        <f t="shared" si="34"/>
        <v/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71">
        <f t="shared" si="35"/>
        <v>2050</v>
      </c>
      <c r="E126" t="s">
        <v>23</v>
      </c>
      <c r="F126" s="94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94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9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79">
        <f t="shared" si="23"/>
        <v>2578754.8968308186</v>
      </c>
      <c r="O126" s="94">
        <f t="shared" si="20"/>
        <v>0</v>
      </c>
      <c r="P126" s="180">
        <f t="shared" si="24"/>
        <v>0</v>
      </c>
      <c r="Q126">
        <f>IFERROR(VLOOKUP(A126,[1]Energiindhold!$A$2:$C$11,3,FALSE),IFERROR(VLOOKUP(A126,[1]Biogasudbytte!$A$2:$B$18,2,FALSE)*[1]Energiindhold!$C$10,0))*O126</f>
        <v>0</v>
      </c>
      <c r="R126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>
        <f>IFERROR(VLOOKUP(A126,[1]Biogasudbytte!$A$2:$B$18,2,FALSE)*[1]Energiindhold!$C$10,0)*J126*IFERROR(VLOOKUP(A126,Biogasanlæg!$F$3:$G$8,2,FALSE),1)</f>
        <v>0</v>
      </c>
      <c r="T126" s="170">
        <f t="shared" si="25"/>
        <v>0</v>
      </c>
      <c r="U126" s="169">
        <f>O126*IFERROR(VLOOKUP(A126,[1]Tørstofindhold!A$2:B$24,2,FALSE),0)</f>
        <v>0</v>
      </c>
      <c r="V126">
        <f>IF(D126=År1,P126,SUM(O126,P126))*IFERROR(VLOOKUP(A126,[1]Tørstofindhold!A$2:B$24,2,FALSE),0)</f>
        <v>0</v>
      </c>
      <c r="W126">
        <f>J126*IFERROR(VLOOKUP(A126,[1]Tørstofindhold!A$2:B$24,2,FALSE),0)</f>
        <v>0</v>
      </c>
      <c r="X126" s="170">
        <f t="shared" si="26"/>
        <v>0</v>
      </c>
      <c r="Y126">
        <f t="shared" si="21"/>
        <v>0</v>
      </c>
      <c r="Z126">
        <f t="shared" si="22"/>
        <v>1</v>
      </c>
    </row>
    <row r="127" spans="1:26" x14ac:dyDescent="0.55000000000000004">
      <c r="A127" s="171" t="str">
        <f t="shared" si="33"/>
        <v>Muslinger</v>
      </c>
      <c r="B127" s="171" t="str">
        <f t="shared" si="34"/>
        <v>Havbiomasse</v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71">
        <f t="shared" si="35"/>
        <v>2050</v>
      </c>
      <c r="E127" t="s">
        <v>23</v>
      </c>
      <c r="F127" s="94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878.90231344976178</v>
      </c>
      <c r="G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94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9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79">
        <f t="shared" si="23"/>
        <v>878.90231344976178</v>
      </c>
      <c r="O127" s="94">
        <f t="shared" si="20"/>
        <v>878.90231344976178</v>
      </c>
      <c r="P127" s="180">
        <f t="shared" si="24"/>
        <v>0</v>
      </c>
      <c r="Q127">
        <f>IFERROR(VLOOKUP(A127,[1]Energiindhold!$A$2:$C$11,3,FALSE),IFERROR(VLOOKUP(A127,[1]Biogasudbytte!$A$2:$B$18,2,FALSE)*[1]Energiindhold!$C$10,0))*O127</f>
        <v>7.8881482632116122E-4</v>
      </c>
      <c r="R12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7.8881482632116122E-4</v>
      </c>
      <c r="S127">
        <f>IFERROR(VLOOKUP(A127,[1]Biogasudbytte!$A$2:$B$18,2,FALSE)*[1]Energiindhold!$C$10,0)*J127*IFERROR(VLOOKUP(A127,Biogasanlæg!$F$3:$G$8,2,FALSE),1)</f>
        <v>0</v>
      </c>
      <c r="T127" s="170">
        <f t="shared" si="25"/>
        <v>7.8881482632116122E-4</v>
      </c>
      <c r="U127" s="169">
        <f>O127*IFERROR(VLOOKUP(A127,[1]Tørstofindhold!A$2:B$24,2,FALSE),0)</f>
        <v>131.83534701746427</v>
      </c>
      <c r="V127">
        <f>IF(D127=År1,P127,SUM(O127,P127))*IFERROR(VLOOKUP(A127,[1]Tørstofindhold!A$2:B$24,2,FALSE),0)</f>
        <v>131.83534701746427</v>
      </c>
      <c r="W127">
        <f>J127*IFERROR(VLOOKUP(A127,[1]Tørstofindhold!A$2:B$24,2,FALSE),0)</f>
        <v>0</v>
      </c>
      <c r="X127" s="170">
        <f t="shared" si="26"/>
        <v>131.83534701746427</v>
      </c>
      <c r="Y127">
        <f t="shared" si="21"/>
        <v>0</v>
      </c>
      <c r="Z127">
        <f t="shared" si="22"/>
        <v>1</v>
      </c>
    </row>
    <row r="128" spans="1:26" x14ac:dyDescent="0.55000000000000004">
      <c r="A128" s="171" t="str">
        <f t="shared" si="33"/>
        <v>Oksekød</v>
      </c>
      <c r="B128" s="171" t="str">
        <f t="shared" si="34"/>
        <v/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71">
        <f t="shared" si="35"/>
        <v>2050</v>
      </c>
      <c r="E128" t="s">
        <v>23</v>
      </c>
      <c r="F128" s="94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94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9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79">
        <f t="shared" si="23"/>
        <v>65366.975133717067</v>
      </c>
      <c r="O128" s="94">
        <f t="shared" si="20"/>
        <v>0</v>
      </c>
      <c r="P128" s="180">
        <f t="shared" si="24"/>
        <v>0</v>
      </c>
      <c r="Q128">
        <f>IFERROR(VLOOKUP(A128,[1]Energiindhold!$A$2:$C$11,3,FALSE),IFERROR(VLOOKUP(A128,[1]Biogasudbytte!$A$2:$B$18,2,FALSE)*[1]Energiindhold!$C$10,0))*O128</f>
        <v>0</v>
      </c>
      <c r="R12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>
        <f>IFERROR(VLOOKUP(A128,[1]Biogasudbytte!$A$2:$B$18,2,FALSE)*[1]Energiindhold!$C$10,0)*J128*IFERROR(VLOOKUP(A128,Biogasanlæg!$F$3:$G$8,2,FALSE),1)</f>
        <v>0</v>
      </c>
      <c r="T128" s="170">
        <f t="shared" si="25"/>
        <v>0</v>
      </c>
      <c r="U128" s="169">
        <f>O128*IFERROR(VLOOKUP(A128,[1]Tørstofindhold!A$2:B$24,2,FALSE),0)</f>
        <v>0</v>
      </c>
      <c r="V128">
        <f>IF(D128=År1,P128,SUM(O128,P128))*IFERROR(VLOOKUP(A128,[1]Tørstofindhold!A$2:B$24,2,FALSE),0)</f>
        <v>0</v>
      </c>
      <c r="W128">
        <f>J128*IFERROR(VLOOKUP(A128,[1]Tørstofindhold!A$2:B$24,2,FALSE),0)</f>
        <v>0</v>
      </c>
      <c r="X128" s="170">
        <f t="shared" si="26"/>
        <v>0</v>
      </c>
      <c r="Y128">
        <f t="shared" si="21"/>
        <v>0</v>
      </c>
      <c r="Z128">
        <f t="shared" si="22"/>
        <v>1</v>
      </c>
    </row>
    <row r="129" spans="1:26" hidden="1" x14ac:dyDescent="0.55000000000000004">
      <c r="A129" s="171" t="str">
        <f t="shared" si="33"/>
        <v>Øvrige</v>
      </c>
      <c r="B129" s="171" t="str">
        <f t="shared" si="34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5"/>
        <v>2050</v>
      </c>
      <c r="E129" t="s">
        <v>23</v>
      </c>
      <c r="F129" s="94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1547190.8284741363</v>
      </c>
      <c r="G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94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9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79">
        <f t="shared" si="23"/>
        <v>1547190.8284741363</v>
      </c>
      <c r="O129" s="94">
        <f t="shared" si="20"/>
        <v>0</v>
      </c>
      <c r="P129" s="180">
        <f t="shared" si="24"/>
        <v>0</v>
      </c>
      <c r="Q129">
        <f>IFERROR(VLOOKUP(A129,[1]Energiindhold!$A$2:$C$11,3,FALSE),IFERROR(VLOOKUP(A129,[1]Biogasudbytte!$A$2:$B$18,2,FALSE)*[1]Energiindhold!$C$10,0))*O129</f>
        <v>0</v>
      </c>
      <c r="R129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>
        <f>IFERROR(VLOOKUP(A129,[1]Biogasudbytte!$A$2:$B$18,2,FALSE)*[1]Energiindhold!$C$10,0)*J129*IFERROR(VLOOKUP(A129,Biogasanlæg!$F$3:$G$8,2,FALSE),1)</f>
        <v>0</v>
      </c>
      <c r="T129" s="170">
        <f t="shared" si="25"/>
        <v>0</v>
      </c>
      <c r="U129" s="169">
        <f>O129*IFERROR(VLOOKUP(A129,[1]Tørstofindhold!A$2:B$24,2,FALSE),0)</f>
        <v>0</v>
      </c>
      <c r="V129">
        <f>IF(D129=År1,P129,SUM(O129,P129))*IFERROR(VLOOKUP(A129,[1]Tørstofindhold!A$2:B$24,2,FALSE),0)</f>
        <v>0</v>
      </c>
      <c r="W129">
        <f>J129*IFERROR(VLOOKUP(A129,[1]Tørstofindhold!A$2:B$24,2,FALSE),0)</f>
        <v>0</v>
      </c>
      <c r="X129" s="170">
        <f t="shared" si="26"/>
        <v>0</v>
      </c>
      <c r="Y129">
        <f t="shared" si="21"/>
        <v>0</v>
      </c>
      <c r="Z129">
        <f t="shared" si="22"/>
        <v>1</v>
      </c>
    </row>
    <row r="130" spans="1:26" x14ac:dyDescent="0.55000000000000004">
      <c r="A130" s="171" t="str">
        <f t="shared" si="33"/>
        <v>Pil &amp; poppel</v>
      </c>
      <c r="B130" s="171" t="str">
        <f t="shared" si="34"/>
        <v>Vedmasse</v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71">
        <f t="shared" si="35"/>
        <v>2050</v>
      </c>
      <c r="E130" t="s">
        <v>23</v>
      </c>
      <c r="F130" s="94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146472.78733520172</v>
      </c>
      <c r="G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94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146472.78733520172</v>
      </c>
      <c r="M130" s="9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79">
        <f t="shared" si="23"/>
        <v>0</v>
      </c>
      <c r="O130" s="94">
        <f t="shared" si="20"/>
        <v>0</v>
      </c>
      <c r="P130" s="180">
        <f t="shared" si="24"/>
        <v>146472.78733520172</v>
      </c>
      <c r="Q130">
        <f>IFERROR(VLOOKUP(A130,[1]Energiindhold!$A$2:$C$11,3,FALSE),IFERROR(VLOOKUP(A130,[1]Biogasudbytte!$A$2:$B$18,2,FALSE)*[1]Energiindhold!$C$10,0))*O130</f>
        <v>0</v>
      </c>
      <c r="R13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2.6950992869677113</v>
      </c>
      <c r="S130">
        <f>IFERROR(VLOOKUP(A130,[1]Biogasudbytte!$A$2:$B$18,2,FALSE)*[1]Energiindhold!$C$10,0)*J130*IFERROR(VLOOKUP(A130,Biogasanlæg!$F$3:$G$8,2,FALSE),1)</f>
        <v>0</v>
      </c>
      <c r="T130" s="170">
        <f t="shared" si="25"/>
        <v>2.6950992869677113</v>
      </c>
      <c r="U130" s="169">
        <f>O130*IFERROR(VLOOKUP(A130,[1]Tørstofindhold!A$2:B$24,2,FALSE),0)</f>
        <v>0</v>
      </c>
      <c r="V130">
        <f>IF(D130=År1,P130,SUM(O130,P130))*IFERROR(VLOOKUP(A130,[1]Tørstofindhold!A$2:B$24,2,FALSE),0)</f>
        <v>60786.20674410872</v>
      </c>
      <c r="W130">
        <f>J130*IFERROR(VLOOKUP(A130,[1]Tørstofindhold!A$2:B$24,2,FALSE),0)</f>
        <v>0</v>
      </c>
      <c r="X130" s="170">
        <f t="shared" si="26"/>
        <v>60786.20674410872</v>
      </c>
      <c r="Y130">
        <f t="shared" si="21"/>
        <v>0</v>
      </c>
      <c r="Z130">
        <f t="shared" si="22"/>
        <v>0</v>
      </c>
    </row>
    <row r="131" spans="1:26" hidden="1" x14ac:dyDescent="0.55000000000000004">
      <c r="A131" s="171" t="str">
        <f t="shared" ref="A131:A132" si="36">A83</f>
        <v>Pyrolysegas</v>
      </c>
      <c r="B131" s="171" t="str">
        <f t="shared" ref="B131:B132" si="37">IF(B83&lt;&gt;"",B83,"")</f>
        <v>Pyrolyseprodukter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5"/>
        <v>2050</v>
      </c>
      <c r="E131" t="s">
        <v>23</v>
      </c>
      <c r="F131" s="94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94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9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79">
        <f t="shared" ref="N131:N132" si="38">F131-SUM(G131:M131)</f>
        <v>0</v>
      </c>
      <c r="O131" s="94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180">
        <f t="shared" ref="P131:P132" si="40">SUM(J131,L131)</f>
        <v>0</v>
      </c>
      <c r="Q131">
        <f>IFERROR(VLOOKUP(A131,[1]Energiindhold!$A$2:$C$11,3,FALSE),IFERROR(VLOOKUP(A131,[1]Biogasudbytte!$A$2:$B$18,2,FALSE)*[1]Energiindhold!$C$10,0))*O131</f>
        <v>0</v>
      </c>
      <c r="R131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>
        <f>IFERROR(VLOOKUP(A131,[1]Biogasudbytte!$A$2:$B$18,2,FALSE)*[1]Energiindhold!$C$10,0)*J131*IFERROR(VLOOKUP(A131,Biogasanlæg!$F$3:$G$8,2,FALSE),1)</f>
        <v>0</v>
      </c>
      <c r="T131" s="170">
        <f t="shared" ref="T131:T132" si="41">R131-S131</f>
        <v>0</v>
      </c>
      <c r="U131" s="169">
        <f>O131*IFERROR(VLOOKUP(A131,[1]Tørstofindhold!A$2:B$24,2,FALSE),0)</f>
        <v>0</v>
      </c>
      <c r="V131">
        <f>IF(D131=År1,P131,SUM(O131,P131))*IFERROR(VLOOKUP(A131,[1]Tørstofindhold!A$2:B$24,2,FALSE),0)</f>
        <v>0</v>
      </c>
      <c r="W131">
        <f>J131*IFERROR(VLOOKUP(A131,[1]Tørstofindhold!A$2:B$24,2,FALSE),0)</f>
        <v>0</v>
      </c>
      <c r="X131" s="170">
        <f t="shared" ref="X131:X132" si="42">V131-W131</f>
        <v>0</v>
      </c>
      <c r="Y131">
        <f t="shared" ref="Y131:Y194" si="43">IF(SUMIFS($N$3:$N$290,$A$3:$A$290,A131,$D$3:$D$290,D131)&lt;0,1,0)</f>
        <v>0</v>
      </c>
      <c r="Z131">
        <f t="shared" ref="Z131:Z194" si="44">IF(SUMIFS($N$3:$N$290,$A$3:$A$290,A131,$D$3:$D$290,D131)&gt;0,1,0)</f>
        <v>0</v>
      </c>
    </row>
    <row r="132" spans="1:26" hidden="1" x14ac:dyDescent="0.55000000000000004">
      <c r="A132" s="171" t="str">
        <f t="shared" si="36"/>
        <v>Pyrolyseolie</v>
      </c>
      <c r="B132" s="171" t="str">
        <f t="shared" si="37"/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5"/>
        <v>2050</v>
      </c>
      <c r="E132" t="s">
        <v>23</v>
      </c>
      <c r="F132" s="94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94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9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79">
        <f t="shared" si="38"/>
        <v>0</v>
      </c>
      <c r="O132" s="94">
        <f t="shared" si="39"/>
        <v>0</v>
      </c>
      <c r="P132" s="180">
        <f t="shared" si="40"/>
        <v>0</v>
      </c>
      <c r="Q132">
        <f>IFERROR(VLOOKUP(A132,[1]Energiindhold!$A$2:$C$11,3,FALSE),IFERROR(VLOOKUP(A132,[1]Biogasudbytte!$A$2:$B$18,2,FALSE)*[1]Energiindhold!$C$10,0))*O132</f>
        <v>0</v>
      </c>
      <c r="R13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>
        <f>IFERROR(VLOOKUP(A132,[1]Biogasudbytte!$A$2:$B$18,2,FALSE)*[1]Energiindhold!$C$10,0)*J132*IFERROR(VLOOKUP(A132,Biogasanlæg!$F$3:$G$8,2,FALSE),1)</f>
        <v>0</v>
      </c>
      <c r="T132" s="170">
        <f t="shared" si="41"/>
        <v>0</v>
      </c>
      <c r="U132" s="169">
        <f>O132*IFERROR(VLOOKUP(A132,[1]Tørstofindhold!A$2:B$24,2,FALSE),0)</f>
        <v>0</v>
      </c>
      <c r="V132">
        <f>IF(D132=År1,P132,SUM(O132,P132))*IFERROR(VLOOKUP(A132,[1]Tørstofindhold!A$2:B$24,2,FALSE),0)</f>
        <v>0</v>
      </c>
      <c r="W132">
        <f>J132*IFERROR(VLOOKUP(A132,[1]Tørstofindhold!A$2:B$24,2,FALSE),0)</f>
        <v>0</v>
      </c>
      <c r="X132" s="170">
        <f t="shared" si="42"/>
        <v>0</v>
      </c>
      <c r="Y132">
        <f t="shared" si="43"/>
        <v>0</v>
      </c>
      <c r="Z132">
        <f t="shared" si="44"/>
        <v>0</v>
      </c>
    </row>
    <row r="133" spans="1:26" hidden="1" x14ac:dyDescent="0.55000000000000004">
      <c r="A133" s="171" t="str">
        <f t="shared" ref="A133:A146" si="45">A85</f>
        <v>Råmælk</v>
      </c>
      <c r="B133" s="171" t="str">
        <f t="shared" ref="B133:B146" si="46">IF(B85&lt;&gt;"",B85,"")</f>
        <v/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71">
        <f t="shared" si="35"/>
        <v>2050</v>
      </c>
      <c r="E133" t="s">
        <v>23</v>
      </c>
      <c r="F133" s="94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94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9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79">
        <f t="shared" si="23"/>
        <v>4779961.9648844432</v>
      </c>
      <c r="O133" s="94">
        <f t="shared" si="39"/>
        <v>0</v>
      </c>
      <c r="P133" s="180">
        <f t="shared" si="24"/>
        <v>0</v>
      </c>
      <c r="Q133">
        <f>IFERROR(VLOOKUP(A133,[1]Energiindhold!$A$2:$C$11,3,FALSE),IFERROR(VLOOKUP(A133,[1]Biogasudbytte!$A$2:$B$18,2,FALSE)*[1]Energiindhold!$C$10,0))*O133</f>
        <v>0</v>
      </c>
      <c r="R133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>
        <f>IFERROR(VLOOKUP(A133,[1]Biogasudbytte!$A$2:$B$18,2,FALSE)*[1]Energiindhold!$C$10,0)*J133*IFERROR(VLOOKUP(A133,Biogasanlæg!$F$3:$G$8,2,FALSE),1)</f>
        <v>0</v>
      </c>
      <c r="T133" s="170">
        <f t="shared" si="25"/>
        <v>0</v>
      </c>
      <c r="U133" s="169">
        <f>O133*IFERROR(VLOOKUP(A133,[1]Tørstofindhold!A$2:B$24,2,FALSE),0)</f>
        <v>0</v>
      </c>
      <c r="V133">
        <f>IF(D133=År1,P133,SUM(O133,P133))*IFERROR(VLOOKUP(A133,[1]Tørstofindhold!A$2:B$24,2,FALSE),0)</f>
        <v>0</v>
      </c>
      <c r="W133">
        <f>J133*IFERROR(VLOOKUP(A133,[1]Tørstofindhold!A$2:B$24,2,FALSE),0)</f>
        <v>0</v>
      </c>
      <c r="X133" s="170">
        <f t="shared" si="26"/>
        <v>0</v>
      </c>
      <c r="Y133">
        <f t="shared" si="43"/>
        <v>0</v>
      </c>
      <c r="Z133">
        <f t="shared" si="44"/>
        <v>1</v>
      </c>
    </row>
    <row r="134" spans="1:26" x14ac:dyDescent="0.55000000000000004">
      <c r="A134" s="171" t="str">
        <f t="shared" si="45"/>
        <v>Raps</v>
      </c>
      <c r="B134" s="171" t="str">
        <f t="shared" si="46"/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5"/>
        <v>2050</v>
      </c>
      <c r="E134" t="s">
        <v>23</v>
      </c>
      <c r="F134" s="94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471962.43365815014</v>
      </c>
      <c r="G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94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94">
        <f>SUMIFS('Forbrug af biomasse'!E:E,'Forbrug af biomasse'!C:C,'Resultat-Produktion &amp; forbrug'!$A134,'Forbrug af biomasse'!D:D,'Resultat-Produktion &amp; forbrug'!$D134,'Forbrug af biomasse'!G:G,1,'Forbrug af biomasse'!B:B,$E134)</f>
        <v>471962.43365815014</v>
      </c>
      <c r="N134" s="179">
        <f t="shared" si="23"/>
        <v>0</v>
      </c>
      <c r="O134" s="94">
        <f t="shared" si="39"/>
        <v>0</v>
      </c>
      <c r="P134" s="180">
        <f t="shared" si="24"/>
        <v>0</v>
      </c>
      <c r="Q134">
        <f>IFERROR(VLOOKUP(A134,[1]Energiindhold!$A$2:$C$11,3,FALSE),IFERROR(VLOOKUP(A134,[1]Biogasudbytte!$A$2:$B$18,2,FALSE)*[1]Energiindhold!$C$10,0))*O134</f>
        <v>0</v>
      </c>
      <c r="R134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>
        <f>IFERROR(VLOOKUP(A134,[1]Biogasudbytte!$A$2:$B$18,2,FALSE)*[1]Energiindhold!$C$10,0)*J134*IFERROR(VLOOKUP(A134,Biogasanlæg!$F$3:$G$8,2,FALSE),1)</f>
        <v>0</v>
      </c>
      <c r="T134" s="170">
        <f t="shared" si="25"/>
        <v>0</v>
      </c>
      <c r="U134" s="169">
        <f>O134*IFERROR(VLOOKUP(A134,[1]Tørstofindhold!A$2:B$24,2,FALSE),0)</f>
        <v>0</v>
      </c>
      <c r="V134">
        <f>IF(D134=År1,P134,SUM(O134,P134))*IFERROR(VLOOKUP(A134,[1]Tørstofindhold!A$2:B$24,2,FALSE),0)</f>
        <v>0</v>
      </c>
      <c r="W134">
        <f>J134*IFERROR(VLOOKUP(A134,[1]Tørstofindhold!A$2:B$24,2,FALSE),0)</f>
        <v>0</v>
      </c>
      <c r="X134" s="170">
        <f t="shared" si="26"/>
        <v>0</v>
      </c>
      <c r="Y134">
        <f t="shared" si="43"/>
        <v>0</v>
      </c>
      <c r="Z134">
        <f t="shared" si="44"/>
        <v>0</v>
      </c>
    </row>
    <row r="135" spans="1:26" x14ac:dyDescent="0.55000000000000004">
      <c r="A135" s="171" t="str">
        <f t="shared" si="45"/>
        <v>Rapskage</v>
      </c>
      <c r="B135" s="171" t="str">
        <f t="shared" si="46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5"/>
        <v>2050</v>
      </c>
      <c r="E135" t="s">
        <v>23</v>
      </c>
      <c r="F135" s="94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235981.21682907507</v>
      </c>
      <c r="G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199225.59614708141</v>
      </c>
      <c r="H135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94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9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79">
        <f t="shared" si="23"/>
        <v>36755.620681993663</v>
      </c>
      <c r="O135" s="94">
        <f t="shared" si="39"/>
        <v>0</v>
      </c>
      <c r="P135" s="180">
        <f t="shared" si="24"/>
        <v>0</v>
      </c>
      <c r="Q135">
        <f>IFERROR(VLOOKUP(A135,[1]Energiindhold!$A$2:$C$11,3,FALSE),IFERROR(VLOOKUP(A135,[1]Biogasudbytte!$A$2:$B$18,2,FALSE)*[1]Energiindhold!$C$10,0))*O135</f>
        <v>0</v>
      </c>
      <c r="R135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>
        <f>IFERROR(VLOOKUP(A135,[1]Biogasudbytte!$A$2:$B$18,2,FALSE)*[1]Energiindhold!$C$10,0)*J135*IFERROR(VLOOKUP(A135,Biogasanlæg!$F$3:$G$8,2,FALSE),1)</f>
        <v>0</v>
      </c>
      <c r="T135" s="170">
        <f t="shared" si="25"/>
        <v>0</v>
      </c>
      <c r="U135" s="169">
        <f>O135*IFERROR(VLOOKUP(A135,[1]Tørstofindhold!A$2:B$24,2,FALSE),0)</f>
        <v>0</v>
      </c>
      <c r="V135">
        <f>IF(D135=År1,P135,SUM(O135,P135))*IFERROR(VLOOKUP(A135,[1]Tørstofindhold!A$2:B$24,2,FALSE),0)</f>
        <v>0</v>
      </c>
      <c r="W135">
        <f>J135*IFERROR(VLOOKUP(A135,[1]Tørstofindhold!A$2:B$24,2,FALSE),0)</f>
        <v>0</v>
      </c>
      <c r="X135" s="170">
        <f t="shared" si="26"/>
        <v>0</v>
      </c>
      <c r="Y135">
        <f t="shared" si="43"/>
        <v>0</v>
      </c>
      <c r="Z135">
        <f t="shared" si="44"/>
        <v>1</v>
      </c>
    </row>
    <row r="136" spans="1:26" x14ac:dyDescent="0.55000000000000004">
      <c r="A136" s="171" t="str">
        <f t="shared" si="45"/>
        <v>Rapsolie</v>
      </c>
      <c r="B136" s="171" t="str">
        <f t="shared" si="46"/>
        <v>Rapsolie</v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71">
        <f t="shared" si="35"/>
        <v>2050</v>
      </c>
      <c r="E136" t="s">
        <v>23</v>
      </c>
      <c r="F136" s="94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151027.97877060805</v>
      </c>
      <c r="G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94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151027.97877060805</v>
      </c>
      <c r="M136" s="9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79">
        <f t="shared" si="23"/>
        <v>0</v>
      </c>
      <c r="O136" s="94">
        <f t="shared" si="39"/>
        <v>0</v>
      </c>
      <c r="P136" s="180">
        <f t="shared" si="24"/>
        <v>151027.97877060805</v>
      </c>
      <c r="Q136">
        <f>IFERROR(VLOOKUP(A136,[1]Energiindhold!$A$2:$C$11,3,FALSE),IFERROR(VLOOKUP(A136,[1]Biogasudbytte!$A$2:$B$18,2,FALSE)*[1]Energiindhold!$C$10,0))*O136</f>
        <v>0</v>
      </c>
      <c r="R136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5.2859792569712818</v>
      </c>
      <c r="S136">
        <f>IFERROR(VLOOKUP(A136,[1]Biogasudbytte!$A$2:$B$18,2,FALSE)*[1]Energiindhold!$C$10,0)*J136*IFERROR(VLOOKUP(A136,Biogasanlæg!$F$3:$G$8,2,FALSE),1)</f>
        <v>0</v>
      </c>
      <c r="T136" s="170">
        <f t="shared" si="25"/>
        <v>5.2859792569712818</v>
      </c>
      <c r="U136" s="169">
        <f>O136*IFERROR(VLOOKUP(A136,[1]Tørstofindhold!A$2:B$24,2,FALSE),0)</f>
        <v>0</v>
      </c>
      <c r="V136">
        <f>IF(D136=År1,P136,SUM(O136,P136))*IFERROR(VLOOKUP(A136,[1]Tørstofindhold!A$2:B$24,2,FALSE),0)</f>
        <v>0</v>
      </c>
      <c r="W136">
        <f>J136*IFERROR(VLOOKUP(A136,[1]Tørstofindhold!A$2:B$24,2,FALSE),0)</f>
        <v>0</v>
      </c>
      <c r="X136" s="170">
        <f t="shared" si="26"/>
        <v>0</v>
      </c>
      <c r="Y136">
        <f t="shared" si="43"/>
        <v>0</v>
      </c>
      <c r="Z136">
        <f t="shared" si="44"/>
        <v>0</v>
      </c>
    </row>
    <row r="137" spans="1:26" x14ac:dyDescent="0.55000000000000004">
      <c r="A137" s="171" t="str">
        <f t="shared" si="45"/>
        <v>Roer</v>
      </c>
      <c r="B137" s="171" t="str">
        <f t="shared" si="46"/>
        <v>Græs og urter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5"/>
        <v>2050</v>
      </c>
      <c r="E137" t="s">
        <v>23</v>
      </c>
      <c r="F137" s="94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370630.07456563454</v>
      </c>
      <c r="G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782731.52628497675</v>
      </c>
      <c r="H13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94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9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79">
        <f t="shared" si="23"/>
        <v>-412101.45171934221</v>
      </c>
      <c r="O137" s="94">
        <f t="shared" si="39"/>
        <v>0</v>
      </c>
      <c r="P137" s="180">
        <f t="shared" si="24"/>
        <v>0</v>
      </c>
      <c r="Q137">
        <f>IFERROR(VLOOKUP(A137,[1]Energiindhold!$A$2:$C$11,3,FALSE),IFERROR(VLOOKUP(A137,[1]Biogasudbytte!$A$2:$B$18,2,FALSE)*[1]Energiindhold!$C$10,0))*O137</f>
        <v>0</v>
      </c>
      <c r="R13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>
        <f>IFERROR(VLOOKUP(A137,[1]Biogasudbytte!$A$2:$B$18,2,FALSE)*[1]Energiindhold!$C$10,0)*J137*IFERROR(VLOOKUP(A137,Biogasanlæg!$F$3:$G$8,2,FALSE),1)</f>
        <v>0</v>
      </c>
      <c r="T137" s="170">
        <f t="shared" si="25"/>
        <v>0</v>
      </c>
      <c r="U137" s="169">
        <f>O137*IFERROR(VLOOKUP(A137,[1]Tørstofindhold!A$2:B$24,2,FALSE),0)</f>
        <v>0</v>
      </c>
      <c r="V137">
        <f>IF(D137=År1,P137,SUM(O137,P137))*IFERROR(VLOOKUP(A137,[1]Tørstofindhold!A$2:B$24,2,FALSE),0)</f>
        <v>0</v>
      </c>
      <c r="W137">
        <f>J137*IFERROR(VLOOKUP(A137,[1]Tørstofindhold!A$2:B$24,2,FALSE),0)</f>
        <v>0</v>
      </c>
      <c r="X137" s="170">
        <f t="shared" si="26"/>
        <v>0</v>
      </c>
      <c r="Y137">
        <f t="shared" si="43"/>
        <v>0</v>
      </c>
      <c r="Z137">
        <f t="shared" si="44"/>
        <v>1</v>
      </c>
    </row>
    <row r="138" spans="1:26" hidden="1" x14ac:dyDescent="0.55000000000000004">
      <c r="A138" s="171" t="str">
        <f t="shared" si="45"/>
        <v>Slagteriaffald til andet</v>
      </c>
      <c r="B138" s="171" t="str">
        <f t="shared" si="46"/>
        <v/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71">
        <f t="shared" si="35"/>
        <v>2050</v>
      </c>
      <c r="E138" t="s">
        <v>23</v>
      </c>
      <c r="F138" s="94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173774.13679266855</v>
      </c>
      <c r="G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94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9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79">
        <f t="shared" si="23"/>
        <v>173774.13679266855</v>
      </c>
      <c r="O138" s="94">
        <f t="shared" si="39"/>
        <v>0</v>
      </c>
      <c r="P138" s="180">
        <f t="shared" si="24"/>
        <v>0</v>
      </c>
      <c r="Q138">
        <f>IFERROR(VLOOKUP(A138,[1]Energiindhold!$A$2:$C$11,3,FALSE),IFERROR(VLOOKUP(A138,[1]Biogasudbytte!$A$2:$B$18,2,FALSE)*[1]Energiindhold!$C$10,0))*O138</f>
        <v>0</v>
      </c>
      <c r="R13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>
        <f>IFERROR(VLOOKUP(A138,[1]Biogasudbytte!$A$2:$B$18,2,FALSE)*[1]Energiindhold!$C$10,0)*J138*IFERROR(VLOOKUP(A138,Biogasanlæg!$F$3:$G$8,2,FALSE),1)</f>
        <v>0</v>
      </c>
      <c r="T138" s="170">
        <f t="shared" si="25"/>
        <v>0</v>
      </c>
      <c r="U138" s="169">
        <f>O138*IFERROR(VLOOKUP(A138,[1]Tørstofindhold!A$2:B$24,2,FALSE),0)</f>
        <v>0</v>
      </c>
      <c r="V138">
        <f>IF(D138=År1,P138,SUM(O138,P138))*IFERROR(VLOOKUP(A138,[1]Tørstofindhold!A$2:B$24,2,FALSE),0)</f>
        <v>0</v>
      </c>
      <c r="W138">
        <f>J138*IFERROR(VLOOKUP(A138,[1]Tørstofindhold!A$2:B$24,2,FALSE),0)</f>
        <v>0</v>
      </c>
      <c r="X138" s="170">
        <f t="shared" si="26"/>
        <v>0</v>
      </c>
      <c r="Y138">
        <f t="shared" si="43"/>
        <v>0</v>
      </c>
      <c r="Z138">
        <f t="shared" si="44"/>
        <v>1</v>
      </c>
    </row>
    <row r="139" spans="1:26" hidden="1" x14ac:dyDescent="0.55000000000000004">
      <c r="A139" s="171" t="str">
        <f t="shared" si="45"/>
        <v>Slagteriaffald til foder</v>
      </c>
      <c r="B139" s="171" t="str">
        <f t="shared" si="46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5"/>
        <v>2050</v>
      </c>
      <c r="E139" t="s">
        <v>23</v>
      </c>
      <c r="F139" s="94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114148.26729349417</v>
      </c>
      <c r="G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36677.515608667709</v>
      </c>
      <c r="H139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94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9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79">
        <f t="shared" si="23"/>
        <v>77470.751684826449</v>
      </c>
      <c r="O139" s="94">
        <f t="shared" si="39"/>
        <v>0</v>
      </c>
      <c r="P139" s="180">
        <f t="shared" si="24"/>
        <v>0</v>
      </c>
      <c r="Q139">
        <f>IFERROR(VLOOKUP(A139,[1]Energiindhold!$A$2:$C$11,3,FALSE),IFERROR(VLOOKUP(A139,[1]Biogasudbytte!$A$2:$B$18,2,FALSE)*[1]Energiindhold!$C$10,0))*O139</f>
        <v>0</v>
      </c>
      <c r="R139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>
        <f>IFERROR(VLOOKUP(A139,[1]Biogasudbytte!$A$2:$B$18,2,FALSE)*[1]Energiindhold!$C$10,0)*J139*IFERROR(VLOOKUP(A139,Biogasanlæg!$F$3:$G$8,2,FALSE),1)</f>
        <v>0</v>
      </c>
      <c r="T139" s="170">
        <f t="shared" si="25"/>
        <v>0</v>
      </c>
      <c r="U139" s="169">
        <f>O139*IFERROR(VLOOKUP(A139,[1]Tørstofindhold!A$2:B$24,2,FALSE),0)</f>
        <v>0</v>
      </c>
      <c r="V139">
        <f>IF(D139=År1,P139,SUM(O139,P139))*IFERROR(VLOOKUP(A139,[1]Tørstofindhold!A$2:B$24,2,FALSE),0)</f>
        <v>0</v>
      </c>
      <c r="W139">
        <f>J139*IFERROR(VLOOKUP(A139,[1]Tørstofindhold!A$2:B$24,2,FALSE),0)</f>
        <v>0</v>
      </c>
      <c r="X139" s="170">
        <f t="shared" si="26"/>
        <v>0</v>
      </c>
      <c r="Y139">
        <f t="shared" si="43"/>
        <v>0</v>
      </c>
      <c r="Z139">
        <f t="shared" si="44"/>
        <v>1</v>
      </c>
    </row>
    <row r="140" spans="1:26" hidden="1" x14ac:dyDescent="0.55000000000000004">
      <c r="A140" s="171" t="str">
        <f t="shared" si="45"/>
        <v>Spildevandsslam</v>
      </c>
      <c r="B140" s="171" t="str">
        <f t="shared" si="46"/>
        <v>Bionedbrydeligt affald</v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71">
        <f t="shared" si="35"/>
        <v>2050</v>
      </c>
      <c r="E140" t="s">
        <v>23</v>
      </c>
      <c r="F140" s="94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3709649.3380054114</v>
      </c>
      <c r="K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94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9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79">
        <f t="shared" si="23"/>
        <v>412183.259778379</v>
      </c>
      <c r="O140" s="94">
        <f t="shared" si="39"/>
        <v>412183.259778379</v>
      </c>
      <c r="P140" s="180">
        <f t="shared" si="24"/>
        <v>3709649.3380054114</v>
      </c>
      <c r="Q140">
        <f>IFERROR(VLOOKUP(A140,[1]Energiindhold!$A$2:$C$11,3,FALSE),IFERROR(VLOOKUP(A140,[1]Biogasudbytte!$A$2:$B$18,2,FALSE)*[1]Energiindhold!$C$10,0))*O140</f>
        <v>0.20568356846200894</v>
      </c>
      <c r="R14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>
        <f>IFERROR(VLOOKUP(A140,[1]Biogasudbytte!$A$2:$B$18,2,FALSE)*[1]Energiindhold!$C$10,0)*J140*IFERROR(VLOOKUP(A140,Biogasanlæg!$F$3:$G$8,2,FALSE),1)</f>
        <v>1.8511521161580806</v>
      </c>
      <c r="T140" s="170">
        <f t="shared" si="25"/>
        <v>0.20568356846200886</v>
      </c>
      <c r="U140" s="169">
        <f>O140*IFERROR(VLOOKUP(A140,[1]Tørstofindhold!A$2:B$24,2,FALSE),0)</f>
        <v>24730.995586702738</v>
      </c>
      <c r="V140">
        <f>IF(D140=År1,P140,SUM(O140,P140))*IFERROR(VLOOKUP(A140,[1]Tørstofindhold!A$2:B$24,2,FALSE),0)</f>
        <v>247309.95586702743</v>
      </c>
      <c r="W140">
        <f>J140*IFERROR(VLOOKUP(A140,[1]Tørstofindhold!A$2:B$24,2,FALSE),0)</f>
        <v>222578.96028032468</v>
      </c>
      <c r="X140" s="170">
        <f t="shared" si="26"/>
        <v>24730.995586702746</v>
      </c>
      <c r="Y140">
        <f t="shared" si="43"/>
        <v>0</v>
      </c>
      <c r="Z140">
        <f t="shared" si="44"/>
        <v>1</v>
      </c>
    </row>
    <row r="141" spans="1:26" hidden="1" x14ac:dyDescent="0.55000000000000004">
      <c r="A141" s="171" t="str">
        <f t="shared" si="45"/>
        <v>Svinegylle</v>
      </c>
      <c r="B141" s="171" t="str">
        <f t="shared" si="46"/>
        <v>Husdyrgødning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5"/>
        <v>2050</v>
      </c>
      <c r="E141" t="s">
        <v>23</v>
      </c>
      <c r="F141" s="94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12989062.590821607</v>
      </c>
      <c r="G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11690156.331739446</v>
      </c>
      <c r="K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1298906.2590821604</v>
      </c>
      <c r="L141" s="94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9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79">
        <f t="shared" si="23"/>
        <v>0</v>
      </c>
      <c r="O141" s="94">
        <f t="shared" si="39"/>
        <v>0</v>
      </c>
      <c r="P141" s="180">
        <f t="shared" si="24"/>
        <v>11690156.331739446</v>
      </c>
      <c r="Q141">
        <f>IFERROR(VLOOKUP(A141,[1]Energiindhold!$A$2:$C$11,3,FALSE),IFERROR(VLOOKUP(A141,[1]Biogasudbytte!$A$2:$B$18,2,FALSE)*[1]Energiindhold!$C$10,0))*O141</f>
        <v>0</v>
      </c>
      <c r="R141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5.0361193477133543</v>
      </c>
      <c r="S141">
        <f>IFERROR(VLOOKUP(A141,[1]Biogasudbytte!$A$2:$B$18,2,FALSE)*[1]Energiindhold!$C$10,0)*J141*IFERROR(VLOOKUP(A141,Biogasanlæg!$F$3:$G$8,2,FALSE),1)</f>
        <v>5.0361193477133543</v>
      </c>
      <c r="T141" s="170">
        <f t="shared" si="25"/>
        <v>0</v>
      </c>
      <c r="U141" s="169">
        <f>O141*IFERROR(VLOOKUP(A141,[1]Tørstofindhold!A$2:B$24,2,FALSE),0)</f>
        <v>0</v>
      </c>
      <c r="V141">
        <f>IF(D141=År1,P141,SUM(O141,P141))*IFERROR(VLOOKUP(A141,[1]Tørstofindhold!A$2:B$24,2,FALSE),0)</f>
        <v>584507.81658697233</v>
      </c>
      <c r="W141">
        <f>J141*IFERROR(VLOOKUP(A141,[1]Tørstofindhold!A$2:B$24,2,FALSE),0)</f>
        <v>584507.81658697233</v>
      </c>
      <c r="X141" s="170">
        <f t="shared" si="26"/>
        <v>0</v>
      </c>
      <c r="Y141">
        <f t="shared" si="43"/>
        <v>0</v>
      </c>
      <c r="Z141">
        <f t="shared" si="44"/>
        <v>0</v>
      </c>
    </row>
    <row r="142" spans="1:26" x14ac:dyDescent="0.55000000000000004">
      <c r="A142" s="171" t="str">
        <f t="shared" si="45"/>
        <v>Svinekød</v>
      </c>
      <c r="B142" s="171" t="str">
        <f t="shared" si="46"/>
        <v/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71">
        <f t="shared" si="35"/>
        <v>2050</v>
      </c>
      <c r="E142" t="s">
        <v>23</v>
      </c>
      <c r="F142" s="94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1206135.7873952007</v>
      </c>
      <c r="G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94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9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79">
        <f t="shared" si="23"/>
        <v>1130159.5322295753</v>
      </c>
      <c r="O142" s="94">
        <f t="shared" si="39"/>
        <v>0</v>
      </c>
      <c r="P142" s="180">
        <f t="shared" si="24"/>
        <v>0</v>
      </c>
      <c r="Q142">
        <f>IFERROR(VLOOKUP(A142,[1]Energiindhold!$A$2:$C$11,3,FALSE),IFERROR(VLOOKUP(A142,[1]Biogasudbytte!$A$2:$B$18,2,FALSE)*[1]Energiindhold!$C$10,0))*O142</f>
        <v>0</v>
      </c>
      <c r="R14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>
        <f>IFERROR(VLOOKUP(A142,[1]Biogasudbytte!$A$2:$B$18,2,FALSE)*[1]Energiindhold!$C$10,0)*J142*IFERROR(VLOOKUP(A142,Biogasanlæg!$F$3:$G$8,2,FALSE),1)</f>
        <v>0</v>
      </c>
      <c r="T142" s="170">
        <f t="shared" si="25"/>
        <v>0</v>
      </c>
      <c r="U142" s="169">
        <f>O142*IFERROR(VLOOKUP(A142,[1]Tørstofindhold!A$2:B$24,2,FALSE),0)</f>
        <v>0</v>
      </c>
      <c r="V142">
        <f>IF(D142=År1,P142,SUM(O142,P142))*IFERROR(VLOOKUP(A142,[1]Tørstofindhold!A$2:B$24,2,FALSE),0)</f>
        <v>0</v>
      </c>
      <c r="W142">
        <f>J142*IFERROR(VLOOKUP(A142,[1]Tørstofindhold!A$2:B$24,2,FALSE),0)</f>
        <v>0</v>
      </c>
      <c r="X142" s="170">
        <f t="shared" si="26"/>
        <v>0</v>
      </c>
      <c r="Y142">
        <f t="shared" si="43"/>
        <v>0</v>
      </c>
      <c r="Z142">
        <f t="shared" si="44"/>
        <v>1</v>
      </c>
    </row>
    <row r="143" spans="1:26" x14ac:dyDescent="0.55000000000000004">
      <c r="A143" s="171" t="str">
        <f t="shared" si="45"/>
        <v>Tang</v>
      </c>
      <c r="B143" s="171" t="str">
        <f t="shared" si="46"/>
        <v>Havbiomasse</v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71">
        <f t="shared" si="35"/>
        <v>2050</v>
      </c>
      <c r="E143" t="s">
        <v>23</v>
      </c>
      <c r="F143" s="94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382.5</v>
      </c>
      <c r="G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94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9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79">
        <f t="shared" si="23"/>
        <v>382.5</v>
      </c>
      <c r="O143" s="94">
        <f t="shared" si="39"/>
        <v>382.5</v>
      </c>
      <c r="P143" s="180">
        <f t="shared" si="24"/>
        <v>0</v>
      </c>
      <c r="Q143">
        <f>IFERROR(VLOOKUP(A143,[1]Energiindhold!$A$2:$C$11,3,FALSE),IFERROR(VLOOKUP(A143,[1]Biogasudbytte!$A$2:$B$18,2,FALSE)*[1]Energiindhold!$C$10,0))*O143</f>
        <v>3.4329375000000003E-4</v>
      </c>
      <c r="R143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3.4329375000000003E-4</v>
      </c>
      <c r="S143">
        <f>IFERROR(VLOOKUP(A143,[1]Biogasudbytte!$A$2:$B$18,2,FALSE)*[1]Energiindhold!$C$10,0)*J143*IFERROR(VLOOKUP(A143,Biogasanlæg!$F$3:$G$8,2,FALSE),1)</f>
        <v>0</v>
      </c>
      <c r="T143" s="170">
        <f t="shared" si="25"/>
        <v>3.4329375000000003E-4</v>
      </c>
      <c r="U143" s="169">
        <f>O143*IFERROR(VLOOKUP(A143,[1]Tørstofindhold!A$2:B$24,2,FALSE),0)</f>
        <v>57.375</v>
      </c>
      <c r="V143">
        <f>IF(D143=År1,P143,SUM(O143,P143))*IFERROR(VLOOKUP(A143,[1]Tørstofindhold!A$2:B$24,2,FALSE),0)</f>
        <v>57.375</v>
      </c>
      <c r="W143">
        <f>J143*IFERROR(VLOOKUP(A143,[1]Tørstofindhold!A$2:B$24,2,FALSE),0)</f>
        <v>0</v>
      </c>
      <c r="X143" s="170">
        <f t="shared" si="26"/>
        <v>57.375</v>
      </c>
      <c r="Y143">
        <f t="shared" si="43"/>
        <v>0</v>
      </c>
      <c r="Z143">
        <f t="shared" si="44"/>
        <v>1</v>
      </c>
    </row>
    <row r="144" spans="1:26" hidden="1" x14ac:dyDescent="0.55000000000000004">
      <c r="A144" s="171" t="str">
        <f t="shared" si="45"/>
        <v>Total til biogas</v>
      </c>
      <c r="B144" s="171" t="str">
        <f t="shared" si="46"/>
        <v/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5"/>
        <v>2050</v>
      </c>
      <c r="E144" t="s">
        <v>23</v>
      </c>
      <c r="F144" s="94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94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9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79">
        <f t="shared" si="23"/>
        <v>0</v>
      </c>
      <c r="O144" s="94">
        <f t="shared" si="39"/>
        <v>0</v>
      </c>
      <c r="P144" s="180">
        <f t="shared" si="24"/>
        <v>0</v>
      </c>
      <c r="Q144">
        <f>IFERROR(VLOOKUP(A144,[1]Energiindhold!$A$2:$C$11,3,FALSE),IFERROR(VLOOKUP(A144,[1]Biogasudbytte!$A$2:$B$18,2,FALSE)*[1]Energiindhold!$C$10,0))*O144</f>
        <v>0</v>
      </c>
      <c r="R144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>
        <f>IFERROR(VLOOKUP(A144,[1]Biogasudbytte!$A$2:$B$18,2,FALSE)*[1]Energiindhold!$C$10,0)*J144*IFERROR(VLOOKUP(A144,Biogasanlæg!$F$3:$G$8,2,FALSE),1)</f>
        <v>0</v>
      </c>
      <c r="T144" s="170">
        <f t="shared" si="25"/>
        <v>0</v>
      </c>
      <c r="U144" s="169">
        <f>O144*IFERROR(VLOOKUP(A144,[1]Tørstofindhold!A$2:B$24,2,FALSE),0)</f>
        <v>0</v>
      </c>
      <c r="V144">
        <f>IF(D144=År1,P144,SUM(O144,P144))*IFERROR(VLOOKUP(A144,[1]Tørstofindhold!A$2:B$24,2,FALSE),0)</f>
        <v>0</v>
      </c>
      <c r="W144">
        <f>J144*IFERROR(VLOOKUP(A144,[1]Tørstofindhold!A$2:B$24,2,FALSE),0)</f>
        <v>0</v>
      </c>
      <c r="X144" s="170">
        <f t="shared" si="26"/>
        <v>0</v>
      </c>
      <c r="Y144">
        <f t="shared" si="43"/>
        <v>0</v>
      </c>
      <c r="Z144">
        <f t="shared" si="44"/>
        <v>0</v>
      </c>
    </row>
    <row r="145" spans="1:26" x14ac:dyDescent="0.55000000000000004">
      <c r="A145" s="171" t="str">
        <f t="shared" si="45"/>
        <v>Træ til energi</v>
      </c>
      <c r="B145" s="171" t="str">
        <f t="shared" si="46"/>
        <v>Vedmasse</v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5"/>
        <v>2050</v>
      </c>
      <c r="E145" t="s">
        <v>23</v>
      </c>
      <c r="F145" s="94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2287577.6202536402</v>
      </c>
      <c r="G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94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2287577.6202536402</v>
      </c>
      <c r="M145" s="9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79">
        <f t="shared" ca="1" si="23"/>
        <v>0</v>
      </c>
      <c r="O145" s="94">
        <f t="shared" ca="1" si="39"/>
        <v>0</v>
      </c>
      <c r="P145" s="180">
        <f t="shared" ca="1" si="24"/>
        <v>2287577.6202536402</v>
      </c>
      <c r="Q145">
        <f ca="1">IFERROR(VLOOKUP(A145,[1]Energiindhold!$A$2:$C$11,3,FALSE),IFERROR(VLOOKUP(A145,[1]Biogasudbytte!$A$2:$B$18,2,FALSE)*[1]Energiindhold!$C$10,0))*O145</f>
        <v>0</v>
      </c>
      <c r="R145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33.155163855017776</v>
      </c>
      <c r="S145">
        <f>IFERROR(VLOOKUP(A145,[1]Biogasudbytte!$A$2:$B$18,2,FALSE)*[1]Energiindhold!$C$10,0)*J145*IFERROR(VLOOKUP(A145,Biogasanlæg!$F$3:$G$8,2,FALSE),1)</f>
        <v>0</v>
      </c>
      <c r="T145" s="170">
        <f t="shared" ca="1" si="25"/>
        <v>33.155163855017776</v>
      </c>
      <c r="U145" s="169">
        <f ca="1">O145*IFERROR(VLOOKUP(A145,[1]Tørstofindhold!A$2:B$24,2,FALSE),0)</f>
        <v>0</v>
      </c>
      <c r="V145">
        <f ca="1">IF(D145=År1,P145,SUM(O145,P145))*IFERROR(VLOOKUP(A145,[1]Tørstofindhold!A$2:B$24,2,FALSE),0)</f>
        <v>1131397.7646837796</v>
      </c>
      <c r="W145">
        <f>J145*IFERROR(VLOOKUP(A145,[1]Tørstofindhold!A$2:B$24,2,FALSE),0)</f>
        <v>0</v>
      </c>
      <c r="X145" s="170">
        <f t="shared" ca="1" si="26"/>
        <v>1131397.7646837796</v>
      </c>
      <c r="Y145">
        <f t="shared" ca="1" si="43"/>
        <v>0</v>
      </c>
      <c r="Z145">
        <f t="shared" ca="1" si="44"/>
        <v>0</v>
      </c>
    </row>
    <row r="146" spans="1:26" x14ac:dyDescent="0.55000000000000004">
      <c r="A146" s="171" t="str">
        <f t="shared" si="45"/>
        <v>Træmaterialer</v>
      </c>
      <c r="B146" s="171" t="str">
        <f t="shared" si="46"/>
        <v/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71">
        <f t="shared" si="35"/>
        <v>2050</v>
      </c>
      <c r="E146" t="s">
        <v>23</v>
      </c>
      <c r="F146" s="94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659548.66396073136</v>
      </c>
      <c r="G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94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94">
        <f ca="1">SUMIFS('Forbrug af biomasse'!E:E,'Forbrug af biomasse'!C:C,'Resultat-Produktion &amp; forbrug'!$A146,'Forbrug af biomasse'!D:D,'Resultat-Produktion &amp; forbrug'!$D146,'Forbrug af biomasse'!G:G,1,'Forbrug af biomasse'!B:B,$E146)</f>
        <v>659548.66396073136</v>
      </c>
      <c r="N146" s="179">
        <f t="shared" ca="1" si="23"/>
        <v>0</v>
      </c>
      <c r="O146" s="94">
        <f t="shared" si="39"/>
        <v>0</v>
      </c>
      <c r="P146" s="180">
        <f t="shared" si="24"/>
        <v>0</v>
      </c>
      <c r="Q146">
        <f>IFERROR(VLOOKUP(A146,[1]Energiindhold!$A$2:$C$11,3,FALSE),IFERROR(VLOOKUP(A146,[1]Biogasudbytte!$A$2:$B$18,2,FALSE)*[1]Energiindhold!$C$10,0))*O146</f>
        <v>0</v>
      </c>
      <c r="R146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>
        <f>IFERROR(VLOOKUP(A146,[1]Biogasudbytte!$A$2:$B$18,2,FALSE)*[1]Energiindhold!$C$10,0)*J146*IFERROR(VLOOKUP(A146,Biogasanlæg!$F$3:$G$8,2,FALSE),1)</f>
        <v>0</v>
      </c>
      <c r="T146" s="170">
        <f t="shared" si="25"/>
        <v>0</v>
      </c>
      <c r="U146" s="169">
        <f>O146*IFERROR(VLOOKUP(A146,[1]Tørstofindhold!A$2:B$24,2,FALSE),0)</f>
        <v>0</v>
      </c>
      <c r="V146">
        <f>IF(D146=År1,P146,SUM(O146,P146))*IFERROR(VLOOKUP(A146,[1]Tørstofindhold!A$2:B$24,2,FALSE),0)</f>
        <v>0</v>
      </c>
      <c r="W146">
        <f>J146*IFERROR(VLOOKUP(A146,[1]Tørstofindhold!A$2:B$24,2,FALSE),0)</f>
        <v>0</v>
      </c>
      <c r="X146" s="170">
        <f t="shared" si="26"/>
        <v>0</v>
      </c>
      <c r="Y146">
        <f t="shared" ca="1" si="43"/>
        <v>0</v>
      </c>
      <c r="Z146">
        <f t="shared" ca="1" si="44"/>
        <v>0</v>
      </c>
    </row>
    <row r="147" spans="1:26" x14ac:dyDescent="0.55000000000000004">
      <c r="A147" s="171" t="s">
        <v>15</v>
      </c>
      <c r="B147" s="171"/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ref="D147:D194" si="47">År1</f>
        <v>2019</v>
      </c>
      <c r="E147" t="s">
        <v>24</v>
      </c>
      <c r="F147" s="94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94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9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79">
        <f t="shared" si="23"/>
        <v>-8430.5352358472264</v>
      </c>
      <c r="O147" s="94">
        <f t="shared" si="39"/>
        <v>0</v>
      </c>
      <c r="P147" s="180">
        <f t="shared" si="24"/>
        <v>0</v>
      </c>
      <c r="Q147">
        <f>IFERROR(VLOOKUP(A147,[1]Energiindhold!$A$2:$C$11,3,FALSE),IFERROR(VLOOKUP(A147,[1]Biogasudbytte!$A$2:$B$18,2,FALSE)*[1]Energiindhold!$C$10,0))*O147</f>
        <v>0</v>
      </c>
      <c r="R14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>
        <f>IFERROR(VLOOKUP(A147,[1]Biogasudbytte!$A$2:$B$18,2,FALSE)*[1]Energiindhold!$C$10,0)*J147*IFERROR(VLOOKUP(A147,Biogasanlæg!$F$3:$G$8,2,FALSE),1)</f>
        <v>0</v>
      </c>
      <c r="T147" s="170">
        <f t="shared" si="25"/>
        <v>0</v>
      </c>
      <c r="U147" s="169">
        <f>O147*IFERROR(VLOOKUP(A147,[1]Tørstofindhold!A$2:B$24,2,FALSE),0)</f>
        <v>0</v>
      </c>
      <c r="V147">
        <f>IF(D147=År1,P147,SUM(O147,P147))*IFERROR(VLOOKUP(A147,[1]Tørstofindhold!A$2:B$24,2,FALSE),0)</f>
        <v>0</v>
      </c>
      <c r="W147">
        <f>J147*IFERROR(VLOOKUP(A147,[1]Tørstofindhold!A$2:B$24,2,FALSE),0)</f>
        <v>0</v>
      </c>
      <c r="X147" s="170">
        <f t="shared" si="26"/>
        <v>0</v>
      </c>
      <c r="Y147">
        <f t="shared" si="43"/>
        <v>0</v>
      </c>
      <c r="Z147">
        <f t="shared" si="44"/>
        <v>1</v>
      </c>
    </row>
    <row r="148" spans="1:26" x14ac:dyDescent="0.55000000000000004">
      <c r="A148" s="171" t="s">
        <v>49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47"/>
        <v>2019</v>
      </c>
      <c r="E148" t="s">
        <v>24</v>
      </c>
      <c r="F148" s="94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94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9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79">
        <f t="shared" si="23"/>
        <v>19055.87878491775</v>
      </c>
      <c r="O148" s="94">
        <f t="shared" si="39"/>
        <v>0</v>
      </c>
      <c r="P148" s="180">
        <f t="shared" si="24"/>
        <v>0</v>
      </c>
      <c r="Q148">
        <f>IFERROR(VLOOKUP(A148,[1]Energiindhold!$A$2:$C$11,3,FALSE),IFERROR(VLOOKUP(A148,[1]Biogasudbytte!$A$2:$B$18,2,FALSE)*[1]Energiindhold!$C$10,0))*O148</f>
        <v>0</v>
      </c>
      <c r="R14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>
        <f>IFERROR(VLOOKUP(A148,[1]Biogasudbytte!$A$2:$B$18,2,FALSE)*[1]Energiindhold!$C$10,0)*J148*IFERROR(VLOOKUP(A148,Biogasanlæg!$F$3:$G$8,2,FALSE),1)</f>
        <v>0</v>
      </c>
      <c r="T148" s="170">
        <f t="shared" si="25"/>
        <v>0</v>
      </c>
      <c r="U148" s="169">
        <f>O148*IFERROR(VLOOKUP(A148,[1]Tørstofindhold!A$2:B$24,2,FALSE),0)</f>
        <v>0</v>
      </c>
      <c r="V148">
        <f>IF(D148=År1,P148,SUM(O148,P148))*IFERROR(VLOOKUP(A148,[1]Tørstofindhold!A$2:B$24,2,FALSE),0)</f>
        <v>0</v>
      </c>
      <c r="W148">
        <f>J148*IFERROR(VLOOKUP(A148,[1]Tørstofindhold!A$2:B$24,2,FALSE),0)</f>
        <v>0</v>
      </c>
      <c r="X148" s="170">
        <f t="shared" si="26"/>
        <v>0</v>
      </c>
      <c r="Y148">
        <f t="shared" si="43"/>
        <v>0</v>
      </c>
      <c r="Z148">
        <f t="shared" si="44"/>
        <v>1</v>
      </c>
    </row>
    <row r="149" spans="1:26" hidden="1" x14ac:dyDescent="0.55000000000000004">
      <c r="A149" s="171" t="s">
        <v>102</v>
      </c>
      <c r="B149" s="171" t="s">
        <v>230</v>
      </c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71">
        <f t="shared" si="47"/>
        <v>2019</v>
      </c>
      <c r="E149" t="s">
        <v>24</v>
      </c>
      <c r="F149" s="94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94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94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94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94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94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9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79">
        <f t="shared" ca="1" si="23"/>
        <v>-170507.33327986751</v>
      </c>
      <c r="O149" s="94">
        <f t="shared" ca="1" si="39"/>
        <v>0</v>
      </c>
      <c r="P149" s="180">
        <f t="shared" ca="1" si="24"/>
        <v>335590.35573220561</v>
      </c>
      <c r="Q149">
        <f ca="1">IFERROR(VLOOKUP(A149,[1]Energiindhold!$A$2:$C$11,3,FALSE),IFERROR(VLOOKUP(A149,[1]Biogasudbytte!$A$2:$B$18,2,FALSE)*[1]Energiindhold!$C$10,0))*O149</f>
        <v>0</v>
      </c>
      <c r="R149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>
        <f ca="1">IFERROR(VLOOKUP(A149,[1]Biogasudbytte!$A$2:$B$18,2,FALSE)*[1]Energiindhold!$C$10,0)*J149*IFERROR(VLOOKUP(A149,Biogasanlæg!$F$3:$G$8,2,FALSE),1)</f>
        <v>1.1433261388476088</v>
      </c>
      <c r="T149" s="170">
        <f t="shared" ca="1" si="25"/>
        <v>0</v>
      </c>
      <c r="U149" s="169">
        <f ca="1">O149*IFERROR(VLOOKUP(A149,[1]Tørstofindhold!A$2:B$24,2,FALSE),0)</f>
        <v>0</v>
      </c>
      <c r="V149">
        <f ca="1">IF(D149=År1,P149,SUM(O149,P149))*IFERROR(VLOOKUP(A149,[1]Tørstofindhold!A$2:B$24,2,FALSE),0)</f>
        <v>93965.299605017586</v>
      </c>
      <c r="W149">
        <f ca="1">J149*IFERROR(VLOOKUP(A149,[1]Tørstofindhold!A$2:B$24,2,FALSE),0)</f>
        <v>93965.299605017586</v>
      </c>
      <c r="X149" s="170">
        <f t="shared" ca="1" si="26"/>
        <v>0</v>
      </c>
      <c r="Y149">
        <f t="shared" ca="1" si="43"/>
        <v>1</v>
      </c>
      <c r="Z149">
        <f t="shared" ca="1" si="44"/>
        <v>0</v>
      </c>
    </row>
    <row r="150" spans="1:26" hidden="1" x14ac:dyDescent="0.55000000000000004">
      <c r="A150" s="171" t="s">
        <v>109</v>
      </c>
      <c r="B150" s="171"/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47"/>
        <v>2019</v>
      </c>
      <c r="E150" t="s">
        <v>24</v>
      </c>
      <c r="F150" s="94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94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9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79">
        <f t="shared" ref="N150:N215" ca="1" si="48">F150-SUM(G150:M150)</f>
        <v>0</v>
      </c>
      <c r="O150" s="94">
        <f t="shared" ca="1" si="39"/>
        <v>0</v>
      </c>
      <c r="P150" s="180">
        <f t="shared" ref="P150:P215" ca="1" si="49">SUM(J150,L150)</f>
        <v>110817068.59908372</v>
      </c>
      <c r="Q150">
        <f ca="1">IFERROR(VLOOKUP(A150,[1]Energiindhold!$A$2:$C$11,3,FALSE),IFERROR(VLOOKUP(A150,[1]Biogasudbytte!$A$2:$B$18,2,FALSE)*[1]Energiindhold!$C$10,0))*O150</f>
        <v>0</v>
      </c>
      <c r="R15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>
        <f>IFERROR(VLOOKUP(A150,[1]Biogasudbytte!$A$2:$B$18,2,FALSE)*[1]Energiindhold!$C$10,0)*J150*IFERROR(VLOOKUP(A150,Biogasanlæg!$F$3:$G$8,2,FALSE),1)</f>
        <v>0</v>
      </c>
      <c r="T150" s="170">
        <f t="shared" ref="T150:T215" si="50">R150-S150</f>
        <v>0</v>
      </c>
      <c r="U150" s="169">
        <f ca="1">O150*IFERROR(VLOOKUP(A150,[1]Tørstofindhold!A$2:B$24,2,FALSE),0)</f>
        <v>0</v>
      </c>
      <c r="V150">
        <f ca="1">IF(D150=År1,P150,SUM(O150,P150))*IFERROR(VLOOKUP(A150,[1]Tørstofindhold!A$2:B$24,2,FALSE),0)</f>
        <v>0</v>
      </c>
      <c r="W150">
        <f>J150*IFERROR(VLOOKUP(A150,[1]Tørstofindhold!A$2:B$24,2,FALSE),0)</f>
        <v>0</v>
      </c>
      <c r="X150" s="170">
        <f t="shared" ref="X150:X215" ca="1" si="51">V150-W150</f>
        <v>0</v>
      </c>
      <c r="Y150">
        <f t="shared" ca="1" si="43"/>
        <v>0</v>
      </c>
      <c r="Z150">
        <f t="shared" ca="1" si="44"/>
        <v>0</v>
      </c>
    </row>
    <row r="151" spans="1:26" hidden="1" x14ac:dyDescent="0.55000000000000004">
      <c r="A151" s="171" t="s">
        <v>110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71">
        <f t="shared" si="47"/>
        <v>2019</v>
      </c>
      <c r="E151" t="s">
        <v>24</v>
      </c>
      <c r="F151" s="94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94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94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94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94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94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9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79">
        <f t="shared" ca="1" si="48"/>
        <v>661211.27137287101</v>
      </c>
      <c r="O151" s="94">
        <f t="shared" si="39"/>
        <v>0</v>
      </c>
      <c r="P151" s="180">
        <f t="shared" si="49"/>
        <v>0</v>
      </c>
      <c r="Q151">
        <f>IFERROR(VLOOKUP(A151,[1]Energiindhold!$A$2:$C$11,3,FALSE),IFERROR(VLOOKUP(A151,[1]Biogasudbytte!$A$2:$B$18,2,FALSE)*[1]Energiindhold!$C$10,0))*O151</f>
        <v>0</v>
      </c>
      <c r="R151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>
        <f>IFERROR(VLOOKUP(A151,[1]Biogasudbytte!$A$2:$B$18,2,FALSE)*[1]Energiindhold!$C$10,0)*J151*IFERROR(VLOOKUP(A151,Biogasanlæg!$F$3:$G$8,2,FALSE),1)</f>
        <v>0</v>
      </c>
      <c r="T151" s="170">
        <f t="shared" si="50"/>
        <v>0</v>
      </c>
      <c r="U151" s="169">
        <f>O151*IFERROR(VLOOKUP(A151,[1]Tørstofindhold!A$2:B$24,2,FALSE),0)</f>
        <v>0</v>
      </c>
      <c r="V151">
        <f>IF(D151=År1,P151,SUM(O151,P151))*IFERROR(VLOOKUP(A151,[1]Tørstofindhold!A$2:B$24,2,FALSE),0)</f>
        <v>0</v>
      </c>
      <c r="W151">
        <f>J151*IFERROR(VLOOKUP(A151,[1]Tørstofindhold!A$2:B$24,2,FALSE),0)</f>
        <v>0</v>
      </c>
      <c r="X151" s="170">
        <f t="shared" si="51"/>
        <v>0</v>
      </c>
      <c r="Y151">
        <f t="shared" ca="1" si="43"/>
        <v>0</v>
      </c>
      <c r="Z151">
        <f t="shared" ca="1" si="44"/>
        <v>1</v>
      </c>
    </row>
    <row r="152" spans="1:26" hidden="1" x14ac:dyDescent="0.55000000000000004">
      <c r="A152" s="171" t="s">
        <v>208</v>
      </c>
      <c r="B152" s="171" t="s">
        <v>230</v>
      </c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71">
        <f t="shared" si="47"/>
        <v>2019</v>
      </c>
      <c r="E152" t="s">
        <v>24</v>
      </c>
      <c r="F152" s="94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94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9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79">
        <f t="shared" si="48"/>
        <v>0</v>
      </c>
      <c r="O152" s="94">
        <f t="shared" si="39"/>
        <v>0</v>
      </c>
      <c r="P152" s="180">
        <f t="shared" si="49"/>
        <v>0</v>
      </c>
      <c r="Q152">
        <f>IFERROR(VLOOKUP(A152,[1]Energiindhold!$A$2:$C$11,3,FALSE),IFERROR(VLOOKUP(A152,[1]Biogasudbytte!$A$2:$B$18,2,FALSE)*[1]Energiindhold!$C$10,0))*O152</f>
        <v>0</v>
      </c>
      <c r="R15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>
        <f>IFERROR(VLOOKUP(A152,[1]Biogasudbytte!$A$2:$B$18,2,FALSE)*[1]Energiindhold!$C$10,0)*J152*IFERROR(VLOOKUP(A152,Biogasanlæg!$F$3:$G$8,2,FALSE),1)</f>
        <v>0</v>
      </c>
      <c r="T152" s="170">
        <f t="shared" si="50"/>
        <v>0</v>
      </c>
      <c r="U152" s="169">
        <f>O152*IFERROR(VLOOKUP(A152,[1]Tørstofindhold!A$2:B$24,2,FALSE),0)</f>
        <v>0</v>
      </c>
      <c r="V152">
        <f>IF(D152=År1,P152,SUM(O152,P152))*IFERROR(VLOOKUP(A152,[1]Tørstofindhold!A$2:B$24,2,FALSE),0)</f>
        <v>0</v>
      </c>
      <c r="W152">
        <f>J152*IFERROR(VLOOKUP(A152,[1]Tørstofindhold!A$2:B$24,2,FALSE),0)</f>
        <v>0</v>
      </c>
      <c r="X152" s="170">
        <f t="shared" si="51"/>
        <v>0</v>
      </c>
      <c r="Y152">
        <f t="shared" si="43"/>
        <v>0</v>
      </c>
      <c r="Z152">
        <f t="shared" si="44"/>
        <v>0</v>
      </c>
    </row>
    <row r="153" spans="1:26" hidden="1" x14ac:dyDescent="0.55000000000000004">
      <c r="A153" t="s">
        <v>101</v>
      </c>
      <c r="B153" s="171" t="s">
        <v>222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47"/>
        <v>2019</v>
      </c>
      <c r="E153" t="s">
        <v>24</v>
      </c>
      <c r="F153" s="94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94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9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79">
        <f t="shared" si="48"/>
        <v>153410.57659836096</v>
      </c>
      <c r="O153" s="94">
        <f t="shared" si="39"/>
        <v>153410.57659836096</v>
      </c>
      <c r="P153" s="180">
        <f t="shared" si="49"/>
        <v>85892.328449707566</v>
      </c>
      <c r="Q153">
        <f>IFERROR(VLOOKUP(A153,[1]Energiindhold!$A$2:$C$11,3,FALSE),IFERROR(VLOOKUP(A153,[1]Biogasudbytte!$A$2:$B$18,2,FALSE)*[1]Energiindhold!$C$10,0))*O153</f>
        <v>0.33044638199286952</v>
      </c>
      <c r="R153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>
        <f>IFERROR(VLOOKUP(A153,[1]Biogasudbytte!$A$2:$B$18,2,FALSE)*[1]Energiindhold!$C$10,0)*J153*IFERROR(VLOOKUP(A153,Biogasanlæg!$F$3:$G$8,2,FALSE),1)</f>
        <v>0.18501207548067011</v>
      </c>
      <c r="T153" s="170">
        <f t="shared" si="50"/>
        <v>0</v>
      </c>
      <c r="U153" s="169">
        <f>O153*IFERROR(VLOOKUP(A153,[1]Tørstofindhold!A$2:B$24,2,FALSE),0)</f>
        <v>46023.172979508287</v>
      </c>
      <c r="V153">
        <f>IF(D153=År1,P153,SUM(O153,P153))*IFERROR(VLOOKUP(A153,[1]Tørstofindhold!A$2:B$24,2,FALSE),0)</f>
        <v>25767.69853491227</v>
      </c>
      <c r="W153">
        <f>J153*IFERROR(VLOOKUP(A153,[1]Tørstofindhold!A$2:B$24,2,FALSE),0)</f>
        <v>25767.69853491227</v>
      </c>
      <c r="X153" s="170">
        <f t="shared" si="51"/>
        <v>0</v>
      </c>
      <c r="Y153">
        <f t="shared" si="43"/>
        <v>0</v>
      </c>
      <c r="Z153">
        <f t="shared" si="44"/>
        <v>1</v>
      </c>
    </row>
    <row r="154" spans="1:26" hidden="1" x14ac:dyDescent="0.55000000000000004">
      <c r="A154" t="s">
        <v>204</v>
      </c>
      <c r="B154" s="171"/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71">
        <f t="shared" si="47"/>
        <v>2019</v>
      </c>
      <c r="E154" t="s">
        <v>24</v>
      </c>
      <c r="F154" s="94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94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9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79">
        <f t="shared" si="48"/>
        <v>0</v>
      </c>
      <c r="O154" s="94">
        <f t="shared" si="39"/>
        <v>0</v>
      </c>
      <c r="P154" s="180">
        <f t="shared" si="49"/>
        <v>0</v>
      </c>
      <c r="Q154">
        <f>IFERROR(VLOOKUP(A154,[1]Energiindhold!$A$2:$C$11,3,FALSE),IFERROR(VLOOKUP(A154,[1]Biogasudbytte!$A$2:$B$18,2,FALSE)*[1]Energiindhold!$C$10,0))*O154</f>
        <v>0</v>
      </c>
      <c r="R154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>
        <f>IFERROR(VLOOKUP(A154,[1]Biogasudbytte!$A$2:$B$18,2,FALSE)*[1]Energiindhold!$C$10,0)*J154*IFERROR(VLOOKUP(A154,Biogasanlæg!$F$3:$G$8,2,FALSE),1)</f>
        <v>0</v>
      </c>
      <c r="T154" s="170">
        <f t="shared" si="50"/>
        <v>0</v>
      </c>
      <c r="U154" s="169">
        <f>O154*IFERROR(VLOOKUP(A154,[1]Tørstofindhold!A$2:B$24,2,FALSE),0)</f>
        <v>0</v>
      </c>
      <c r="V154">
        <f>IF(D154=År1,P154,SUM(O154,P154))*IFERROR(VLOOKUP(A154,[1]Tørstofindhold!A$2:B$24,2,FALSE),0)</f>
        <v>0</v>
      </c>
      <c r="W154">
        <f>J154*IFERROR(VLOOKUP(A154,[1]Tørstofindhold!A$2:B$24,2,FALSE),0)</f>
        <v>0</v>
      </c>
      <c r="X154" s="170">
        <f t="shared" si="51"/>
        <v>0</v>
      </c>
      <c r="Y154">
        <f t="shared" si="43"/>
        <v>0</v>
      </c>
      <c r="Z154">
        <f t="shared" si="44"/>
        <v>0</v>
      </c>
    </row>
    <row r="155" spans="1:26" hidden="1" x14ac:dyDescent="0.55000000000000004">
      <c r="A155" t="s">
        <v>137</v>
      </c>
      <c r="B155" s="171" t="s">
        <v>222</v>
      </c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71">
        <f t="shared" si="47"/>
        <v>2019</v>
      </c>
      <c r="E155" t="s">
        <v>24</v>
      </c>
      <c r="F155" s="94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94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9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79">
        <f t="shared" si="48"/>
        <v>0</v>
      </c>
      <c r="O155" s="94">
        <f t="shared" si="39"/>
        <v>0</v>
      </c>
      <c r="P155" s="180">
        <f t="shared" si="49"/>
        <v>337.693821952441</v>
      </c>
      <c r="Q155">
        <f>IFERROR(VLOOKUP(A155,[1]Energiindhold!$A$2:$C$11,3,FALSE),IFERROR(VLOOKUP(A155,[1]Biogasudbytte!$A$2:$B$18,2,FALSE)*[1]Energiindhold!$C$10,0))*O155</f>
        <v>0</v>
      </c>
      <c r="R155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>
        <f>IFERROR(VLOOKUP(A155,[1]Biogasudbytte!$A$2:$B$18,2,FALSE)*[1]Energiindhold!$C$10,0)*J155*IFERROR(VLOOKUP(A155,Biogasanlæg!$F$3:$G$8,2,FALSE),1)</f>
        <v>1.5881402752601349E-4</v>
      </c>
      <c r="T155" s="170">
        <f t="shared" si="50"/>
        <v>0</v>
      </c>
      <c r="U155" s="169">
        <f>O155*IFERROR(VLOOKUP(A155,[1]Tørstofindhold!A$2:B$24,2,FALSE),0)</f>
        <v>0</v>
      </c>
      <c r="V155">
        <f>IF(D155=År1,P155,SUM(O155,P155))*IFERROR(VLOOKUP(A155,[1]Tørstofindhold!A$2:B$24,2,FALSE),0)</f>
        <v>21.274710783003783</v>
      </c>
      <c r="W155">
        <f>J155*IFERROR(VLOOKUP(A155,[1]Tørstofindhold!A$2:B$24,2,FALSE),0)</f>
        <v>21.274710783003783</v>
      </c>
      <c r="X155" s="170">
        <f t="shared" si="51"/>
        <v>0</v>
      </c>
      <c r="Y155">
        <f t="shared" si="43"/>
        <v>0</v>
      </c>
      <c r="Z155">
        <f t="shared" si="44"/>
        <v>0</v>
      </c>
    </row>
    <row r="156" spans="1:26" x14ac:dyDescent="0.55000000000000004">
      <c r="A156" t="s">
        <v>96</v>
      </c>
      <c r="B156" s="171"/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71">
        <f t="shared" si="47"/>
        <v>2019</v>
      </c>
      <c r="E156" t="s">
        <v>24</v>
      </c>
      <c r="F156" s="94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94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9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79">
        <f t="shared" si="48"/>
        <v>-13151.581373695415</v>
      </c>
      <c r="O156" s="94">
        <f t="shared" si="39"/>
        <v>0</v>
      </c>
      <c r="P156" s="180">
        <f t="shared" si="49"/>
        <v>0</v>
      </c>
      <c r="Q156">
        <f>IFERROR(VLOOKUP(A156,[1]Energiindhold!$A$2:$C$11,3,FALSE),IFERROR(VLOOKUP(A156,[1]Biogasudbytte!$A$2:$B$18,2,FALSE)*[1]Energiindhold!$C$10,0))*O156</f>
        <v>0</v>
      </c>
      <c r="R156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>
        <f>IFERROR(VLOOKUP(A156,[1]Biogasudbytte!$A$2:$B$18,2,FALSE)*[1]Energiindhold!$C$10,0)*J156*IFERROR(VLOOKUP(A156,Biogasanlæg!$F$3:$G$8,2,FALSE),1)</f>
        <v>0</v>
      </c>
      <c r="T156" s="170">
        <f t="shared" si="50"/>
        <v>0</v>
      </c>
      <c r="U156" s="169">
        <f>O156*IFERROR(VLOOKUP(A156,[1]Tørstofindhold!A$2:B$24,2,FALSE),0)</f>
        <v>0</v>
      </c>
      <c r="V156">
        <f>IF(D156=År1,P156,SUM(O156,P156))*IFERROR(VLOOKUP(A156,[1]Tørstofindhold!A$2:B$24,2,FALSE),0)</f>
        <v>0</v>
      </c>
      <c r="W156">
        <f>J156*IFERROR(VLOOKUP(A156,[1]Tørstofindhold!A$2:B$24,2,FALSE),0)</f>
        <v>0</v>
      </c>
      <c r="X156" s="170">
        <f t="shared" si="51"/>
        <v>0</v>
      </c>
      <c r="Y156">
        <f t="shared" si="43"/>
        <v>0</v>
      </c>
      <c r="Z156">
        <f t="shared" si="44"/>
        <v>1</v>
      </c>
    </row>
    <row r="157" spans="1:26" hidden="1" x14ac:dyDescent="0.55000000000000004">
      <c r="A157" t="s">
        <v>113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47"/>
        <v>2019</v>
      </c>
      <c r="E157" t="s">
        <v>24</v>
      </c>
      <c r="F157" s="94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94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9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79">
        <f t="shared" si="48"/>
        <v>620445.82725004398</v>
      </c>
      <c r="O157" s="94">
        <f t="shared" si="39"/>
        <v>0</v>
      </c>
      <c r="P157" s="180">
        <f t="shared" si="49"/>
        <v>0</v>
      </c>
      <c r="Q157">
        <f>IFERROR(VLOOKUP(A157,[1]Energiindhold!$A$2:$C$11,3,FALSE),IFERROR(VLOOKUP(A157,[1]Biogasudbytte!$A$2:$B$18,2,FALSE)*[1]Energiindhold!$C$10,0))*O157</f>
        <v>0</v>
      </c>
      <c r="R15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>
        <f>IFERROR(VLOOKUP(A157,[1]Biogasudbytte!$A$2:$B$18,2,FALSE)*[1]Energiindhold!$C$10,0)*J157*IFERROR(VLOOKUP(A157,Biogasanlæg!$F$3:$G$8,2,FALSE),1)</f>
        <v>0</v>
      </c>
      <c r="T157" s="170">
        <f t="shared" si="50"/>
        <v>0</v>
      </c>
      <c r="U157" s="169">
        <f>O157*IFERROR(VLOOKUP(A157,[1]Tørstofindhold!A$2:B$24,2,FALSE),0)</f>
        <v>0</v>
      </c>
      <c r="V157">
        <f>IF(D157=År1,P157,SUM(O157,P157))*IFERROR(VLOOKUP(A157,[1]Tørstofindhold!A$2:B$24,2,FALSE),0)</f>
        <v>0</v>
      </c>
      <c r="W157">
        <f>J157*IFERROR(VLOOKUP(A157,[1]Tørstofindhold!A$2:B$24,2,FALSE),0)</f>
        <v>0</v>
      </c>
      <c r="X157" s="170">
        <f t="shared" si="51"/>
        <v>0</v>
      </c>
      <c r="Y157">
        <f t="shared" si="43"/>
        <v>0</v>
      </c>
      <c r="Z157">
        <f t="shared" si="44"/>
        <v>1</v>
      </c>
    </row>
    <row r="158" spans="1:26" x14ac:dyDescent="0.55000000000000004">
      <c r="A158" t="s">
        <v>54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47"/>
        <v>2019</v>
      </c>
      <c r="E158" t="s">
        <v>24</v>
      </c>
      <c r="F158" s="94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94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9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79">
        <f t="shared" si="48"/>
        <v>-197024.06677216437</v>
      </c>
      <c r="O158" s="94">
        <f t="shared" si="39"/>
        <v>0</v>
      </c>
      <c r="P158" s="180">
        <f t="shared" si="49"/>
        <v>0</v>
      </c>
      <c r="Q158">
        <f>IFERROR(VLOOKUP(A158,[1]Energiindhold!$A$2:$C$11,3,FALSE),IFERROR(VLOOKUP(A158,[1]Biogasudbytte!$A$2:$B$18,2,FALSE)*[1]Energiindhold!$C$10,0))*O158</f>
        <v>0</v>
      </c>
      <c r="R15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>
        <f>IFERROR(VLOOKUP(A158,[1]Biogasudbytte!$A$2:$B$18,2,FALSE)*[1]Energiindhold!$C$10,0)*J158*IFERROR(VLOOKUP(A158,Biogasanlæg!$F$3:$G$8,2,FALSE),1)</f>
        <v>0</v>
      </c>
      <c r="T158" s="170">
        <f t="shared" si="50"/>
        <v>0</v>
      </c>
      <c r="U158" s="169">
        <f>O158*IFERROR(VLOOKUP(A158,[1]Tørstofindhold!A$2:B$24,2,FALSE),0)</f>
        <v>0</v>
      </c>
      <c r="V158">
        <f>IF(D158=År1,P158,SUM(O158,P158))*IFERROR(VLOOKUP(A158,[1]Tørstofindhold!A$2:B$24,2,FALSE),0)</f>
        <v>0</v>
      </c>
      <c r="W158">
        <f>J158*IFERROR(VLOOKUP(A158,[1]Tørstofindhold!A$2:B$24,2,FALSE),0)</f>
        <v>0</v>
      </c>
      <c r="X158" s="170">
        <f t="shared" si="51"/>
        <v>0</v>
      </c>
      <c r="Y158">
        <f t="shared" si="43"/>
        <v>1</v>
      </c>
      <c r="Z158">
        <f t="shared" si="44"/>
        <v>0</v>
      </c>
    </row>
    <row r="159" spans="1:26" hidden="1" x14ac:dyDescent="0.55000000000000004">
      <c r="A159" s="171" t="s">
        <v>158</v>
      </c>
      <c r="B159" s="171" t="s">
        <v>158</v>
      </c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71">
        <f t="shared" si="47"/>
        <v>2019</v>
      </c>
      <c r="E159" t="s">
        <v>24</v>
      </c>
      <c r="F159" s="94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94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9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79">
        <f t="shared" si="48"/>
        <v>-28548.400000000001</v>
      </c>
      <c r="O159" s="94">
        <f t="shared" si="39"/>
        <v>0</v>
      </c>
      <c r="P159" s="180">
        <f t="shared" si="49"/>
        <v>28548.400000000001</v>
      </c>
      <c r="Q159">
        <f>IFERROR(VLOOKUP(A159,[1]Energiindhold!$A$2:$C$11,3,FALSE),IFERROR(VLOOKUP(A159,[1]Biogasudbytte!$A$2:$B$18,2,FALSE)*[1]Energiindhold!$C$10,0))*O159</f>
        <v>0</v>
      </c>
      <c r="R159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>
        <f>IFERROR(VLOOKUP(A159,[1]Biogasudbytte!$A$2:$B$18,2,FALSE)*[1]Energiindhold!$C$10,0)*J159*IFERROR(VLOOKUP(A159,Biogasanlæg!$F$3:$G$8,2,FALSE),1)</f>
        <v>0.43389639740160008</v>
      </c>
      <c r="T159" s="170">
        <f t="shared" si="50"/>
        <v>0</v>
      </c>
      <c r="U159" s="169">
        <f>O159*IFERROR(VLOOKUP(A159,[1]Tørstofindhold!A$2:B$24,2,FALSE),0)</f>
        <v>0</v>
      </c>
      <c r="V159">
        <f>IF(D159=År1,P159,SUM(O159,P159))*IFERROR(VLOOKUP(A159,[1]Tørstofindhold!A$2:B$24,2,FALSE),0)</f>
        <v>25693.56</v>
      </c>
      <c r="W159">
        <f>J159*IFERROR(VLOOKUP(A159,[1]Tørstofindhold!A$2:B$24,2,FALSE),0)</f>
        <v>25693.56</v>
      </c>
      <c r="X159" s="170">
        <f t="shared" si="51"/>
        <v>0</v>
      </c>
      <c r="Y159">
        <f t="shared" si="43"/>
        <v>1</v>
      </c>
      <c r="Z159">
        <f t="shared" si="44"/>
        <v>0</v>
      </c>
    </row>
    <row r="160" spans="1:26" x14ac:dyDescent="0.55000000000000004">
      <c r="A160" s="171" t="s">
        <v>51</v>
      </c>
      <c r="B160" s="171" t="s">
        <v>224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47"/>
        <v>2019</v>
      </c>
      <c r="E160" t="s">
        <v>24</v>
      </c>
      <c r="F160" s="94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94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9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79">
        <f t="shared" si="48"/>
        <v>636502.29333281773</v>
      </c>
      <c r="O160" s="94">
        <f t="shared" si="39"/>
        <v>636502.29333281773</v>
      </c>
      <c r="P160" s="180">
        <f t="shared" si="49"/>
        <v>10277.831749012612</v>
      </c>
      <c r="Q160">
        <f>IFERROR(VLOOKUP(A160,[1]Energiindhold!$A$2:$C$11,3,FALSE),IFERROR(VLOOKUP(A160,[1]Biogasudbytte!$A$2:$B$18,2,FALSE)*[1]Energiindhold!$C$10,0))*O160</f>
        <v>1.1710846569457181</v>
      </c>
      <c r="R16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>
        <f>IFERROR(VLOOKUP(A160,[1]Biogasudbytte!$A$2:$B$18,2,FALSE)*[1]Energiindhold!$C$10,0)*J160*IFERROR(VLOOKUP(A160,Biogasanlæg!$F$3:$G$8,2,FALSE),1)</f>
        <v>1.8909925689214579E-2</v>
      </c>
      <c r="T160" s="170">
        <f t="shared" si="50"/>
        <v>0</v>
      </c>
      <c r="U160" s="169">
        <f>O160*IFERROR(VLOOKUP(A160,[1]Tørstofindhold!A$2:B$24,2,FALSE),0)</f>
        <v>178220.64213318899</v>
      </c>
      <c r="V160">
        <f>IF(D160=År1,P160,SUM(O160,P160))*IFERROR(VLOOKUP(A160,[1]Tørstofindhold!A$2:B$24,2,FALSE),0)</f>
        <v>2877.7928897235315</v>
      </c>
      <c r="W160">
        <f>J160*IFERROR(VLOOKUP(A160,[1]Tørstofindhold!A$2:B$24,2,FALSE),0)</f>
        <v>2877.7928897235315</v>
      </c>
      <c r="X160" s="170">
        <f t="shared" si="51"/>
        <v>0</v>
      </c>
      <c r="Y160">
        <f t="shared" si="43"/>
        <v>0</v>
      </c>
      <c r="Z160">
        <f t="shared" si="44"/>
        <v>1</v>
      </c>
    </row>
    <row r="161" spans="1:26" x14ac:dyDescent="0.55000000000000004">
      <c r="A161" s="171" t="s">
        <v>203</v>
      </c>
      <c r="B161" s="171"/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71">
        <f t="shared" si="47"/>
        <v>2019</v>
      </c>
      <c r="E161" t="s">
        <v>24</v>
      </c>
      <c r="F161" s="94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94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9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79">
        <f t="shared" si="48"/>
        <v>0</v>
      </c>
      <c r="O161" s="94">
        <f t="shared" si="39"/>
        <v>0</v>
      </c>
      <c r="P161" s="180">
        <f t="shared" si="49"/>
        <v>0</v>
      </c>
      <c r="Q161">
        <f>IFERROR(VLOOKUP(A161,[1]Energiindhold!$A$2:$C$11,3,FALSE),IFERROR(VLOOKUP(A161,[1]Biogasudbytte!$A$2:$B$18,2,FALSE)*[1]Energiindhold!$C$10,0))*O161</f>
        <v>0</v>
      </c>
      <c r="R161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>
        <f>IFERROR(VLOOKUP(A161,[1]Biogasudbytte!$A$2:$B$18,2,FALSE)*[1]Energiindhold!$C$10,0)*J161*IFERROR(VLOOKUP(A161,Biogasanlæg!$F$3:$G$8,2,FALSE),1)</f>
        <v>0</v>
      </c>
      <c r="T161" s="170">
        <f t="shared" si="50"/>
        <v>0</v>
      </c>
      <c r="U161" s="169">
        <f>O161*IFERROR(VLOOKUP(A161,[1]Tørstofindhold!A$2:B$24,2,FALSE),0)</f>
        <v>0</v>
      </c>
      <c r="V161">
        <f>IF(D161=År1,P161,SUM(O161,P161))*IFERROR(VLOOKUP(A161,[1]Tørstofindhold!A$2:B$24,2,FALSE),0)</f>
        <v>0</v>
      </c>
      <c r="W161">
        <f>J161*IFERROR(VLOOKUP(A161,[1]Tørstofindhold!A$2:B$24,2,FALSE),0)</f>
        <v>0</v>
      </c>
      <c r="X161" s="170">
        <f t="shared" si="51"/>
        <v>0</v>
      </c>
      <c r="Y161">
        <f t="shared" si="43"/>
        <v>0</v>
      </c>
      <c r="Z161">
        <f t="shared" si="44"/>
        <v>0</v>
      </c>
    </row>
    <row r="162" spans="1:26" x14ac:dyDescent="0.55000000000000004">
      <c r="A162" s="171" t="s">
        <v>6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47"/>
        <v>2019</v>
      </c>
      <c r="E162" t="s">
        <v>24</v>
      </c>
      <c r="F162" s="94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94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9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79">
        <f t="shared" si="48"/>
        <v>-127585.02725608747</v>
      </c>
      <c r="O162" s="94">
        <f t="shared" si="39"/>
        <v>0</v>
      </c>
      <c r="P162" s="180">
        <f t="shared" si="49"/>
        <v>0</v>
      </c>
      <c r="Q162">
        <f>IFERROR(VLOOKUP(A162,[1]Energiindhold!$A$2:$C$11,3,FALSE),IFERROR(VLOOKUP(A162,[1]Biogasudbytte!$A$2:$B$18,2,FALSE)*[1]Energiindhold!$C$10,0))*O162</f>
        <v>0</v>
      </c>
      <c r="R16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>
        <f>IFERROR(VLOOKUP(A162,[1]Biogasudbytte!$A$2:$B$18,2,FALSE)*[1]Energiindhold!$C$10,0)*J162*IFERROR(VLOOKUP(A162,Biogasanlæg!$F$3:$G$8,2,FALSE),1)</f>
        <v>0</v>
      </c>
      <c r="T162" s="170">
        <f t="shared" si="50"/>
        <v>0</v>
      </c>
      <c r="U162" s="169">
        <f>O162*IFERROR(VLOOKUP(A162,[1]Tørstofindhold!A$2:B$24,2,FALSE),0)</f>
        <v>0</v>
      </c>
      <c r="V162">
        <f>IF(D162=År1,P162,SUM(O162,P162))*IFERROR(VLOOKUP(A162,[1]Tørstofindhold!A$2:B$24,2,FALSE),0)</f>
        <v>0</v>
      </c>
      <c r="W162">
        <f>J162*IFERROR(VLOOKUP(A162,[1]Tørstofindhold!A$2:B$24,2,FALSE),0)</f>
        <v>0</v>
      </c>
      <c r="X162" s="170">
        <f t="shared" si="51"/>
        <v>0</v>
      </c>
      <c r="Y162">
        <f t="shared" si="43"/>
        <v>1</v>
      </c>
      <c r="Z162">
        <f t="shared" si="44"/>
        <v>0</v>
      </c>
    </row>
    <row r="163" spans="1:26" x14ac:dyDescent="0.55000000000000004">
      <c r="A163" s="171" t="s">
        <v>67</v>
      </c>
      <c r="B163" s="171" t="s">
        <v>227</v>
      </c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71">
        <f t="shared" si="47"/>
        <v>2019</v>
      </c>
      <c r="E163" t="s">
        <v>24</v>
      </c>
      <c r="F163" s="94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94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9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79">
        <f t="shared" si="48"/>
        <v>0</v>
      </c>
      <c r="O163" s="94">
        <f t="shared" si="39"/>
        <v>0</v>
      </c>
      <c r="P163" s="180">
        <f t="shared" si="49"/>
        <v>755394.68360216683</v>
      </c>
      <c r="Q163">
        <f>IFERROR(VLOOKUP(A163,[1]Energiindhold!$A$2:$C$11,3,FALSE),IFERROR(VLOOKUP(A163,[1]Biogasudbytte!$A$2:$B$18,2,FALSE)*[1]Energiindhold!$C$10,0))*O163</f>
        <v>0</v>
      </c>
      <c r="R163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>
        <f>IFERROR(VLOOKUP(A163,[1]Biogasudbytte!$A$2:$B$18,2,FALSE)*[1]Energiindhold!$C$10,0)*J163*IFERROR(VLOOKUP(A163,Biogasanlæg!$F$3:$G$8,2,FALSE),1)</f>
        <v>0.1311031640532172</v>
      </c>
      <c r="T163" s="170">
        <f t="shared" si="50"/>
        <v>7.5725862730126234</v>
      </c>
      <c r="U163" s="169">
        <f>O163*IFERROR(VLOOKUP(A163,[1]Tørstofindhold!A$2:B$24,2,FALSE),0)</f>
        <v>0</v>
      </c>
      <c r="V163">
        <f>IF(D163=År1,P163,SUM(O163,P163))*IFERROR(VLOOKUP(A163,[1]Tørstofindhold!A$2:B$24,2,FALSE),0)</f>
        <v>642085.48106184183</v>
      </c>
      <c r="W163">
        <f>J163*IFERROR(VLOOKUP(A163,[1]Tørstofindhold!A$2:B$24,2,FALSE),0)</f>
        <v>19328.231084206269</v>
      </c>
      <c r="X163" s="170">
        <f t="shared" si="51"/>
        <v>622757.24997763557</v>
      </c>
      <c r="Y163">
        <f t="shared" si="43"/>
        <v>0</v>
      </c>
      <c r="Z163">
        <f t="shared" si="44"/>
        <v>0</v>
      </c>
    </row>
    <row r="164" spans="1:26" hidden="1" x14ac:dyDescent="0.55000000000000004">
      <c r="A164" s="171" t="s">
        <v>162</v>
      </c>
      <c r="B164" s="171" t="s">
        <v>230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47"/>
        <v>2019</v>
      </c>
      <c r="E164" t="s">
        <v>24</v>
      </c>
      <c r="F164" s="94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94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9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79">
        <f t="shared" si="48"/>
        <v>0</v>
      </c>
      <c r="O164" s="94">
        <f t="shared" si="39"/>
        <v>0</v>
      </c>
      <c r="P164" s="180">
        <f t="shared" si="49"/>
        <v>452346.51233766804</v>
      </c>
      <c r="Q164">
        <f>IFERROR(VLOOKUP(A164,[1]Energiindhold!$A$2:$C$11,3,FALSE),IFERROR(VLOOKUP(A164,[1]Biogasudbytte!$A$2:$B$18,2,FALSE)*[1]Energiindhold!$C$10,0))*O164</f>
        <v>0</v>
      </c>
      <c r="R164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>
        <f>IFERROR(VLOOKUP(A164,[1]Biogasudbytte!$A$2:$B$18,2,FALSE)*[1]Energiindhold!$C$10,0)*J164*IFERROR(VLOOKUP(A164,Biogasanlæg!$F$3:$G$8,2,FALSE),1)</f>
        <v>6.0961032399995807E-5</v>
      </c>
      <c r="T164" s="170">
        <f t="shared" si="50"/>
        <v>8.0747487919351268</v>
      </c>
      <c r="U164" s="169">
        <f>O164*IFERROR(VLOOKUP(A164,[1]Tørstofindhold!A$2:B$24,2,FALSE),0)</f>
        <v>0</v>
      </c>
      <c r="V164">
        <f>IF(D164=År1,P164,SUM(O164,P164))*IFERROR(VLOOKUP(A164,[1]Tørstofindhold!A$2:B$24,2,FALSE),0)</f>
        <v>135703.9537013004</v>
      </c>
      <c r="W164">
        <f>J164*IFERROR(VLOOKUP(A164,[1]Tørstofindhold!A$2:B$24,2,FALSE),0)</f>
        <v>10.77005642876839</v>
      </c>
      <c r="X164" s="170">
        <f t="shared" si="51"/>
        <v>135693.18364487163</v>
      </c>
      <c r="Y164">
        <f t="shared" si="43"/>
        <v>0</v>
      </c>
      <c r="Z164">
        <f t="shared" si="44"/>
        <v>0</v>
      </c>
    </row>
    <row r="165" spans="1:26" hidden="1" x14ac:dyDescent="0.55000000000000004">
      <c r="A165" t="s">
        <v>159</v>
      </c>
      <c r="B165" s="171"/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71">
        <f t="shared" si="47"/>
        <v>2019</v>
      </c>
      <c r="E165" t="s">
        <v>24</v>
      </c>
      <c r="F165" s="94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94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9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79">
        <f t="shared" si="48"/>
        <v>-592646.72642582108</v>
      </c>
      <c r="O165" s="94">
        <f t="shared" si="39"/>
        <v>0</v>
      </c>
      <c r="P165" s="180">
        <f t="shared" si="49"/>
        <v>0</v>
      </c>
      <c r="Q165">
        <f>IFERROR(VLOOKUP(A165,[1]Energiindhold!$A$2:$C$11,3,FALSE),IFERROR(VLOOKUP(A165,[1]Biogasudbytte!$A$2:$B$18,2,FALSE)*[1]Energiindhold!$C$10,0))*O165</f>
        <v>0</v>
      </c>
      <c r="R165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>
        <f>IFERROR(VLOOKUP(A165,[1]Biogasudbytte!$A$2:$B$18,2,FALSE)*[1]Energiindhold!$C$10,0)*J165*IFERROR(VLOOKUP(A165,Biogasanlæg!$F$3:$G$8,2,FALSE),1)</f>
        <v>0</v>
      </c>
      <c r="T165" s="170">
        <f t="shared" si="50"/>
        <v>0</v>
      </c>
      <c r="U165" s="169">
        <f>O165*IFERROR(VLOOKUP(A165,[1]Tørstofindhold!A$2:B$24,2,FALSE),0)</f>
        <v>0</v>
      </c>
      <c r="V165">
        <f>IF(D165=År1,P165,SUM(O165,P165))*IFERROR(VLOOKUP(A165,[1]Tørstofindhold!A$2:B$24,2,FALSE),0)</f>
        <v>0</v>
      </c>
      <c r="W165">
        <f>J165*IFERROR(VLOOKUP(A165,[1]Tørstofindhold!A$2:B$24,2,FALSE),0)</f>
        <v>0</v>
      </c>
      <c r="X165" s="170">
        <f t="shared" si="51"/>
        <v>0</v>
      </c>
      <c r="Y165">
        <f t="shared" si="43"/>
        <v>1</v>
      </c>
      <c r="Z165">
        <f t="shared" si="44"/>
        <v>0</v>
      </c>
    </row>
    <row r="166" spans="1:26" hidden="1" x14ac:dyDescent="0.55000000000000004">
      <c r="A166" s="171" t="s">
        <v>103</v>
      </c>
      <c r="B166" s="171" t="s">
        <v>230</v>
      </c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71">
        <f t="shared" si="47"/>
        <v>2019</v>
      </c>
      <c r="E166" t="s">
        <v>24</v>
      </c>
      <c r="F166" s="94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94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9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79">
        <f t="shared" si="48"/>
        <v>-79270.498677373223</v>
      </c>
      <c r="O166" s="94">
        <f t="shared" si="39"/>
        <v>0</v>
      </c>
      <c r="P166" s="180">
        <f t="shared" si="49"/>
        <v>279550.24796430691</v>
      </c>
      <c r="Q166">
        <f>IFERROR(VLOOKUP(A166,[1]Energiindhold!$A$2:$C$11,3,FALSE),IFERROR(VLOOKUP(A166,[1]Biogasudbytte!$A$2:$B$18,2,FALSE)*[1]Energiindhold!$C$10,0))*O166</f>
        <v>0</v>
      </c>
      <c r="R166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>
        <f>IFERROR(VLOOKUP(A166,[1]Biogasudbytte!$A$2:$B$18,2,FALSE)*[1]Energiindhold!$C$10,0)*J166*IFERROR(VLOOKUP(A166,Biogasanlæg!$F$3:$G$8,2,FALSE),1)</f>
        <v>1.0296284310673407</v>
      </c>
      <c r="T166" s="170">
        <f t="shared" si="50"/>
        <v>0</v>
      </c>
      <c r="U166" s="169">
        <f>O166*IFERROR(VLOOKUP(A166,[1]Tørstofindhold!A$2:B$24,2,FALSE),0)</f>
        <v>0</v>
      </c>
      <c r="V166">
        <f>IF(D166=År1,P166,SUM(O166,P166))*IFERROR(VLOOKUP(A166,[1]Tørstofindhold!A$2:B$24,2,FALSE),0)</f>
        <v>117411.1041450089</v>
      </c>
      <c r="W166">
        <f>J166*IFERROR(VLOOKUP(A166,[1]Tørstofindhold!A$2:B$24,2,FALSE),0)</f>
        <v>117411.1041450089</v>
      </c>
      <c r="X166" s="170">
        <f t="shared" si="51"/>
        <v>0</v>
      </c>
      <c r="Y166">
        <f t="shared" si="43"/>
        <v>1</v>
      </c>
      <c r="Z166">
        <f t="shared" si="44"/>
        <v>0</v>
      </c>
    </row>
    <row r="167" spans="1:26" hidden="1" x14ac:dyDescent="0.55000000000000004">
      <c r="A167" s="171" t="s">
        <v>56</v>
      </c>
      <c r="B167" s="171"/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71">
        <f t="shared" si="47"/>
        <v>2019</v>
      </c>
      <c r="E167" t="s">
        <v>24</v>
      </c>
      <c r="F167" s="94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94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9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79">
        <f t="shared" si="48"/>
        <v>145627.35347864506</v>
      </c>
      <c r="O167" s="94">
        <f t="shared" si="39"/>
        <v>0</v>
      </c>
      <c r="P167" s="180">
        <f t="shared" si="49"/>
        <v>0</v>
      </c>
      <c r="Q167">
        <f>IFERROR(VLOOKUP(A167,[1]Energiindhold!$A$2:$C$11,3,FALSE),IFERROR(VLOOKUP(A167,[1]Biogasudbytte!$A$2:$B$18,2,FALSE)*[1]Energiindhold!$C$10,0))*O167</f>
        <v>0</v>
      </c>
      <c r="R16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>
        <f>IFERROR(VLOOKUP(A167,[1]Biogasudbytte!$A$2:$B$18,2,FALSE)*[1]Energiindhold!$C$10,0)*J167*IFERROR(VLOOKUP(A167,Biogasanlæg!$F$3:$G$8,2,FALSE),1)</f>
        <v>0</v>
      </c>
      <c r="T167" s="170">
        <f t="shared" si="50"/>
        <v>0</v>
      </c>
      <c r="U167" s="169">
        <f>O167*IFERROR(VLOOKUP(A167,[1]Tørstofindhold!A$2:B$24,2,FALSE),0)</f>
        <v>0</v>
      </c>
      <c r="V167">
        <f>IF(D167=År1,P167,SUM(O167,P167))*IFERROR(VLOOKUP(A167,[1]Tørstofindhold!A$2:B$24,2,FALSE),0)</f>
        <v>0</v>
      </c>
      <c r="W167">
        <f>J167*IFERROR(VLOOKUP(A167,[1]Tørstofindhold!A$2:B$24,2,FALSE),0)</f>
        <v>0</v>
      </c>
      <c r="X167" s="170">
        <f t="shared" si="51"/>
        <v>0</v>
      </c>
      <c r="Y167">
        <f t="shared" si="43"/>
        <v>0</v>
      </c>
      <c r="Z167">
        <f t="shared" si="44"/>
        <v>1</v>
      </c>
    </row>
    <row r="168" spans="1:26" x14ac:dyDescent="0.55000000000000004">
      <c r="A168" s="171" t="s">
        <v>12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47"/>
        <v>2019</v>
      </c>
      <c r="E168" t="s">
        <v>24</v>
      </c>
      <c r="F168" s="94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94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9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79">
        <f t="shared" si="48"/>
        <v>14617.738147146345</v>
      </c>
      <c r="O168" s="94">
        <f t="shared" si="39"/>
        <v>0</v>
      </c>
      <c r="P168" s="180">
        <f t="shared" si="49"/>
        <v>0</v>
      </c>
      <c r="Q168">
        <f>IFERROR(VLOOKUP(A168,[1]Energiindhold!$A$2:$C$11,3,FALSE),IFERROR(VLOOKUP(A168,[1]Biogasudbytte!$A$2:$B$18,2,FALSE)*[1]Energiindhold!$C$10,0))*O168</f>
        <v>0</v>
      </c>
      <c r="R16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>
        <f>IFERROR(VLOOKUP(A168,[1]Biogasudbytte!$A$2:$B$18,2,FALSE)*[1]Energiindhold!$C$10,0)*J168*IFERROR(VLOOKUP(A168,Biogasanlæg!$F$3:$G$8,2,FALSE),1)</f>
        <v>0</v>
      </c>
      <c r="T168" s="170">
        <f t="shared" si="50"/>
        <v>0</v>
      </c>
      <c r="U168" s="169">
        <f>O168*IFERROR(VLOOKUP(A168,[1]Tørstofindhold!A$2:B$24,2,FALSE),0)</f>
        <v>0</v>
      </c>
      <c r="V168">
        <f>IF(D168=År1,P168,SUM(O168,P168))*IFERROR(VLOOKUP(A168,[1]Tørstofindhold!A$2:B$24,2,FALSE),0)</f>
        <v>0</v>
      </c>
      <c r="W168">
        <f>J168*IFERROR(VLOOKUP(A168,[1]Tørstofindhold!A$2:B$24,2,FALSE),0)</f>
        <v>0</v>
      </c>
      <c r="X168" s="170">
        <f t="shared" si="51"/>
        <v>0</v>
      </c>
      <c r="Y168">
        <f t="shared" si="43"/>
        <v>0</v>
      </c>
      <c r="Z168">
        <f t="shared" si="44"/>
        <v>1</v>
      </c>
    </row>
    <row r="169" spans="1:26" x14ac:dyDescent="0.55000000000000004">
      <c r="A169" s="171" t="s">
        <v>48</v>
      </c>
      <c r="B169" s="171" t="s">
        <v>227</v>
      </c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71">
        <f t="shared" si="47"/>
        <v>2019</v>
      </c>
      <c r="E169" t="s">
        <v>24</v>
      </c>
      <c r="F169" s="94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94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9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79">
        <f t="shared" si="48"/>
        <v>1301921.4452316216</v>
      </c>
      <c r="O169" s="94">
        <f t="shared" si="39"/>
        <v>1301921.4452316216</v>
      </c>
      <c r="P169" s="180">
        <f t="shared" si="49"/>
        <v>942.6064741945944</v>
      </c>
      <c r="Q169">
        <f>IFERROR(VLOOKUP(A169,[1]Energiindhold!$A$2:$C$11,3,FALSE),IFERROR(VLOOKUP(A169,[1]Biogasudbytte!$A$2:$B$18,2,FALSE)*[1]Energiindhold!$C$10,0))*O169</f>
        <v>4.4588986809159721</v>
      </c>
      <c r="R169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>
        <f>IFERROR(VLOOKUP(A169,[1]Biogasudbytte!$A$2:$B$18,2,FALSE)*[1]Energiindhold!$C$10,0)*J169*IFERROR(VLOOKUP(A169,Biogasanlæg!$F$3:$G$8,2,FALSE),1)</f>
        <v>3.2282952092100993E-3</v>
      </c>
      <c r="T169" s="170">
        <f t="shared" si="50"/>
        <v>0</v>
      </c>
      <c r="U169" s="169">
        <f>O169*IFERROR(VLOOKUP(A169,[1]Tørstofindhold!A$2:B$24,2,FALSE),0)</f>
        <v>403595.64802180271</v>
      </c>
      <c r="V169">
        <f>IF(D169=År1,P169,SUM(O169,P169))*IFERROR(VLOOKUP(A169,[1]Tørstofindhold!A$2:B$24,2,FALSE),0)</f>
        <v>292.20800700032424</v>
      </c>
      <c r="W169">
        <f>J169*IFERROR(VLOOKUP(A169,[1]Tørstofindhold!A$2:B$24,2,FALSE),0)</f>
        <v>292.20800700032424</v>
      </c>
      <c r="X169" s="170">
        <f t="shared" si="51"/>
        <v>0</v>
      </c>
      <c r="Y169">
        <f t="shared" si="43"/>
        <v>0</v>
      </c>
      <c r="Z169">
        <f t="shared" si="44"/>
        <v>1</v>
      </c>
    </row>
    <row r="170" spans="1:26" hidden="1" x14ac:dyDescent="0.55000000000000004">
      <c r="A170" s="171" t="s">
        <v>115</v>
      </c>
      <c r="B170" s="171"/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71">
        <f t="shared" si="47"/>
        <v>2019</v>
      </c>
      <c r="E170" t="s">
        <v>24</v>
      </c>
      <c r="F170" s="94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94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94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94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94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94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9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79">
        <f t="shared" ca="1" si="48"/>
        <v>-374820.3560243976</v>
      </c>
      <c r="O170" s="94">
        <f t="shared" si="39"/>
        <v>0</v>
      </c>
      <c r="P170" s="180">
        <f t="shared" si="49"/>
        <v>0</v>
      </c>
      <c r="Q170">
        <f>IFERROR(VLOOKUP(A170,[1]Energiindhold!$A$2:$C$11,3,FALSE),IFERROR(VLOOKUP(A170,[1]Biogasudbytte!$A$2:$B$18,2,FALSE)*[1]Energiindhold!$C$10,0))*O170</f>
        <v>0</v>
      </c>
      <c r="R17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>
        <f>IFERROR(VLOOKUP(A170,[1]Biogasudbytte!$A$2:$B$18,2,FALSE)*[1]Energiindhold!$C$10,0)*J170*IFERROR(VLOOKUP(A170,Biogasanlæg!$F$3:$G$8,2,FALSE),1)</f>
        <v>0</v>
      </c>
      <c r="T170" s="170">
        <f t="shared" si="50"/>
        <v>0</v>
      </c>
      <c r="U170" s="169">
        <f>O170*IFERROR(VLOOKUP(A170,[1]Tørstofindhold!A$2:B$24,2,FALSE),0)</f>
        <v>0</v>
      </c>
      <c r="V170">
        <f>IF(D170=År1,P170,SUM(O170,P170))*IFERROR(VLOOKUP(A170,[1]Tørstofindhold!A$2:B$24,2,FALSE),0)</f>
        <v>0</v>
      </c>
      <c r="W170">
        <f>J170*IFERROR(VLOOKUP(A170,[1]Tørstofindhold!A$2:B$24,2,FALSE),0)</f>
        <v>0</v>
      </c>
      <c r="X170" s="170">
        <f t="shared" si="51"/>
        <v>0</v>
      </c>
      <c r="Y170">
        <f t="shared" ca="1" si="43"/>
        <v>1</v>
      </c>
      <c r="Z170">
        <f t="shared" ca="1" si="44"/>
        <v>0</v>
      </c>
    </row>
    <row r="171" spans="1:26" hidden="1" x14ac:dyDescent="0.55000000000000004">
      <c r="A171" s="171" t="s">
        <v>136</v>
      </c>
      <c r="B171" s="171" t="s">
        <v>222</v>
      </c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71">
        <f t="shared" si="47"/>
        <v>2019</v>
      </c>
      <c r="E171" t="s">
        <v>24</v>
      </c>
      <c r="F171" s="94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94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9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79">
        <f t="shared" si="48"/>
        <v>0</v>
      </c>
      <c r="O171" s="94">
        <f t="shared" si="39"/>
        <v>0</v>
      </c>
      <c r="P171" s="180">
        <f t="shared" si="49"/>
        <v>286645.05985025823</v>
      </c>
      <c r="Q171">
        <f>IFERROR(VLOOKUP(A171,[1]Energiindhold!$A$2:$C$11,3,FALSE),IFERROR(VLOOKUP(A171,[1]Biogasudbytte!$A$2:$B$18,2,FALSE)*[1]Energiindhold!$C$10,0))*O171</f>
        <v>0</v>
      </c>
      <c r="R171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>
        <f>IFERROR(VLOOKUP(A171,[1]Biogasudbytte!$A$2:$B$18,2,FALSE)*[1]Energiindhold!$C$10,0)*J171*IFERROR(VLOOKUP(A171,Biogasanlæg!$F$3:$G$8,2,FALSE),1)</f>
        <v>0.14509686284560222</v>
      </c>
      <c r="T171" s="170">
        <f t="shared" si="50"/>
        <v>0</v>
      </c>
      <c r="U171" s="169">
        <f>O171*IFERROR(VLOOKUP(A171,[1]Tørstofindhold!A$2:B$24,2,FALSE),0)</f>
        <v>0</v>
      </c>
      <c r="V171">
        <f>IF(D171=År1,P171,SUM(O171,P171))*IFERROR(VLOOKUP(A171,[1]Tørstofindhold!A$2:B$24,2,FALSE),0)</f>
        <v>21785.024548619625</v>
      </c>
      <c r="W171">
        <f>J171*IFERROR(VLOOKUP(A171,[1]Tørstofindhold!A$2:B$24,2,FALSE),0)</f>
        <v>21785.024548619625</v>
      </c>
      <c r="X171" s="170">
        <f t="shared" si="51"/>
        <v>0</v>
      </c>
      <c r="Y171">
        <f t="shared" si="43"/>
        <v>0</v>
      </c>
      <c r="Z171">
        <f t="shared" si="44"/>
        <v>0</v>
      </c>
    </row>
    <row r="172" spans="1:26" hidden="1" x14ac:dyDescent="0.55000000000000004">
      <c r="A172" s="171" t="s">
        <v>108</v>
      </c>
      <c r="B172" s="171"/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71">
        <f t="shared" si="47"/>
        <v>2019</v>
      </c>
      <c r="E172" t="s">
        <v>24</v>
      </c>
      <c r="F172" s="94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94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9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79">
        <f t="shared" si="48"/>
        <v>-70551.412916692323</v>
      </c>
      <c r="O172" s="94">
        <f t="shared" si="39"/>
        <v>0</v>
      </c>
      <c r="P172" s="180">
        <f t="shared" si="49"/>
        <v>0</v>
      </c>
      <c r="Q172">
        <f>IFERROR(VLOOKUP(A172,[1]Energiindhold!$A$2:$C$11,3,FALSE),IFERROR(VLOOKUP(A172,[1]Biogasudbytte!$A$2:$B$18,2,FALSE)*[1]Energiindhold!$C$10,0))*O172</f>
        <v>0</v>
      </c>
      <c r="R17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>
        <f>IFERROR(VLOOKUP(A172,[1]Biogasudbytte!$A$2:$B$18,2,FALSE)*[1]Energiindhold!$C$10,0)*J172*IFERROR(VLOOKUP(A172,Biogasanlæg!$F$3:$G$8,2,FALSE),1)</f>
        <v>0</v>
      </c>
      <c r="T172" s="170">
        <f t="shared" si="50"/>
        <v>0</v>
      </c>
      <c r="U172" s="169">
        <f>O172*IFERROR(VLOOKUP(A172,[1]Tørstofindhold!A$2:B$24,2,FALSE),0)</f>
        <v>0</v>
      </c>
      <c r="V172">
        <f>IF(D172=År1,P172,SUM(O172,P172))*IFERROR(VLOOKUP(A172,[1]Tørstofindhold!A$2:B$24,2,FALSE),0)</f>
        <v>0</v>
      </c>
      <c r="W172">
        <f>J172*IFERROR(VLOOKUP(A172,[1]Tørstofindhold!A$2:B$24,2,FALSE),0)</f>
        <v>0</v>
      </c>
      <c r="X172" s="170">
        <f t="shared" si="51"/>
        <v>0</v>
      </c>
      <c r="Y172">
        <f t="shared" si="43"/>
        <v>0</v>
      </c>
      <c r="Z172">
        <f t="shared" si="44"/>
        <v>1</v>
      </c>
    </row>
    <row r="173" spans="1:26" x14ac:dyDescent="0.55000000000000004">
      <c r="A173" t="s">
        <v>53</v>
      </c>
      <c r="B173" s="171" t="s">
        <v>224</v>
      </c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71">
        <f t="shared" si="47"/>
        <v>2019</v>
      </c>
      <c r="E173" t="s">
        <v>24</v>
      </c>
      <c r="F173" s="94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94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9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79">
        <f t="shared" si="48"/>
        <v>-344258.58126598754</v>
      </c>
      <c r="O173" s="94">
        <f t="shared" si="39"/>
        <v>0</v>
      </c>
      <c r="P173" s="180">
        <f t="shared" si="49"/>
        <v>15151.053724986185</v>
      </c>
      <c r="Q173">
        <f>IFERROR(VLOOKUP(A173,[1]Energiindhold!$A$2:$C$11,3,FALSE),IFERROR(VLOOKUP(A173,[1]Biogasudbytte!$A$2:$B$18,2,FALSE)*[1]Energiindhold!$C$10,0))*O173</f>
        <v>0</v>
      </c>
      <c r="R173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>
        <f>IFERROR(VLOOKUP(A173,[1]Biogasudbytte!$A$2:$B$18,2,FALSE)*[1]Energiindhold!$C$10,0)*J173*IFERROR(VLOOKUP(A173,Biogasanlæg!$F$3:$G$8,2,FALSE),1)</f>
        <v>5.4392282872700405E-2</v>
      </c>
      <c r="T173" s="170">
        <f t="shared" si="50"/>
        <v>0</v>
      </c>
      <c r="U173" s="169">
        <f>O173*IFERROR(VLOOKUP(A173,[1]Tørstofindhold!A$2:B$24,2,FALSE),0)</f>
        <v>0</v>
      </c>
      <c r="V173">
        <f>IF(D173=År1,P173,SUM(O173,P173))*IFERROR(VLOOKUP(A173,[1]Tørstofindhold!A$2:B$24,2,FALSE),0)</f>
        <v>4545.316117495855</v>
      </c>
      <c r="W173">
        <f>J173*IFERROR(VLOOKUP(A173,[1]Tørstofindhold!A$2:B$24,2,FALSE),0)</f>
        <v>4545.316117495855</v>
      </c>
      <c r="X173" s="170">
        <f t="shared" si="51"/>
        <v>0</v>
      </c>
      <c r="Y173">
        <f t="shared" si="43"/>
        <v>0</v>
      </c>
      <c r="Z173">
        <f t="shared" si="44"/>
        <v>1</v>
      </c>
    </row>
    <row r="174" spans="1:26" x14ac:dyDescent="0.55000000000000004">
      <c r="A174" s="171" t="s">
        <v>116</v>
      </c>
      <c r="B174" s="171"/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71">
        <f t="shared" si="47"/>
        <v>2019</v>
      </c>
      <c r="E174" t="s">
        <v>24</v>
      </c>
      <c r="F174" s="94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94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9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79">
        <f t="shared" si="48"/>
        <v>-166933.87454175885</v>
      </c>
      <c r="O174" s="94">
        <f t="shared" si="39"/>
        <v>0</v>
      </c>
      <c r="P174" s="180">
        <f t="shared" si="49"/>
        <v>0</v>
      </c>
      <c r="Q174">
        <f>IFERROR(VLOOKUP(A174,[1]Energiindhold!$A$2:$C$11,3,FALSE),IFERROR(VLOOKUP(A174,[1]Biogasudbytte!$A$2:$B$18,2,FALSE)*[1]Energiindhold!$C$10,0))*O174</f>
        <v>0</v>
      </c>
      <c r="R174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>
        <f>IFERROR(VLOOKUP(A174,[1]Biogasudbytte!$A$2:$B$18,2,FALSE)*[1]Energiindhold!$C$10,0)*J174*IFERROR(VLOOKUP(A174,Biogasanlæg!$F$3:$G$8,2,FALSE),1)</f>
        <v>0</v>
      </c>
      <c r="T174" s="170">
        <f t="shared" si="50"/>
        <v>0</v>
      </c>
      <c r="U174" s="169">
        <f>O174*IFERROR(VLOOKUP(A174,[1]Tørstofindhold!A$2:B$24,2,FALSE),0)</f>
        <v>0</v>
      </c>
      <c r="V174">
        <f>IF(D174=År1,P174,SUM(O174,P174))*IFERROR(VLOOKUP(A174,[1]Tørstofindhold!A$2:B$24,2,FALSE),0)</f>
        <v>0</v>
      </c>
      <c r="W174">
        <f>J174*IFERROR(VLOOKUP(A174,[1]Tørstofindhold!A$2:B$24,2,FALSE),0)</f>
        <v>0</v>
      </c>
      <c r="X174" s="170">
        <f t="shared" si="51"/>
        <v>0</v>
      </c>
      <c r="Y174">
        <f t="shared" si="43"/>
        <v>0</v>
      </c>
      <c r="Z174">
        <f t="shared" si="44"/>
        <v>1</v>
      </c>
    </row>
    <row r="175" spans="1:26" x14ac:dyDescent="0.55000000000000004">
      <c r="A175" s="171" t="s">
        <v>106</v>
      </c>
      <c r="B175" s="171" t="s">
        <v>226</v>
      </c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71">
        <f t="shared" si="47"/>
        <v>2019</v>
      </c>
      <c r="E175" t="s">
        <v>24</v>
      </c>
      <c r="F175" s="94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94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9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79">
        <f t="shared" si="48"/>
        <v>1.1976865502381491</v>
      </c>
      <c r="O175" s="94">
        <f t="shared" si="39"/>
        <v>1.1976865502381491</v>
      </c>
      <c r="P175" s="180">
        <f t="shared" si="49"/>
        <v>0</v>
      </c>
      <c r="Q175">
        <f>IFERROR(VLOOKUP(A175,[1]Energiindhold!$A$2:$C$11,3,FALSE),IFERROR(VLOOKUP(A175,[1]Biogasudbytte!$A$2:$B$18,2,FALSE)*[1]Energiindhold!$C$10,0))*O175</f>
        <v>1.0749236788387388E-6</v>
      </c>
      <c r="R175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>
        <f>IFERROR(VLOOKUP(A175,[1]Biogasudbytte!$A$2:$B$18,2,FALSE)*[1]Energiindhold!$C$10,0)*J175*IFERROR(VLOOKUP(A175,Biogasanlæg!$F$3:$G$8,2,FALSE),1)</f>
        <v>0</v>
      </c>
      <c r="T175" s="170">
        <f t="shared" si="50"/>
        <v>0</v>
      </c>
      <c r="U175" s="169">
        <f>O175*IFERROR(VLOOKUP(A175,[1]Tørstofindhold!A$2:B$24,2,FALSE),0)</f>
        <v>0.17965298253572234</v>
      </c>
      <c r="V175">
        <f>IF(D175=År1,P175,SUM(O175,P175))*IFERROR(VLOOKUP(A175,[1]Tørstofindhold!A$2:B$24,2,FALSE),0)</f>
        <v>0</v>
      </c>
      <c r="W175">
        <f>J175*IFERROR(VLOOKUP(A175,[1]Tørstofindhold!A$2:B$24,2,FALSE),0)</f>
        <v>0</v>
      </c>
      <c r="X175" s="170">
        <f t="shared" si="51"/>
        <v>0</v>
      </c>
      <c r="Y175">
        <f t="shared" si="43"/>
        <v>0</v>
      </c>
      <c r="Z175">
        <f t="shared" si="44"/>
        <v>1</v>
      </c>
    </row>
    <row r="176" spans="1:26" x14ac:dyDescent="0.55000000000000004">
      <c r="A176" s="171" t="s">
        <v>14</v>
      </c>
      <c r="B176" s="171"/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71">
        <f t="shared" si="47"/>
        <v>2019</v>
      </c>
      <c r="E176" t="s">
        <v>24</v>
      </c>
      <c r="F176" s="94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94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9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79">
        <f t="shared" si="48"/>
        <v>-41950.335705993944</v>
      </c>
      <c r="O176" s="94">
        <f t="shared" si="39"/>
        <v>0</v>
      </c>
      <c r="P176" s="180">
        <f t="shared" si="49"/>
        <v>0</v>
      </c>
      <c r="Q176">
        <f>IFERROR(VLOOKUP(A176,[1]Energiindhold!$A$2:$C$11,3,FALSE),IFERROR(VLOOKUP(A176,[1]Biogasudbytte!$A$2:$B$18,2,FALSE)*[1]Energiindhold!$C$10,0))*O176</f>
        <v>0</v>
      </c>
      <c r="R176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>
        <f>IFERROR(VLOOKUP(A176,[1]Biogasudbytte!$A$2:$B$18,2,FALSE)*[1]Energiindhold!$C$10,0)*J176*IFERROR(VLOOKUP(A176,Biogasanlæg!$F$3:$G$8,2,FALSE),1)</f>
        <v>0</v>
      </c>
      <c r="T176" s="170">
        <f t="shared" si="50"/>
        <v>0</v>
      </c>
      <c r="U176" s="169">
        <f>O176*IFERROR(VLOOKUP(A176,[1]Tørstofindhold!A$2:B$24,2,FALSE),0)</f>
        <v>0</v>
      </c>
      <c r="V176">
        <f>IF(D176=År1,P176,SUM(O176,P176))*IFERROR(VLOOKUP(A176,[1]Tørstofindhold!A$2:B$24,2,FALSE),0)</f>
        <v>0</v>
      </c>
      <c r="W176">
        <f>J176*IFERROR(VLOOKUP(A176,[1]Tørstofindhold!A$2:B$24,2,FALSE),0)</f>
        <v>0</v>
      </c>
      <c r="X176" s="170">
        <f t="shared" si="51"/>
        <v>0</v>
      </c>
      <c r="Y176">
        <f t="shared" si="43"/>
        <v>0</v>
      </c>
      <c r="Z176">
        <f t="shared" si="44"/>
        <v>1</v>
      </c>
    </row>
    <row r="177" spans="1:26" hidden="1" x14ac:dyDescent="0.55000000000000004">
      <c r="A177" s="171" t="s">
        <v>55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47"/>
        <v>2019</v>
      </c>
      <c r="E177" t="s">
        <v>24</v>
      </c>
      <c r="F177" s="94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94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9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79">
        <f t="shared" si="48"/>
        <v>395448.91426064254</v>
      </c>
      <c r="O177" s="94">
        <f t="shared" si="39"/>
        <v>0</v>
      </c>
      <c r="P177" s="180">
        <f t="shared" si="49"/>
        <v>0</v>
      </c>
      <c r="Q177">
        <f>IFERROR(VLOOKUP(A177,[1]Energiindhold!$A$2:$C$11,3,FALSE),IFERROR(VLOOKUP(A177,[1]Biogasudbytte!$A$2:$B$18,2,FALSE)*[1]Energiindhold!$C$10,0))*O177</f>
        <v>0</v>
      </c>
      <c r="R17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>
        <f>IFERROR(VLOOKUP(A177,[1]Biogasudbytte!$A$2:$B$18,2,FALSE)*[1]Energiindhold!$C$10,0)*J177*IFERROR(VLOOKUP(A177,Biogasanlæg!$F$3:$G$8,2,FALSE),1)</f>
        <v>0</v>
      </c>
      <c r="T177" s="170">
        <f t="shared" si="50"/>
        <v>0</v>
      </c>
      <c r="U177" s="169">
        <f>O177*IFERROR(VLOOKUP(A177,[1]Tørstofindhold!A$2:B$24,2,FALSE),0)</f>
        <v>0</v>
      </c>
      <c r="V177">
        <f>IF(D177=År1,P177,SUM(O177,P177))*IFERROR(VLOOKUP(A177,[1]Tørstofindhold!A$2:B$24,2,FALSE),0)</f>
        <v>0</v>
      </c>
      <c r="W177">
        <f>J177*IFERROR(VLOOKUP(A177,[1]Tørstofindhold!A$2:B$24,2,FALSE),0)</f>
        <v>0</v>
      </c>
      <c r="X177" s="170">
        <f t="shared" si="51"/>
        <v>0</v>
      </c>
      <c r="Y177">
        <f t="shared" si="43"/>
        <v>0</v>
      </c>
      <c r="Z177">
        <f t="shared" si="44"/>
        <v>1</v>
      </c>
    </row>
    <row r="178" spans="1:26" x14ac:dyDescent="0.55000000000000004">
      <c r="A178" s="171" t="s">
        <v>95</v>
      </c>
      <c r="B178" s="171" t="s">
        <v>225</v>
      </c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71">
        <f t="shared" si="47"/>
        <v>2019</v>
      </c>
      <c r="E178" t="s">
        <v>24</v>
      </c>
      <c r="F178" s="94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94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9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79">
        <f t="shared" si="48"/>
        <v>0</v>
      </c>
      <c r="O178" s="94">
        <f t="shared" si="39"/>
        <v>0</v>
      </c>
      <c r="P178" s="180">
        <f t="shared" si="49"/>
        <v>38860.356190289756</v>
      </c>
      <c r="Q178">
        <f>IFERROR(VLOOKUP(A178,[1]Energiindhold!$A$2:$C$11,3,FALSE),IFERROR(VLOOKUP(A178,[1]Biogasudbytte!$A$2:$B$18,2,FALSE)*[1]Energiindhold!$C$10,0))*O178</f>
        <v>0</v>
      </c>
      <c r="R17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>
        <f>IFERROR(VLOOKUP(A178,[1]Biogasudbytte!$A$2:$B$18,2,FALSE)*[1]Energiindhold!$C$10,0)*J178*IFERROR(VLOOKUP(A178,Biogasanlæg!$F$3:$G$8,2,FALSE),1)</f>
        <v>0</v>
      </c>
      <c r="T178" s="170">
        <f t="shared" si="50"/>
        <v>0.71503055390133141</v>
      </c>
      <c r="U178" s="169">
        <f>O178*IFERROR(VLOOKUP(A178,[1]Tørstofindhold!A$2:B$24,2,FALSE),0)</f>
        <v>0</v>
      </c>
      <c r="V178">
        <f>IF(D178=År1,P178,SUM(O178,P178))*IFERROR(VLOOKUP(A178,[1]Tørstofindhold!A$2:B$24,2,FALSE),0)</f>
        <v>16127.04781897025</v>
      </c>
      <c r="W178">
        <f>J178*IFERROR(VLOOKUP(A178,[1]Tørstofindhold!A$2:B$24,2,FALSE),0)</f>
        <v>0</v>
      </c>
      <c r="X178" s="170">
        <f t="shared" si="51"/>
        <v>16127.04781897025</v>
      </c>
      <c r="Y178">
        <f t="shared" si="43"/>
        <v>0</v>
      </c>
      <c r="Z178">
        <f t="shared" si="44"/>
        <v>0</v>
      </c>
    </row>
    <row r="179" spans="1:26" hidden="1" x14ac:dyDescent="0.55000000000000004">
      <c r="A179" s="171" t="s">
        <v>306</v>
      </c>
      <c r="B179" s="171" t="s">
        <v>312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47"/>
        <v>2019</v>
      </c>
      <c r="E179" t="s">
        <v>24</v>
      </c>
      <c r="F179" s="94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94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9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79">
        <f t="shared" ref="N179:N180" si="52">F179-SUM(G179:M179)</f>
        <v>0</v>
      </c>
      <c r="O179" s="94">
        <f t="shared" si="39"/>
        <v>0</v>
      </c>
      <c r="P179" s="180">
        <f t="shared" ref="P179:P180" si="53">SUM(J179,L179)</f>
        <v>0</v>
      </c>
      <c r="Q179">
        <f>IFERROR(VLOOKUP(A179,[1]Energiindhold!$A$2:$C$11,3,FALSE),IFERROR(VLOOKUP(A179,[1]Biogasudbytte!$A$2:$B$18,2,FALSE)*[1]Energiindhold!$C$10,0))*O179</f>
        <v>0</v>
      </c>
      <c r="R179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>
        <f>IFERROR(VLOOKUP(A179,[1]Biogasudbytte!$A$2:$B$18,2,FALSE)*[1]Energiindhold!$C$10,0)*J179*IFERROR(VLOOKUP(A179,Biogasanlæg!$F$3:$G$8,2,FALSE),1)</f>
        <v>0</v>
      </c>
      <c r="T179" s="170">
        <f t="shared" ref="T179:T180" si="54">R179-S179</f>
        <v>0</v>
      </c>
      <c r="U179" s="169">
        <f>O179*IFERROR(VLOOKUP(A179,[1]Tørstofindhold!A$2:B$24,2,FALSE),0)</f>
        <v>0</v>
      </c>
      <c r="V179">
        <f>IF(D179=År1,P179,SUM(O179,P179))*IFERROR(VLOOKUP(A179,[1]Tørstofindhold!A$2:B$24,2,FALSE),0)</f>
        <v>0</v>
      </c>
      <c r="W179">
        <f>J179*IFERROR(VLOOKUP(A179,[1]Tørstofindhold!A$2:B$24,2,FALSE),0)</f>
        <v>0</v>
      </c>
      <c r="X179" s="170">
        <f t="shared" ref="X179:X180" si="55">V179-W179</f>
        <v>0</v>
      </c>
      <c r="Y179">
        <f t="shared" si="43"/>
        <v>0</v>
      </c>
      <c r="Z179">
        <f t="shared" si="44"/>
        <v>0</v>
      </c>
    </row>
    <row r="180" spans="1:26" hidden="1" x14ac:dyDescent="0.55000000000000004">
      <c r="A180" s="171" t="s">
        <v>307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47"/>
        <v>2019</v>
      </c>
      <c r="E180" t="s">
        <v>24</v>
      </c>
      <c r="F180" s="94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94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9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79">
        <f t="shared" si="52"/>
        <v>0</v>
      </c>
      <c r="O180" s="94">
        <f t="shared" si="39"/>
        <v>0</v>
      </c>
      <c r="P180" s="180">
        <f t="shared" si="53"/>
        <v>0</v>
      </c>
      <c r="Q180">
        <f>IFERROR(VLOOKUP(A180,[1]Energiindhold!$A$2:$C$11,3,FALSE),IFERROR(VLOOKUP(A180,[1]Biogasudbytte!$A$2:$B$18,2,FALSE)*[1]Energiindhold!$C$10,0))*O180</f>
        <v>0</v>
      </c>
      <c r="R18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>
        <f>IFERROR(VLOOKUP(A180,[1]Biogasudbytte!$A$2:$B$18,2,FALSE)*[1]Energiindhold!$C$10,0)*J180*IFERROR(VLOOKUP(A180,Biogasanlæg!$F$3:$G$8,2,FALSE),1)</f>
        <v>0</v>
      </c>
      <c r="T180" s="170">
        <f t="shared" si="54"/>
        <v>0</v>
      </c>
      <c r="U180" s="169">
        <f>O180*IFERROR(VLOOKUP(A180,[1]Tørstofindhold!A$2:B$24,2,FALSE),0)</f>
        <v>0</v>
      </c>
      <c r="V180">
        <f>IF(D180=År1,P180,SUM(O180,P180))*IFERROR(VLOOKUP(A180,[1]Tørstofindhold!A$2:B$24,2,FALSE),0)</f>
        <v>0</v>
      </c>
      <c r="W180">
        <f>J180*IFERROR(VLOOKUP(A180,[1]Tørstofindhold!A$2:B$24,2,FALSE),0)</f>
        <v>0</v>
      </c>
      <c r="X180" s="170">
        <f t="shared" si="55"/>
        <v>0</v>
      </c>
      <c r="Y180">
        <f t="shared" si="43"/>
        <v>0</v>
      </c>
      <c r="Z180">
        <f t="shared" si="44"/>
        <v>0</v>
      </c>
    </row>
    <row r="181" spans="1:26" hidden="1" x14ac:dyDescent="0.55000000000000004">
      <c r="A181" s="171" t="s">
        <v>117</v>
      </c>
      <c r="B181" s="171"/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71">
        <f t="shared" si="47"/>
        <v>2019</v>
      </c>
      <c r="E181" t="s">
        <v>24</v>
      </c>
      <c r="F181" s="94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94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9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79">
        <f t="shared" si="48"/>
        <v>346998.01962126989</v>
      </c>
      <c r="O181" s="94">
        <f t="shared" si="39"/>
        <v>0</v>
      </c>
      <c r="P181" s="180">
        <f t="shared" si="49"/>
        <v>0</v>
      </c>
      <c r="Q181">
        <f>IFERROR(VLOOKUP(A181,[1]Energiindhold!$A$2:$C$11,3,FALSE),IFERROR(VLOOKUP(A181,[1]Biogasudbytte!$A$2:$B$18,2,FALSE)*[1]Energiindhold!$C$10,0))*O181</f>
        <v>0</v>
      </c>
      <c r="R181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>
        <f>IFERROR(VLOOKUP(A181,[1]Biogasudbytte!$A$2:$B$18,2,FALSE)*[1]Energiindhold!$C$10,0)*J181*IFERROR(VLOOKUP(A181,Biogasanlæg!$F$3:$G$8,2,FALSE),1)</f>
        <v>0</v>
      </c>
      <c r="T181" s="170">
        <f t="shared" si="50"/>
        <v>0</v>
      </c>
      <c r="U181" s="169">
        <f>O181*IFERROR(VLOOKUP(A181,[1]Tørstofindhold!A$2:B$24,2,FALSE),0)</f>
        <v>0</v>
      </c>
      <c r="V181">
        <f>IF(D181=År1,P181,SUM(O181,P181))*IFERROR(VLOOKUP(A181,[1]Tørstofindhold!A$2:B$24,2,FALSE),0)</f>
        <v>0</v>
      </c>
      <c r="W181">
        <f>J181*IFERROR(VLOOKUP(A181,[1]Tørstofindhold!A$2:B$24,2,FALSE),0)</f>
        <v>0</v>
      </c>
      <c r="X181" s="170">
        <f t="shared" si="51"/>
        <v>0</v>
      </c>
      <c r="Y181">
        <f t="shared" si="43"/>
        <v>0</v>
      </c>
      <c r="Z181">
        <f t="shared" si="44"/>
        <v>1</v>
      </c>
    </row>
    <row r="182" spans="1:26" x14ac:dyDescent="0.55000000000000004">
      <c r="A182" t="s">
        <v>50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47"/>
        <v>2019</v>
      </c>
      <c r="E182" t="s">
        <v>24</v>
      </c>
      <c r="F182" s="94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94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9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79">
        <f t="shared" si="48"/>
        <v>0</v>
      </c>
      <c r="O182" s="94">
        <f t="shared" si="39"/>
        <v>0</v>
      </c>
      <c r="P182" s="180">
        <f t="shared" si="49"/>
        <v>0</v>
      </c>
      <c r="Q182">
        <f>IFERROR(VLOOKUP(A182,[1]Energiindhold!$A$2:$C$11,3,FALSE),IFERROR(VLOOKUP(A182,[1]Biogasudbytte!$A$2:$B$18,2,FALSE)*[1]Energiindhold!$C$10,0))*O182</f>
        <v>0</v>
      </c>
      <c r="R18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>
        <f>IFERROR(VLOOKUP(A182,[1]Biogasudbytte!$A$2:$B$18,2,FALSE)*[1]Energiindhold!$C$10,0)*J182*IFERROR(VLOOKUP(A182,Biogasanlæg!$F$3:$G$8,2,FALSE),1)</f>
        <v>0</v>
      </c>
      <c r="T182" s="170">
        <f t="shared" si="50"/>
        <v>0</v>
      </c>
      <c r="U182" s="169">
        <f>O182*IFERROR(VLOOKUP(A182,[1]Tørstofindhold!A$2:B$24,2,FALSE),0)</f>
        <v>0</v>
      </c>
      <c r="V182">
        <f>IF(D182=År1,P182,SUM(O182,P182))*IFERROR(VLOOKUP(A182,[1]Tørstofindhold!A$2:B$24,2,FALSE),0)</f>
        <v>0</v>
      </c>
      <c r="W182">
        <f>J182*IFERROR(VLOOKUP(A182,[1]Tørstofindhold!A$2:B$24,2,FALSE),0)</f>
        <v>0</v>
      </c>
      <c r="X182" s="170">
        <f t="shared" si="51"/>
        <v>0</v>
      </c>
      <c r="Y182">
        <f t="shared" si="43"/>
        <v>0</v>
      </c>
      <c r="Z182">
        <f t="shared" si="44"/>
        <v>0</v>
      </c>
    </row>
    <row r="183" spans="1:26" x14ac:dyDescent="0.55000000000000004">
      <c r="A183" t="s">
        <v>238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47"/>
        <v>2019</v>
      </c>
      <c r="E183" t="s">
        <v>24</v>
      </c>
      <c r="F183" s="94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94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9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79">
        <f t="shared" si="48"/>
        <v>70002.843567045958</v>
      </c>
      <c r="O183" s="94">
        <f t="shared" si="39"/>
        <v>0</v>
      </c>
      <c r="P183" s="180">
        <f t="shared" si="49"/>
        <v>0</v>
      </c>
      <c r="Q183">
        <f>IFERROR(VLOOKUP(A183,[1]Energiindhold!$A$2:$C$11,3,FALSE),IFERROR(VLOOKUP(A183,[1]Biogasudbytte!$A$2:$B$18,2,FALSE)*[1]Energiindhold!$C$10,0))*O183</f>
        <v>0</v>
      </c>
      <c r="R183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>
        <f>IFERROR(VLOOKUP(A183,[1]Biogasudbytte!$A$2:$B$18,2,FALSE)*[1]Energiindhold!$C$10,0)*J183*IFERROR(VLOOKUP(A183,Biogasanlæg!$F$3:$G$8,2,FALSE),1)</f>
        <v>0</v>
      </c>
      <c r="T183" s="170">
        <f t="shared" si="50"/>
        <v>0</v>
      </c>
      <c r="U183" s="169">
        <f>O183*IFERROR(VLOOKUP(A183,[1]Tørstofindhold!A$2:B$24,2,FALSE),0)</f>
        <v>0</v>
      </c>
      <c r="V183">
        <f>IF(D183=År1,P183,SUM(O183,P183))*IFERROR(VLOOKUP(A183,[1]Tørstofindhold!A$2:B$24,2,FALSE),0)</f>
        <v>0</v>
      </c>
      <c r="W183">
        <f>J183*IFERROR(VLOOKUP(A183,[1]Tørstofindhold!A$2:B$24,2,FALSE),0)</f>
        <v>0</v>
      </c>
      <c r="X183" s="170">
        <f t="shared" si="51"/>
        <v>0</v>
      </c>
      <c r="Y183">
        <f t="shared" si="43"/>
        <v>0</v>
      </c>
      <c r="Z183">
        <f t="shared" si="44"/>
        <v>1</v>
      </c>
    </row>
    <row r="184" spans="1:26" x14ac:dyDescent="0.55000000000000004">
      <c r="A184" t="s">
        <v>231</v>
      </c>
      <c r="B184" s="171" t="s">
        <v>231</v>
      </c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71">
        <f t="shared" si="47"/>
        <v>2019</v>
      </c>
      <c r="E184" t="s">
        <v>24</v>
      </c>
      <c r="F184" s="94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94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9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79">
        <f t="shared" si="48"/>
        <v>0</v>
      </c>
      <c r="O184" s="94">
        <f t="shared" si="39"/>
        <v>0</v>
      </c>
      <c r="P184" s="180">
        <f t="shared" si="49"/>
        <v>32042.520829377954</v>
      </c>
      <c r="Q184">
        <f>IFERROR(VLOOKUP(A184,[1]Energiindhold!$A$2:$C$11,3,FALSE),IFERROR(VLOOKUP(A184,[1]Biogasudbytte!$A$2:$B$18,2,FALSE)*[1]Energiindhold!$C$10,0))*O184</f>
        <v>0</v>
      </c>
      <c r="R184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>
        <f>IFERROR(VLOOKUP(A184,[1]Biogasudbytte!$A$2:$B$18,2,FALSE)*[1]Energiindhold!$C$10,0)*J184*IFERROR(VLOOKUP(A184,Biogasanlæg!$F$3:$G$8,2,FALSE),1)</f>
        <v>0</v>
      </c>
      <c r="T184" s="170">
        <f t="shared" si="50"/>
        <v>1.1214882290282282</v>
      </c>
      <c r="U184" s="169">
        <f>O184*IFERROR(VLOOKUP(A184,[1]Tørstofindhold!A$2:B$24,2,FALSE),0)</f>
        <v>0</v>
      </c>
      <c r="V184">
        <f>IF(D184=År1,P184,SUM(O184,P184))*IFERROR(VLOOKUP(A184,[1]Tørstofindhold!A$2:B$24,2,FALSE),0)</f>
        <v>0</v>
      </c>
      <c r="W184">
        <f>J184*IFERROR(VLOOKUP(A184,[1]Tørstofindhold!A$2:B$24,2,FALSE),0)</f>
        <v>0</v>
      </c>
      <c r="X184" s="170">
        <f t="shared" si="51"/>
        <v>0</v>
      </c>
      <c r="Y184">
        <f t="shared" si="43"/>
        <v>0</v>
      </c>
      <c r="Z184">
        <f t="shared" si="44"/>
        <v>0</v>
      </c>
    </row>
    <row r="185" spans="1:26" x14ac:dyDescent="0.55000000000000004">
      <c r="A185" t="s">
        <v>52</v>
      </c>
      <c r="B185" s="171" t="s">
        <v>224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47"/>
        <v>2019</v>
      </c>
      <c r="E185" t="s">
        <v>24</v>
      </c>
      <c r="F185" s="94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94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9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79">
        <f t="shared" si="48"/>
        <v>2105567.5565972263</v>
      </c>
      <c r="O185" s="94">
        <f t="shared" si="39"/>
        <v>1637775.5474174484</v>
      </c>
      <c r="P185" s="180">
        <f t="shared" si="49"/>
        <v>24503.032029712213</v>
      </c>
      <c r="Q185">
        <f>IFERROR(VLOOKUP(A185,[1]Energiindhold!$A$2:$C$11,3,FALSE),IFERROR(VLOOKUP(A185,[1]Biogasudbytte!$A$2:$B$18,2,FALSE)*[1]Energiindhold!$C$10,0))*O185</f>
        <v>4.4449883467128517</v>
      </c>
      <c r="R185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>
        <f>IFERROR(VLOOKUP(A185,[1]Biogasudbytte!$A$2:$B$18,2,FALSE)*[1]Energiindhold!$C$10,0)*J185*IFERROR(VLOOKUP(A185,Biogasanlæg!$F$3:$G$8,2,FALSE),1)</f>
        <v>6.650220904992013E-2</v>
      </c>
      <c r="T185" s="170">
        <f t="shared" si="50"/>
        <v>0</v>
      </c>
      <c r="U185" s="169">
        <f>O185*IFERROR(VLOOKUP(A185,[1]Tørstofindhold!A$2:B$24,2,FALSE),0)</f>
        <v>327555.10948348971</v>
      </c>
      <c r="V185">
        <f>IF(D185=År1,P185,SUM(O185,P185))*IFERROR(VLOOKUP(A185,[1]Tørstofindhold!A$2:B$24,2,FALSE),0)</f>
        <v>4900.6064059424425</v>
      </c>
      <c r="W185">
        <f>J185*IFERROR(VLOOKUP(A185,[1]Tørstofindhold!A$2:B$24,2,FALSE),0)</f>
        <v>4900.6064059424425</v>
      </c>
      <c r="X185" s="170">
        <f t="shared" si="51"/>
        <v>0</v>
      </c>
      <c r="Y185">
        <f t="shared" si="43"/>
        <v>0</v>
      </c>
      <c r="Z185">
        <f t="shared" si="44"/>
        <v>1</v>
      </c>
    </row>
    <row r="186" spans="1:26" hidden="1" x14ac:dyDescent="0.55000000000000004">
      <c r="A186" t="s">
        <v>121</v>
      </c>
      <c r="B186" s="171"/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71">
        <f t="shared" si="47"/>
        <v>2019</v>
      </c>
      <c r="E186" t="s">
        <v>24</v>
      </c>
      <c r="F186" s="94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94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9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79">
        <f t="shared" si="48"/>
        <v>23179.475218292017</v>
      </c>
      <c r="O186" s="94">
        <f t="shared" si="39"/>
        <v>0</v>
      </c>
      <c r="P186" s="180">
        <f t="shared" si="49"/>
        <v>0</v>
      </c>
      <c r="Q186">
        <f>IFERROR(VLOOKUP(A186,[1]Energiindhold!$A$2:$C$11,3,FALSE),IFERROR(VLOOKUP(A186,[1]Biogasudbytte!$A$2:$B$18,2,FALSE)*[1]Energiindhold!$C$10,0))*O186</f>
        <v>0</v>
      </c>
      <c r="R186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>
        <f>IFERROR(VLOOKUP(A186,[1]Biogasudbytte!$A$2:$B$18,2,FALSE)*[1]Energiindhold!$C$10,0)*J186*IFERROR(VLOOKUP(A186,Biogasanlæg!$F$3:$G$8,2,FALSE),1)</f>
        <v>0</v>
      </c>
      <c r="T186" s="170">
        <f t="shared" si="50"/>
        <v>0</v>
      </c>
      <c r="U186" s="169">
        <f>O186*IFERROR(VLOOKUP(A186,[1]Tørstofindhold!A$2:B$24,2,FALSE),0)</f>
        <v>0</v>
      </c>
      <c r="V186">
        <f>IF(D186=År1,P186,SUM(O186,P186))*IFERROR(VLOOKUP(A186,[1]Tørstofindhold!A$2:B$24,2,FALSE),0)</f>
        <v>0</v>
      </c>
      <c r="W186">
        <f>J186*IFERROR(VLOOKUP(A186,[1]Tørstofindhold!A$2:B$24,2,FALSE),0)</f>
        <v>0</v>
      </c>
      <c r="X186" s="170">
        <f t="shared" si="51"/>
        <v>0</v>
      </c>
      <c r="Y186">
        <f t="shared" si="43"/>
        <v>0</v>
      </c>
      <c r="Z186">
        <f t="shared" si="44"/>
        <v>1</v>
      </c>
    </row>
    <row r="187" spans="1:26" hidden="1" x14ac:dyDescent="0.55000000000000004">
      <c r="A187" t="s">
        <v>107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47"/>
        <v>2019</v>
      </c>
      <c r="E187" t="s">
        <v>24</v>
      </c>
      <c r="F187" s="94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94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9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79">
        <f t="shared" si="48"/>
        <v>14085.970705770382</v>
      </c>
      <c r="O187" s="94">
        <f t="shared" si="39"/>
        <v>0</v>
      </c>
      <c r="P187" s="180">
        <f t="shared" si="49"/>
        <v>0</v>
      </c>
      <c r="Q187">
        <f>IFERROR(VLOOKUP(A187,[1]Energiindhold!$A$2:$C$11,3,FALSE),IFERROR(VLOOKUP(A187,[1]Biogasudbytte!$A$2:$B$18,2,FALSE)*[1]Energiindhold!$C$10,0))*O187</f>
        <v>0</v>
      </c>
      <c r="R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>
        <f>IFERROR(VLOOKUP(A187,[1]Biogasudbytte!$A$2:$B$18,2,FALSE)*[1]Energiindhold!$C$10,0)*J187*IFERROR(VLOOKUP(A187,Biogasanlæg!$F$3:$G$8,2,FALSE),1)</f>
        <v>0</v>
      </c>
      <c r="T187" s="170">
        <f t="shared" si="50"/>
        <v>0</v>
      </c>
      <c r="U187" s="169">
        <f>O187*IFERROR(VLOOKUP(A187,[1]Tørstofindhold!A$2:B$24,2,FALSE),0)</f>
        <v>0</v>
      </c>
      <c r="V187">
        <f>IF(D187=År1,P187,SUM(O187,P187))*IFERROR(VLOOKUP(A187,[1]Tørstofindhold!A$2:B$24,2,FALSE),0)</f>
        <v>0</v>
      </c>
      <c r="W187">
        <f>J187*IFERROR(VLOOKUP(A187,[1]Tørstofindhold!A$2:B$24,2,FALSE),0)</f>
        <v>0</v>
      </c>
      <c r="X187" s="170">
        <f t="shared" si="51"/>
        <v>0</v>
      </c>
      <c r="Y187">
        <f t="shared" si="43"/>
        <v>0</v>
      </c>
      <c r="Z187">
        <f t="shared" si="44"/>
        <v>1</v>
      </c>
    </row>
    <row r="188" spans="1:26" hidden="1" x14ac:dyDescent="0.55000000000000004">
      <c r="A188" s="171" t="s">
        <v>140</v>
      </c>
      <c r="B188" s="171" t="s">
        <v>230</v>
      </c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71">
        <f t="shared" si="47"/>
        <v>2019</v>
      </c>
      <c r="E188" t="s">
        <v>24</v>
      </c>
      <c r="F188" s="94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94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9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79">
        <f t="shared" si="48"/>
        <v>1978309.9489030582</v>
      </c>
      <c r="O188" s="94">
        <f t="shared" si="39"/>
        <v>1978309.9489030582</v>
      </c>
      <c r="P188" s="180">
        <f t="shared" si="49"/>
        <v>1208651.4125341829</v>
      </c>
      <c r="Q188">
        <f>IFERROR(VLOOKUP(A188,[1]Energiindhold!$A$2:$C$11,3,FALSE),IFERROR(VLOOKUP(A188,[1]Biogasudbytte!$A$2:$B$18,2,FALSE)*[1]Energiindhold!$C$10,0))*O188</f>
        <v>0.98719644760211522</v>
      </c>
      <c r="R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>
        <f>IFERROR(VLOOKUP(A188,[1]Biogasudbytte!$A$2:$B$18,2,FALSE)*[1]Energiindhold!$C$10,0)*J188*IFERROR(VLOOKUP(A188,Biogasanlæg!$F$3:$G$8,2,FALSE),1)</f>
        <v>0.60312914136868268</v>
      </c>
      <c r="T188" s="170">
        <f t="shared" si="50"/>
        <v>0</v>
      </c>
      <c r="U188" s="169">
        <f>O188*IFERROR(VLOOKUP(A188,[1]Tørstofindhold!A$2:B$24,2,FALSE),0)</f>
        <v>118698.59693418349</v>
      </c>
      <c r="V188">
        <f>IF(D188=År1,P188,SUM(O188,P188))*IFERROR(VLOOKUP(A188,[1]Tørstofindhold!A$2:B$24,2,FALSE),0)</f>
        <v>72519.084752050971</v>
      </c>
      <c r="W188">
        <f>J188*IFERROR(VLOOKUP(A188,[1]Tørstofindhold!A$2:B$24,2,FALSE),0)</f>
        <v>72519.084752050971</v>
      </c>
      <c r="X188" s="170">
        <f t="shared" si="51"/>
        <v>0</v>
      </c>
      <c r="Y188">
        <f t="shared" si="43"/>
        <v>0</v>
      </c>
      <c r="Z188">
        <f t="shared" si="44"/>
        <v>1</v>
      </c>
    </row>
    <row r="189" spans="1:26" hidden="1" x14ac:dyDescent="0.55000000000000004">
      <c r="A189" s="171" t="s">
        <v>135</v>
      </c>
      <c r="B189" s="171" t="s">
        <v>222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47"/>
        <v>2019</v>
      </c>
      <c r="E189" t="s">
        <v>24</v>
      </c>
      <c r="F189" s="94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94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9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79">
        <f t="shared" si="48"/>
        <v>0</v>
      </c>
      <c r="O189" s="94">
        <f t="shared" si="39"/>
        <v>0</v>
      </c>
      <c r="P189" s="180">
        <f t="shared" si="49"/>
        <v>380427.26035611134</v>
      </c>
      <c r="Q189">
        <f>IFERROR(VLOOKUP(A189,[1]Energiindhold!$A$2:$C$11,3,FALSE),IFERROR(VLOOKUP(A189,[1]Biogasudbytte!$A$2:$B$18,2,FALSE)*[1]Energiindhold!$C$10,0))*O189</f>
        <v>0</v>
      </c>
      <c r="R189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>
        <f>IFERROR(VLOOKUP(A189,[1]Biogasudbytte!$A$2:$B$18,2,FALSE)*[1]Energiindhold!$C$10,0)*J189*IFERROR(VLOOKUP(A189,Biogasanlæg!$F$3:$G$8,2,FALSE),1)</f>
        <v>0.16388806376141279</v>
      </c>
      <c r="T189" s="170">
        <f t="shared" si="50"/>
        <v>0</v>
      </c>
      <c r="U189" s="169">
        <f>O189*IFERROR(VLOOKUP(A189,[1]Tørstofindhold!A$2:B$24,2,FALSE),0)</f>
        <v>0</v>
      </c>
      <c r="V189">
        <f>IF(D189=År1,P189,SUM(O189,P189))*IFERROR(VLOOKUP(A189,[1]Tørstofindhold!A$2:B$24,2,FALSE),0)</f>
        <v>19021.363017805568</v>
      </c>
      <c r="W189">
        <f>J189*IFERROR(VLOOKUP(A189,[1]Tørstofindhold!A$2:B$24,2,FALSE),0)</f>
        <v>19021.363017805568</v>
      </c>
      <c r="X189" s="170">
        <f t="shared" si="51"/>
        <v>0</v>
      </c>
      <c r="Y189">
        <f t="shared" si="43"/>
        <v>0</v>
      </c>
      <c r="Z189">
        <f t="shared" si="44"/>
        <v>0</v>
      </c>
    </row>
    <row r="190" spans="1:26" x14ac:dyDescent="0.55000000000000004">
      <c r="A190" s="171" t="s">
        <v>13</v>
      </c>
      <c r="B190" s="171"/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71">
        <f t="shared" si="47"/>
        <v>2019</v>
      </c>
      <c r="E190" t="s">
        <v>24</v>
      </c>
      <c r="F190" s="94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94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9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79">
        <f t="shared" si="48"/>
        <v>106195.08352871139</v>
      </c>
      <c r="O190" s="94">
        <f t="shared" si="39"/>
        <v>0</v>
      </c>
      <c r="P190" s="180">
        <f t="shared" si="49"/>
        <v>0</v>
      </c>
      <c r="Q190">
        <f>IFERROR(VLOOKUP(A190,[1]Energiindhold!$A$2:$C$11,3,FALSE),IFERROR(VLOOKUP(A190,[1]Biogasudbytte!$A$2:$B$18,2,FALSE)*[1]Energiindhold!$C$10,0))*O190</f>
        <v>0</v>
      </c>
      <c r="R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>
        <f>IFERROR(VLOOKUP(A190,[1]Biogasudbytte!$A$2:$B$18,2,FALSE)*[1]Energiindhold!$C$10,0)*J190*IFERROR(VLOOKUP(A190,Biogasanlæg!$F$3:$G$8,2,FALSE),1)</f>
        <v>0</v>
      </c>
      <c r="T190" s="170">
        <f t="shared" si="50"/>
        <v>0</v>
      </c>
      <c r="U190" s="169">
        <f>O190*IFERROR(VLOOKUP(A190,[1]Tørstofindhold!A$2:B$24,2,FALSE),0)</f>
        <v>0</v>
      </c>
      <c r="V190">
        <f>IF(D190=År1,P190,SUM(O190,P190))*IFERROR(VLOOKUP(A190,[1]Tørstofindhold!A$2:B$24,2,FALSE),0)</f>
        <v>0</v>
      </c>
      <c r="W190">
        <f>J190*IFERROR(VLOOKUP(A190,[1]Tørstofindhold!A$2:B$24,2,FALSE),0)</f>
        <v>0</v>
      </c>
      <c r="X190" s="170">
        <f t="shared" si="51"/>
        <v>0</v>
      </c>
      <c r="Y190">
        <f t="shared" si="43"/>
        <v>0</v>
      </c>
      <c r="Z190">
        <f t="shared" si="44"/>
        <v>1</v>
      </c>
    </row>
    <row r="191" spans="1:26" x14ac:dyDescent="0.55000000000000004">
      <c r="A191" s="171" t="s">
        <v>99</v>
      </c>
      <c r="B191" s="171" t="s">
        <v>226</v>
      </c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71">
        <f t="shared" si="47"/>
        <v>2019</v>
      </c>
      <c r="E191" t="s">
        <v>24</v>
      </c>
      <c r="F191" s="94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94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9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79">
        <f t="shared" si="48"/>
        <v>0</v>
      </c>
      <c r="O191" s="94">
        <f t="shared" si="39"/>
        <v>0</v>
      </c>
      <c r="P191" s="180">
        <f t="shared" si="49"/>
        <v>0</v>
      </c>
      <c r="Q191">
        <f>IFERROR(VLOOKUP(A191,[1]Energiindhold!$A$2:$C$11,3,FALSE),IFERROR(VLOOKUP(A191,[1]Biogasudbytte!$A$2:$B$18,2,FALSE)*[1]Energiindhold!$C$10,0))*O191</f>
        <v>0</v>
      </c>
      <c r="R191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>
        <f>IFERROR(VLOOKUP(A191,[1]Biogasudbytte!$A$2:$B$18,2,FALSE)*[1]Energiindhold!$C$10,0)*J191*IFERROR(VLOOKUP(A191,Biogasanlæg!$F$3:$G$8,2,FALSE),1)</f>
        <v>0</v>
      </c>
      <c r="T191" s="170">
        <f t="shared" si="50"/>
        <v>0</v>
      </c>
      <c r="U191" s="169">
        <f>O191*IFERROR(VLOOKUP(A191,[1]Tørstofindhold!A$2:B$24,2,FALSE),0)</f>
        <v>0</v>
      </c>
      <c r="V191">
        <f>IF(D191=År1,P191,SUM(O191,P191))*IFERROR(VLOOKUP(A191,[1]Tørstofindhold!A$2:B$24,2,FALSE),0)</f>
        <v>0</v>
      </c>
      <c r="W191">
        <f>J191*IFERROR(VLOOKUP(A191,[1]Tørstofindhold!A$2:B$24,2,FALSE),0)</f>
        <v>0</v>
      </c>
      <c r="X191" s="170">
        <f t="shared" si="51"/>
        <v>0</v>
      </c>
      <c r="Y191">
        <f t="shared" si="43"/>
        <v>0</v>
      </c>
      <c r="Z191">
        <f t="shared" si="44"/>
        <v>1</v>
      </c>
    </row>
    <row r="192" spans="1:26" hidden="1" x14ac:dyDescent="0.55000000000000004">
      <c r="A192" s="171" t="s">
        <v>104</v>
      </c>
      <c r="B192" s="171"/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47"/>
        <v>2019</v>
      </c>
      <c r="E192" t="s">
        <v>24</v>
      </c>
      <c r="F192" s="94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94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9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79">
        <f t="shared" si="48"/>
        <v>0</v>
      </c>
      <c r="O192" s="94">
        <f t="shared" si="39"/>
        <v>0</v>
      </c>
      <c r="P192" s="180">
        <f t="shared" si="49"/>
        <v>0</v>
      </c>
      <c r="Q192">
        <f>IFERROR(VLOOKUP(A192,[1]Energiindhold!$A$2:$C$11,3,FALSE),IFERROR(VLOOKUP(A192,[1]Biogasudbytte!$A$2:$B$18,2,FALSE)*[1]Energiindhold!$C$10,0))*O192</f>
        <v>0</v>
      </c>
      <c r="R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>
        <f>IFERROR(VLOOKUP(A192,[1]Biogasudbytte!$A$2:$B$18,2,FALSE)*[1]Energiindhold!$C$10,0)*J192*IFERROR(VLOOKUP(A192,Biogasanlæg!$F$3:$G$8,2,FALSE),1)</f>
        <v>0</v>
      </c>
      <c r="T192" s="170">
        <f t="shared" si="50"/>
        <v>0</v>
      </c>
      <c r="U192" s="169">
        <f>O192*IFERROR(VLOOKUP(A192,[1]Tørstofindhold!A$2:B$24,2,FALSE),0)</f>
        <v>0</v>
      </c>
      <c r="V192">
        <f>IF(D192=År1,P192,SUM(O192,P192))*IFERROR(VLOOKUP(A192,[1]Tørstofindhold!A$2:B$24,2,FALSE),0)</f>
        <v>0</v>
      </c>
      <c r="W192">
        <f>J192*IFERROR(VLOOKUP(A192,[1]Tørstofindhold!A$2:B$24,2,FALSE),0)</f>
        <v>0</v>
      </c>
      <c r="X192" s="170">
        <f t="shared" si="51"/>
        <v>0</v>
      </c>
      <c r="Y192">
        <f t="shared" si="43"/>
        <v>0</v>
      </c>
      <c r="Z192">
        <f t="shared" si="44"/>
        <v>0</v>
      </c>
    </row>
    <row r="193" spans="1:26" x14ac:dyDescent="0.55000000000000004">
      <c r="A193" s="171" t="s">
        <v>119</v>
      </c>
      <c r="B193" s="171" t="s">
        <v>225</v>
      </c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47"/>
        <v>2019</v>
      </c>
      <c r="E193" t="s">
        <v>24</v>
      </c>
      <c r="F193" s="94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94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9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79">
        <f t="shared" ca="1" si="48"/>
        <v>0</v>
      </c>
      <c r="O193" s="94">
        <f t="shared" ca="1" si="39"/>
        <v>0</v>
      </c>
      <c r="P193" s="180">
        <f t="shared" ca="1" si="49"/>
        <v>681614.98381741357</v>
      </c>
      <c r="Q193">
        <f ca="1">IFERROR(VLOOKUP(A193,[1]Energiindhold!$A$2:$C$11,3,FALSE),IFERROR(VLOOKUP(A193,[1]Biogasudbytte!$A$2:$B$18,2,FALSE)*[1]Energiindhold!$C$10,0))*O193</f>
        <v>0</v>
      </c>
      <c r="R193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>
        <f>IFERROR(VLOOKUP(A193,[1]Biogasudbytte!$A$2:$B$18,2,FALSE)*[1]Energiindhold!$C$10,0)*J193*IFERROR(VLOOKUP(A193,Biogasanlæg!$F$3:$G$8,2,FALSE),1)</f>
        <v>0</v>
      </c>
      <c r="T193" s="170">
        <f t="shared" ca="1" si="50"/>
        <v>9.8790337317585379</v>
      </c>
      <c r="U193" s="169">
        <f ca="1">O193*IFERROR(VLOOKUP(A193,[1]Tørstofindhold!A$2:B$24,2,FALSE),0)</f>
        <v>0</v>
      </c>
      <c r="V193">
        <f ca="1">IF(D193=År1,P193,SUM(O193,P193))*IFERROR(VLOOKUP(A193,[1]Tørstofindhold!A$2:B$24,2,FALSE),0)</f>
        <v>337115.41074636247</v>
      </c>
      <c r="W193">
        <f>J193*IFERROR(VLOOKUP(A193,[1]Tørstofindhold!A$2:B$24,2,FALSE),0)</f>
        <v>0</v>
      </c>
      <c r="X193" s="170">
        <f t="shared" ca="1" si="51"/>
        <v>337115.41074636247</v>
      </c>
      <c r="Y193">
        <f t="shared" ca="1" si="43"/>
        <v>0</v>
      </c>
      <c r="Z193">
        <f t="shared" ca="1" si="44"/>
        <v>0</v>
      </c>
    </row>
    <row r="194" spans="1:26" x14ac:dyDescent="0.55000000000000004">
      <c r="A194" s="171" t="s">
        <v>118</v>
      </c>
      <c r="B194" s="171"/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71">
        <f t="shared" si="47"/>
        <v>2019</v>
      </c>
      <c r="E194" t="s">
        <v>24</v>
      </c>
      <c r="F194" s="94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94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9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79">
        <f t="shared" ca="1" si="48"/>
        <v>0</v>
      </c>
      <c r="O194" s="94">
        <f t="shared" si="39"/>
        <v>0</v>
      </c>
      <c r="P194" s="180">
        <f t="shared" si="49"/>
        <v>0</v>
      </c>
      <c r="Q194">
        <f>IFERROR(VLOOKUP(A194,[1]Energiindhold!$A$2:$C$11,3,FALSE),IFERROR(VLOOKUP(A194,[1]Biogasudbytte!$A$2:$B$18,2,FALSE)*[1]Energiindhold!$C$10,0))*O194</f>
        <v>0</v>
      </c>
      <c r="R194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>
        <f>IFERROR(VLOOKUP(A194,[1]Biogasudbytte!$A$2:$B$18,2,FALSE)*[1]Energiindhold!$C$10,0)*J194*IFERROR(VLOOKUP(A194,Biogasanlæg!$F$3:$G$8,2,FALSE),1)</f>
        <v>0</v>
      </c>
      <c r="T194" s="170">
        <f t="shared" si="50"/>
        <v>0</v>
      </c>
      <c r="U194" s="169">
        <f>O194*IFERROR(VLOOKUP(A194,[1]Tørstofindhold!A$2:B$24,2,FALSE),0)</f>
        <v>0</v>
      </c>
      <c r="V194">
        <f>IF(D194=År1,P194,SUM(O194,P194))*IFERROR(VLOOKUP(A194,[1]Tørstofindhold!A$2:B$24,2,FALSE),0)</f>
        <v>0</v>
      </c>
      <c r="W194">
        <f>J194*IFERROR(VLOOKUP(A194,[1]Tørstofindhold!A$2:B$24,2,FALSE),0)</f>
        <v>0</v>
      </c>
      <c r="X194" s="170">
        <f t="shared" si="51"/>
        <v>0</v>
      </c>
      <c r="Y194">
        <f t="shared" ca="1" si="43"/>
        <v>0</v>
      </c>
      <c r="Z194">
        <f t="shared" ca="1" si="44"/>
        <v>0</v>
      </c>
    </row>
    <row r="195" spans="1:26" hidden="1" x14ac:dyDescent="0.55000000000000004">
      <c r="A195" s="171" t="str">
        <f t="shared" ref="A195:A226" si="56">A147</f>
        <v>Æg</v>
      </c>
      <c r="B195" s="171" t="str">
        <f t="shared" ref="B195:B226" si="57">IF(B147&lt;&gt;"",B147,"")</f>
        <v/>
      </c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ref="D195:D242" si="58">År2</f>
        <v>2030</v>
      </c>
      <c r="E195" t="s">
        <v>24</v>
      </c>
      <c r="F195" s="94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94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9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79">
        <f t="shared" si="48"/>
        <v>-10265.860686730583</v>
      </c>
      <c r="O195" s="94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180">
        <f t="shared" si="49"/>
        <v>0</v>
      </c>
      <c r="Q195">
        <f>IFERROR(VLOOKUP(A195,[1]Energiindhold!$A$2:$C$11,3,FALSE),IFERROR(VLOOKUP(A195,[1]Biogasudbytte!$A$2:$B$18,2,FALSE)*[1]Energiindhold!$C$10,0))*O195</f>
        <v>0</v>
      </c>
      <c r="R195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>
        <f>IFERROR(VLOOKUP(A195,[1]Biogasudbytte!$A$2:$B$18,2,FALSE)*[1]Energiindhold!$C$10,0)*J195*IFERROR(VLOOKUP(A195,Biogasanlæg!$F$3:$G$8,2,FALSE),1)</f>
        <v>0</v>
      </c>
      <c r="T195" s="170">
        <f t="shared" si="50"/>
        <v>0</v>
      </c>
      <c r="U195" s="169">
        <f>O195*IFERROR(VLOOKUP(A195,[1]Tørstofindhold!A$2:B$24,2,FALSE),0)</f>
        <v>0</v>
      </c>
      <c r="V195">
        <f>IF(D195=År1,P195,SUM(O195,P195))*IFERROR(VLOOKUP(A195,[1]Tørstofindhold!A$2:B$24,2,FALSE),0)</f>
        <v>0</v>
      </c>
      <c r="W195">
        <f>J195*IFERROR(VLOOKUP(A195,[1]Tørstofindhold!A$2:B$24,2,FALSE),0)</f>
        <v>0</v>
      </c>
      <c r="X195" s="170">
        <f t="shared" si="51"/>
        <v>0</v>
      </c>
      <c r="Y195">
        <f t="shared" ref="Y195:Y258" si="60">IF(SUMIFS($N$3:$N$290,$A$3:$A$290,A195,$D$3:$D$290,D195)&lt;0,1,0)</f>
        <v>0</v>
      </c>
      <c r="Z195">
        <f t="shared" ref="Z195:Z258" si="61">IF(SUMIFS($N$3:$N$290,$A$3:$A$290,A195,$D$3:$D$290,D195)&gt;0,1,0)</f>
        <v>1</v>
      </c>
    </row>
    <row r="196" spans="1:26" hidden="1" x14ac:dyDescent="0.55000000000000004">
      <c r="A196" s="171" t="str">
        <f t="shared" si="56"/>
        <v>Bælgsæd</v>
      </c>
      <c r="B196" s="171" t="str">
        <f t="shared" si="57"/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58"/>
        <v>2030</v>
      </c>
      <c r="E196" t="s">
        <v>24</v>
      </c>
      <c r="F196" s="94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28047.573536439377</v>
      </c>
      <c r="G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7686.2399260183547</v>
      </c>
      <c r="H196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94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9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79">
        <f t="shared" si="48"/>
        <v>-17251.119889083697</v>
      </c>
      <c r="O196" s="94">
        <f t="shared" si="59"/>
        <v>0</v>
      </c>
      <c r="P196" s="180">
        <f t="shared" si="49"/>
        <v>0</v>
      </c>
      <c r="Q196">
        <f>IFERROR(VLOOKUP(A196,[1]Energiindhold!$A$2:$C$11,3,FALSE),IFERROR(VLOOKUP(A196,[1]Biogasudbytte!$A$2:$B$18,2,FALSE)*[1]Energiindhold!$C$10,0))*O196</f>
        <v>0</v>
      </c>
      <c r="R196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>
        <f>IFERROR(VLOOKUP(A196,[1]Biogasudbytte!$A$2:$B$18,2,FALSE)*[1]Energiindhold!$C$10,0)*J196*IFERROR(VLOOKUP(A196,Biogasanlæg!$F$3:$G$8,2,FALSE),1)</f>
        <v>0</v>
      </c>
      <c r="T196" s="170">
        <f t="shared" si="50"/>
        <v>0</v>
      </c>
      <c r="U196" s="169">
        <f>O196*IFERROR(VLOOKUP(A196,[1]Tørstofindhold!A$2:B$24,2,FALSE),0)</f>
        <v>0</v>
      </c>
      <c r="V196">
        <f>IF(D196=År1,P196,SUM(O196,P196))*IFERROR(VLOOKUP(A196,[1]Tørstofindhold!A$2:B$24,2,FALSE),0)</f>
        <v>0</v>
      </c>
      <c r="W196">
        <f>J196*IFERROR(VLOOKUP(A196,[1]Tørstofindhold!A$2:B$24,2,FALSE),0)</f>
        <v>0</v>
      </c>
      <c r="X196" s="170">
        <f t="shared" si="51"/>
        <v>0</v>
      </c>
      <c r="Y196">
        <f t="shared" si="60"/>
        <v>0</v>
      </c>
      <c r="Z196">
        <f t="shared" si="61"/>
        <v>1</v>
      </c>
    </row>
    <row r="197" spans="1:26" hidden="1" x14ac:dyDescent="0.55000000000000004">
      <c r="A197" s="171" t="str">
        <f t="shared" si="56"/>
        <v>Bioaffald</v>
      </c>
      <c r="B197" s="171" t="str">
        <f t="shared" si="57"/>
        <v>Bionedbrydeligt affald</v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71">
        <f t="shared" si="58"/>
        <v>2030</v>
      </c>
      <c r="E197" t="s">
        <v>24</v>
      </c>
      <c r="F197" s="94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94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94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94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94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94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9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79">
        <f t="shared" ca="1" si="48"/>
        <v>0</v>
      </c>
      <c r="O197" s="94">
        <f t="shared" ca="1" si="59"/>
        <v>0</v>
      </c>
      <c r="P197" s="180">
        <f t="shared" ca="1" si="49"/>
        <v>168912.745758362</v>
      </c>
      <c r="Q197">
        <f ca="1">IFERROR(VLOOKUP(A197,[1]Energiindhold!$A$2:$C$11,3,FALSE),IFERROR(VLOOKUP(A197,[1]Biogasudbytte!$A$2:$B$18,2,FALSE)*[1]Energiindhold!$C$10,0))*O197</f>
        <v>0</v>
      </c>
      <c r="R19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>
        <f ca="1">IFERROR(VLOOKUP(A197,[1]Biogasudbytte!$A$2:$B$18,2,FALSE)*[1]Energiindhold!$C$10,0)*J197*IFERROR(VLOOKUP(A197,Biogasanlæg!$F$3:$G$8,2,FALSE),1)</f>
        <v>0</v>
      </c>
      <c r="T197" s="170">
        <f t="shared" ca="1" si="50"/>
        <v>3.0154675860307889</v>
      </c>
      <c r="U197" s="169">
        <f ca="1">O197*IFERROR(VLOOKUP(A197,[1]Tørstofindhold!A$2:B$24,2,FALSE),0)</f>
        <v>0</v>
      </c>
      <c r="V197">
        <f ca="1">IF(D197=År1,P197,SUM(O197,P197))*IFERROR(VLOOKUP(A197,[1]Tørstofindhold!A$2:B$24,2,FALSE),0)</f>
        <v>47295.568812341364</v>
      </c>
      <c r="W197">
        <f ca="1">J197*IFERROR(VLOOKUP(A197,[1]Tørstofindhold!A$2:B$24,2,FALSE),0)</f>
        <v>0</v>
      </c>
      <c r="X197" s="170">
        <f t="shared" ca="1" si="51"/>
        <v>47295.568812341364</v>
      </c>
      <c r="Y197">
        <f t="shared" ca="1" si="60"/>
        <v>0</v>
      </c>
      <c r="Z197">
        <f t="shared" ca="1" si="61"/>
        <v>0</v>
      </c>
    </row>
    <row r="198" spans="1:26" hidden="1" x14ac:dyDescent="0.55000000000000004">
      <c r="A198" s="171" t="str">
        <f t="shared" si="56"/>
        <v>Biogas</v>
      </c>
      <c r="B198" s="171" t="str">
        <f t="shared" si="57"/>
        <v/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58"/>
        <v>2030</v>
      </c>
      <c r="E198" t="s">
        <v>24</v>
      </c>
      <c r="F198" s="94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107723774.7744855</v>
      </c>
      <c r="G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94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107723774.7744855</v>
      </c>
      <c r="M198" s="9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79">
        <f t="shared" ca="1" si="48"/>
        <v>0</v>
      </c>
      <c r="O198" s="94">
        <f t="shared" ca="1" si="59"/>
        <v>0</v>
      </c>
      <c r="P198" s="180">
        <f t="shared" ca="1" si="49"/>
        <v>107723774.7744855</v>
      </c>
      <c r="Q198">
        <f ca="1">IFERROR(VLOOKUP(A198,[1]Energiindhold!$A$2:$C$11,3,FALSE),IFERROR(VLOOKUP(A198,[1]Biogasudbytte!$A$2:$B$18,2,FALSE)*[1]Energiindhold!$C$10,0))*O198</f>
        <v>0</v>
      </c>
      <c r="R19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>
        <f>IFERROR(VLOOKUP(A198,[1]Biogasudbytte!$A$2:$B$18,2,FALSE)*[1]Energiindhold!$C$10,0)*J198*IFERROR(VLOOKUP(A198,Biogasanlæg!$F$3:$G$8,2,FALSE),1)</f>
        <v>0</v>
      </c>
      <c r="T198" s="170">
        <f t="shared" si="50"/>
        <v>0</v>
      </c>
      <c r="U198" s="169">
        <f ca="1">O198*IFERROR(VLOOKUP(A198,[1]Tørstofindhold!A$2:B$24,2,FALSE),0)</f>
        <v>0</v>
      </c>
      <c r="V198">
        <f ca="1">IF(D198=År1,P198,SUM(O198,P198))*IFERROR(VLOOKUP(A198,[1]Tørstofindhold!A$2:B$24,2,FALSE),0)</f>
        <v>0</v>
      </c>
      <c r="W198">
        <f>J198*IFERROR(VLOOKUP(A198,[1]Tørstofindhold!A$2:B$24,2,FALSE),0)</f>
        <v>0</v>
      </c>
      <c r="X198" s="170">
        <f t="shared" ca="1" si="51"/>
        <v>0</v>
      </c>
      <c r="Y198">
        <f t="shared" ca="1" si="60"/>
        <v>0</v>
      </c>
      <c r="Z198">
        <f t="shared" ca="1" si="61"/>
        <v>0</v>
      </c>
    </row>
    <row r="199" spans="1:26" hidden="1" x14ac:dyDescent="0.55000000000000004">
      <c r="A199" s="171" t="str">
        <f t="shared" si="56"/>
        <v>Biogasgylle</v>
      </c>
      <c r="B199" s="171" t="str">
        <f t="shared" si="57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71">
        <f t="shared" si="58"/>
        <v>2030</v>
      </c>
      <c r="E199" t="s">
        <v>24</v>
      </c>
      <c r="F199" s="94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4979961.0474174749</v>
      </c>
      <c r="G199" s="94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94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94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94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4017892.007010099</v>
      </c>
      <c r="L199" s="94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9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79">
        <f t="shared" ca="1" si="48"/>
        <v>962069.0404073759</v>
      </c>
      <c r="O199" s="94">
        <f t="shared" si="59"/>
        <v>0</v>
      </c>
      <c r="P199" s="180">
        <f t="shared" si="49"/>
        <v>0</v>
      </c>
      <c r="Q199">
        <f>IFERROR(VLOOKUP(A199,[1]Energiindhold!$A$2:$C$11,3,FALSE),IFERROR(VLOOKUP(A199,[1]Biogasudbytte!$A$2:$B$18,2,FALSE)*[1]Energiindhold!$C$10,0))*O199</f>
        <v>0</v>
      </c>
      <c r="R199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>
        <f>IFERROR(VLOOKUP(A199,[1]Biogasudbytte!$A$2:$B$18,2,FALSE)*[1]Energiindhold!$C$10,0)*J199*IFERROR(VLOOKUP(A199,Biogasanlæg!$F$3:$G$8,2,FALSE),1)</f>
        <v>0</v>
      </c>
      <c r="T199" s="170">
        <f t="shared" si="50"/>
        <v>0</v>
      </c>
      <c r="U199" s="169">
        <f>O199*IFERROR(VLOOKUP(A199,[1]Tørstofindhold!A$2:B$24,2,FALSE),0)</f>
        <v>0</v>
      </c>
      <c r="V199">
        <f>IF(D199=År1,P199,SUM(O199,P199))*IFERROR(VLOOKUP(A199,[1]Tørstofindhold!A$2:B$24,2,FALSE),0)</f>
        <v>0</v>
      </c>
      <c r="W199">
        <f>J199*IFERROR(VLOOKUP(A199,[1]Tørstofindhold!A$2:B$24,2,FALSE),0)</f>
        <v>0</v>
      </c>
      <c r="X199" s="170">
        <f t="shared" si="51"/>
        <v>0</v>
      </c>
      <c r="Y199">
        <f t="shared" ca="1" si="60"/>
        <v>0</v>
      </c>
      <c r="Z199">
        <f t="shared" ca="1" si="61"/>
        <v>1</v>
      </c>
    </row>
    <row r="200" spans="1:26" hidden="1" x14ac:dyDescent="0.55000000000000004">
      <c r="A200" s="171" t="str">
        <f t="shared" si="56"/>
        <v>Brun saft</v>
      </c>
      <c r="B200" s="171" t="str">
        <f t="shared" si="57"/>
        <v>Bionedbrydeligt affald</v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71">
        <f t="shared" si="58"/>
        <v>2030</v>
      </c>
      <c r="E200" t="s">
        <v>24</v>
      </c>
      <c r="F200" s="94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94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9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79">
        <f t="shared" si="48"/>
        <v>0</v>
      </c>
      <c r="O200" s="94">
        <f t="shared" si="59"/>
        <v>0</v>
      </c>
      <c r="P200" s="180">
        <f t="shared" si="49"/>
        <v>0</v>
      </c>
      <c r="Q200">
        <f>IFERROR(VLOOKUP(A200,[1]Energiindhold!$A$2:$C$11,3,FALSE),IFERROR(VLOOKUP(A200,[1]Biogasudbytte!$A$2:$B$18,2,FALSE)*[1]Energiindhold!$C$10,0))*O200</f>
        <v>0</v>
      </c>
      <c r="R20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>
        <f>IFERROR(VLOOKUP(A200,[1]Biogasudbytte!$A$2:$B$18,2,FALSE)*[1]Energiindhold!$C$10,0)*J200*IFERROR(VLOOKUP(A200,Biogasanlæg!$F$3:$G$8,2,FALSE),1)</f>
        <v>0</v>
      </c>
      <c r="T200" s="170">
        <f t="shared" si="50"/>
        <v>0</v>
      </c>
      <c r="U200" s="169">
        <f>O200*IFERROR(VLOOKUP(A200,[1]Tørstofindhold!A$2:B$24,2,FALSE),0)</f>
        <v>0</v>
      </c>
      <c r="V200">
        <f>IF(D200=År1,P200,SUM(O200,P200))*IFERROR(VLOOKUP(A200,[1]Tørstofindhold!A$2:B$24,2,FALSE),0)</f>
        <v>0</v>
      </c>
      <c r="W200">
        <f>J200*IFERROR(VLOOKUP(A200,[1]Tørstofindhold!A$2:B$24,2,FALSE),0)</f>
        <v>0</v>
      </c>
      <c r="X200" s="170">
        <f t="shared" si="51"/>
        <v>0</v>
      </c>
      <c r="Y200">
        <f t="shared" si="60"/>
        <v>0</v>
      </c>
      <c r="Z200">
        <f t="shared" si="61"/>
        <v>0</v>
      </c>
    </row>
    <row r="201" spans="1:26" hidden="1" x14ac:dyDescent="0.55000000000000004">
      <c r="A201" s="171" t="str">
        <f t="shared" si="56"/>
        <v>Dybstrøelse</v>
      </c>
      <c r="B201" s="171" t="str">
        <f t="shared" si="57"/>
        <v>Husdyrgødning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58"/>
        <v>2030</v>
      </c>
      <c r="E201" t="s">
        <v>24</v>
      </c>
      <c r="F201" s="94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346377.64489394147</v>
      </c>
      <c r="G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259783.2336704561</v>
      </c>
      <c r="K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32782.169963176602</v>
      </c>
      <c r="L201" s="94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9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79">
        <f t="shared" si="48"/>
        <v>53812.241260308772</v>
      </c>
      <c r="O201" s="94">
        <f t="shared" si="59"/>
        <v>53812.241260308772</v>
      </c>
      <c r="P201" s="180">
        <f t="shared" si="49"/>
        <v>259783.2336704561</v>
      </c>
      <c r="Q201">
        <f>IFERROR(VLOOKUP(A201,[1]Energiindhold!$A$2:$C$11,3,FALSE),IFERROR(VLOOKUP(A201,[1]Biogasudbytte!$A$2:$B$18,2,FALSE)*[1]Energiindhold!$C$10,0))*O201</f>
        <v>0.1159115676747051</v>
      </c>
      <c r="R201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0.67548465300086757</v>
      </c>
      <c r="S201">
        <f>IFERROR(VLOOKUP(A201,[1]Biogasudbytte!$A$2:$B$18,2,FALSE)*[1]Energiindhold!$C$10,0)*J201*IFERROR(VLOOKUP(A201,Biogasanlæg!$F$3:$G$8,2,FALSE),1)</f>
        <v>0.55957308532616246</v>
      </c>
      <c r="T201" s="170">
        <f t="shared" si="50"/>
        <v>0.11591156767470512</v>
      </c>
      <c r="U201" s="169">
        <f>O201*IFERROR(VLOOKUP(A201,[1]Tørstofindhold!A$2:B$24,2,FALSE),0)</f>
        <v>16143.672378092631</v>
      </c>
      <c r="V201">
        <f>IF(D201=År1,P201,SUM(O201,P201))*IFERROR(VLOOKUP(A201,[1]Tørstofindhold!A$2:B$24,2,FALSE),0)</f>
        <v>94078.642479229457</v>
      </c>
      <c r="W201">
        <f>J201*IFERROR(VLOOKUP(A201,[1]Tørstofindhold!A$2:B$24,2,FALSE),0)</f>
        <v>77934.970101136831</v>
      </c>
      <c r="X201" s="170">
        <f t="shared" si="51"/>
        <v>16143.672378092626</v>
      </c>
      <c r="Y201">
        <f t="shared" si="60"/>
        <v>0</v>
      </c>
      <c r="Z201">
        <f t="shared" si="61"/>
        <v>1</v>
      </c>
    </row>
    <row r="202" spans="1:26" hidden="1" x14ac:dyDescent="0.55000000000000004">
      <c r="A202" s="171" t="str">
        <f t="shared" si="56"/>
        <v>Fiberfraktion</v>
      </c>
      <c r="B202" s="171" t="str">
        <f t="shared" si="57"/>
        <v/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71">
        <f t="shared" si="58"/>
        <v>2030</v>
      </c>
      <c r="E202" t="s">
        <v>24</v>
      </c>
      <c r="F202" s="94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94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9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79">
        <f t="shared" si="48"/>
        <v>0</v>
      </c>
      <c r="O202" s="94">
        <f t="shared" si="59"/>
        <v>0</v>
      </c>
      <c r="P202" s="180">
        <f t="shared" si="49"/>
        <v>0</v>
      </c>
      <c r="Q202">
        <f>IFERROR(VLOOKUP(A202,[1]Energiindhold!$A$2:$C$11,3,FALSE),IFERROR(VLOOKUP(A202,[1]Biogasudbytte!$A$2:$B$18,2,FALSE)*[1]Energiindhold!$C$10,0))*O202</f>
        <v>0</v>
      </c>
      <c r="R20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>
        <f>IFERROR(VLOOKUP(A202,[1]Biogasudbytte!$A$2:$B$18,2,FALSE)*[1]Energiindhold!$C$10,0)*J202*IFERROR(VLOOKUP(A202,Biogasanlæg!$F$3:$G$8,2,FALSE),1)</f>
        <v>0</v>
      </c>
      <c r="T202" s="170">
        <f t="shared" si="50"/>
        <v>0</v>
      </c>
      <c r="U202" s="169">
        <f>O202*IFERROR(VLOOKUP(A202,[1]Tørstofindhold!A$2:B$24,2,FALSE),0)</f>
        <v>0</v>
      </c>
      <c r="V202">
        <f>IF(D202=År1,P202,SUM(O202,P202))*IFERROR(VLOOKUP(A202,[1]Tørstofindhold!A$2:B$24,2,FALSE),0)</f>
        <v>0</v>
      </c>
      <c r="W202">
        <f>J202*IFERROR(VLOOKUP(A202,[1]Tørstofindhold!A$2:B$24,2,FALSE),0)</f>
        <v>0</v>
      </c>
      <c r="X202" s="170">
        <f t="shared" si="51"/>
        <v>0</v>
      </c>
      <c r="Y202">
        <f t="shared" si="60"/>
        <v>0</v>
      </c>
      <c r="Z202">
        <f t="shared" si="61"/>
        <v>0</v>
      </c>
    </row>
    <row r="203" spans="1:26" hidden="1" x14ac:dyDescent="0.55000000000000004">
      <c r="A203" s="171" t="str">
        <f t="shared" si="56"/>
        <v>Fjerkrægylle</v>
      </c>
      <c r="B203" s="171" t="str">
        <f t="shared" si="57"/>
        <v>Husdyrgødning</v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71">
        <f t="shared" si="58"/>
        <v>2030</v>
      </c>
      <c r="E203" t="s">
        <v>24</v>
      </c>
      <c r="F203" s="94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94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9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79">
        <f t="shared" si="48"/>
        <v>0</v>
      </c>
      <c r="O203" s="94">
        <f t="shared" si="59"/>
        <v>0</v>
      </c>
      <c r="P203" s="180">
        <f t="shared" si="49"/>
        <v>525.15144386464101</v>
      </c>
      <c r="Q203">
        <f>IFERROR(VLOOKUP(A203,[1]Energiindhold!$A$2:$C$11,3,FALSE),IFERROR(VLOOKUP(A203,[1]Biogasudbytte!$A$2:$B$18,2,FALSE)*[1]Energiindhold!$C$10,0))*O203</f>
        <v>0</v>
      </c>
      <c r="R203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>
        <f>IFERROR(VLOOKUP(A203,[1]Biogasudbytte!$A$2:$B$18,2,FALSE)*[1]Energiindhold!$C$10,0)*J203*IFERROR(VLOOKUP(A203,Biogasanlæg!$F$3:$G$8,2,FALSE),1)</f>
        <v>2.4697347253510203E-4</v>
      </c>
      <c r="T203" s="170">
        <f t="shared" si="50"/>
        <v>0</v>
      </c>
      <c r="U203" s="169">
        <f>O203*IFERROR(VLOOKUP(A203,[1]Tørstofindhold!A$2:B$24,2,FALSE),0)</f>
        <v>0</v>
      </c>
      <c r="V203">
        <f>IF(D203=År1,P203,SUM(O203,P203))*IFERROR(VLOOKUP(A203,[1]Tørstofindhold!A$2:B$24,2,FALSE),0)</f>
        <v>33.084540963472385</v>
      </c>
      <c r="W203">
        <f>J203*IFERROR(VLOOKUP(A203,[1]Tørstofindhold!A$2:B$24,2,FALSE),0)</f>
        <v>33.084540963472385</v>
      </c>
      <c r="X203" s="170">
        <f t="shared" si="51"/>
        <v>0</v>
      </c>
      <c r="Y203">
        <f t="shared" si="60"/>
        <v>0</v>
      </c>
      <c r="Z203">
        <f t="shared" si="61"/>
        <v>0</v>
      </c>
    </row>
    <row r="204" spans="1:26" hidden="1" x14ac:dyDescent="0.55000000000000004">
      <c r="A204" s="171" t="str">
        <f t="shared" si="56"/>
        <v>Fjerkrækød</v>
      </c>
      <c r="B204" s="171" t="str">
        <f t="shared" si="57"/>
        <v/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71">
        <f t="shared" si="58"/>
        <v>2030</v>
      </c>
      <c r="E204" t="s">
        <v>24</v>
      </c>
      <c r="F204" s="94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94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9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79">
        <f t="shared" si="48"/>
        <v>-9204.0491150836206</v>
      </c>
      <c r="O204" s="94">
        <f t="shared" si="59"/>
        <v>0</v>
      </c>
      <c r="P204" s="180">
        <f t="shared" si="49"/>
        <v>0</v>
      </c>
      <c r="Q204">
        <f>IFERROR(VLOOKUP(A204,[1]Energiindhold!$A$2:$C$11,3,FALSE),IFERROR(VLOOKUP(A204,[1]Biogasudbytte!$A$2:$B$18,2,FALSE)*[1]Energiindhold!$C$10,0))*O204</f>
        <v>0</v>
      </c>
      <c r="R204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>
        <f>IFERROR(VLOOKUP(A204,[1]Biogasudbytte!$A$2:$B$18,2,FALSE)*[1]Energiindhold!$C$10,0)*J204*IFERROR(VLOOKUP(A204,Biogasanlæg!$F$3:$G$8,2,FALSE),1)</f>
        <v>0</v>
      </c>
      <c r="T204" s="170">
        <f t="shared" si="50"/>
        <v>0</v>
      </c>
      <c r="U204" s="169">
        <f>O204*IFERROR(VLOOKUP(A204,[1]Tørstofindhold!A$2:B$24,2,FALSE),0)</f>
        <v>0</v>
      </c>
      <c r="V204">
        <f>IF(D204=År1,P204,SUM(O204,P204))*IFERROR(VLOOKUP(A204,[1]Tørstofindhold!A$2:B$24,2,FALSE),0)</f>
        <v>0</v>
      </c>
      <c r="W204">
        <f>J204*IFERROR(VLOOKUP(A204,[1]Tørstofindhold!A$2:B$24,2,FALSE),0)</f>
        <v>0</v>
      </c>
      <c r="X204" s="170">
        <f t="shared" si="51"/>
        <v>0</v>
      </c>
      <c r="Y204">
        <f t="shared" si="60"/>
        <v>0</v>
      </c>
      <c r="Z204">
        <f t="shared" si="61"/>
        <v>1</v>
      </c>
    </row>
    <row r="205" spans="1:26" hidden="1" x14ac:dyDescent="0.55000000000000004">
      <c r="A205" s="171" t="str">
        <f t="shared" si="56"/>
        <v>Frø</v>
      </c>
      <c r="B205" s="171" t="str">
        <f t="shared" si="57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58"/>
        <v>2030</v>
      </c>
      <c r="E205" t="s">
        <v>24</v>
      </c>
      <c r="F205" s="94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639925.05348634056</v>
      </c>
      <c r="G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94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9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79">
        <f t="shared" si="48"/>
        <v>639925.05348634056</v>
      </c>
      <c r="O205" s="94">
        <f t="shared" si="59"/>
        <v>0</v>
      </c>
      <c r="P205" s="180">
        <f t="shared" si="49"/>
        <v>0</v>
      </c>
      <c r="Q205">
        <f>IFERROR(VLOOKUP(A205,[1]Energiindhold!$A$2:$C$11,3,FALSE),IFERROR(VLOOKUP(A205,[1]Biogasudbytte!$A$2:$B$18,2,FALSE)*[1]Energiindhold!$C$10,0))*O205</f>
        <v>0</v>
      </c>
      <c r="R205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>
        <f>IFERROR(VLOOKUP(A205,[1]Biogasudbytte!$A$2:$B$18,2,FALSE)*[1]Energiindhold!$C$10,0)*J205*IFERROR(VLOOKUP(A205,Biogasanlæg!$F$3:$G$8,2,FALSE),1)</f>
        <v>0</v>
      </c>
      <c r="T205" s="170">
        <f t="shared" si="50"/>
        <v>0</v>
      </c>
      <c r="U205" s="169">
        <f>O205*IFERROR(VLOOKUP(A205,[1]Tørstofindhold!A$2:B$24,2,FALSE),0)</f>
        <v>0</v>
      </c>
      <c r="V205">
        <f>IF(D205=År1,P205,SUM(O205,P205))*IFERROR(VLOOKUP(A205,[1]Tørstofindhold!A$2:B$24,2,FALSE),0)</f>
        <v>0</v>
      </c>
      <c r="W205">
        <f>J205*IFERROR(VLOOKUP(A205,[1]Tørstofindhold!A$2:B$24,2,FALSE),0)</f>
        <v>0</v>
      </c>
      <c r="X205" s="170">
        <f t="shared" si="51"/>
        <v>0</v>
      </c>
      <c r="Y205">
        <f t="shared" si="60"/>
        <v>0</v>
      </c>
      <c r="Z205">
        <f t="shared" si="61"/>
        <v>1</v>
      </c>
    </row>
    <row r="206" spans="1:26" hidden="1" x14ac:dyDescent="0.55000000000000004">
      <c r="A206" s="171" t="str">
        <f t="shared" si="56"/>
        <v>Frugt</v>
      </c>
      <c r="B206" s="171" t="str">
        <f t="shared" si="57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58"/>
        <v>2030</v>
      </c>
      <c r="E206" t="s">
        <v>24</v>
      </c>
      <c r="F206" s="94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16391.280898066685</v>
      </c>
      <c r="G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94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9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79">
        <f t="shared" si="48"/>
        <v>-206932.66175524262</v>
      </c>
      <c r="O206" s="94">
        <f t="shared" si="59"/>
        <v>0</v>
      </c>
      <c r="P206" s="180">
        <f t="shared" si="49"/>
        <v>0</v>
      </c>
      <c r="Q206">
        <f>IFERROR(VLOOKUP(A206,[1]Energiindhold!$A$2:$C$11,3,FALSE),IFERROR(VLOOKUP(A206,[1]Biogasudbytte!$A$2:$B$18,2,FALSE)*[1]Energiindhold!$C$10,0))*O206</f>
        <v>0</v>
      </c>
      <c r="R206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>
        <f>IFERROR(VLOOKUP(A206,[1]Biogasudbytte!$A$2:$B$18,2,FALSE)*[1]Energiindhold!$C$10,0)*J206*IFERROR(VLOOKUP(A206,Biogasanlæg!$F$3:$G$8,2,FALSE),1)</f>
        <v>0</v>
      </c>
      <c r="T206" s="170">
        <f t="shared" si="50"/>
        <v>0</v>
      </c>
      <c r="U206" s="169">
        <f>O206*IFERROR(VLOOKUP(A206,[1]Tørstofindhold!A$2:B$24,2,FALSE),0)</f>
        <v>0</v>
      </c>
      <c r="V206">
        <f>IF(D206=År1,P206,SUM(O206,P206))*IFERROR(VLOOKUP(A206,[1]Tørstofindhold!A$2:B$24,2,FALSE),0)</f>
        <v>0</v>
      </c>
      <c r="W206">
        <f>J206*IFERROR(VLOOKUP(A206,[1]Tørstofindhold!A$2:B$24,2,FALSE),0)</f>
        <v>0</v>
      </c>
      <c r="X206" s="170">
        <f t="shared" si="51"/>
        <v>0</v>
      </c>
      <c r="Y206">
        <f t="shared" si="60"/>
        <v>1</v>
      </c>
      <c r="Z206">
        <f t="shared" si="61"/>
        <v>0</v>
      </c>
    </row>
    <row r="207" spans="1:26" hidden="1" x14ac:dyDescent="0.55000000000000004">
      <c r="A207" s="171" t="str">
        <f t="shared" si="56"/>
        <v>Glycerin</v>
      </c>
      <c r="B207" s="171" t="str">
        <f t="shared" si="57"/>
        <v>Glycerin</v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71">
        <f t="shared" si="58"/>
        <v>2030</v>
      </c>
      <c r="E207" t="s">
        <v>24</v>
      </c>
      <c r="F207" s="94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94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9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79">
        <f t="shared" si="48"/>
        <v>-28548.400000000001</v>
      </c>
      <c r="O207" s="94">
        <f t="shared" si="59"/>
        <v>0</v>
      </c>
      <c r="P207" s="180">
        <f t="shared" si="49"/>
        <v>28548.400000000001</v>
      </c>
      <c r="Q207">
        <f>IFERROR(VLOOKUP(A207,[1]Energiindhold!$A$2:$C$11,3,FALSE),IFERROR(VLOOKUP(A207,[1]Biogasudbytte!$A$2:$B$18,2,FALSE)*[1]Energiindhold!$C$10,0))*O207</f>
        <v>0</v>
      </c>
      <c r="R20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>
        <f>IFERROR(VLOOKUP(A207,[1]Biogasudbytte!$A$2:$B$18,2,FALSE)*[1]Energiindhold!$C$10,0)*J207*IFERROR(VLOOKUP(A207,Biogasanlæg!$F$3:$G$8,2,FALSE),1)</f>
        <v>0.43389639740160008</v>
      </c>
      <c r="T207" s="170">
        <f t="shared" si="50"/>
        <v>0</v>
      </c>
      <c r="U207" s="169">
        <f>O207*IFERROR(VLOOKUP(A207,[1]Tørstofindhold!A$2:B$24,2,FALSE),0)</f>
        <v>0</v>
      </c>
      <c r="V207">
        <f>IF(D207=År1,P207,SUM(O207,P207))*IFERROR(VLOOKUP(A207,[1]Tørstofindhold!A$2:B$24,2,FALSE),0)</f>
        <v>25693.56</v>
      </c>
      <c r="W207">
        <f>J207*IFERROR(VLOOKUP(A207,[1]Tørstofindhold!A$2:B$24,2,FALSE),0)</f>
        <v>25693.56</v>
      </c>
      <c r="X207" s="170">
        <f t="shared" si="51"/>
        <v>0</v>
      </c>
      <c r="Y207">
        <f t="shared" si="60"/>
        <v>1</v>
      </c>
      <c r="Z207">
        <f t="shared" si="61"/>
        <v>0</v>
      </c>
    </row>
    <row r="208" spans="1:26" hidden="1" x14ac:dyDescent="0.55000000000000004">
      <c r="A208" s="171" t="str">
        <f t="shared" si="56"/>
        <v>Græs</v>
      </c>
      <c r="B208" s="171" t="str">
        <f t="shared" si="57"/>
        <v>Græs og urter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58"/>
        <v>2030</v>
      </c>
      <c r="E208" t="s">
        <v>24</v>
      </c>
      <c r="F208" s="94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2198776.4550645952</v>
      </c>
      <c r="G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1458357.2726296766</v>
      </c>
      <c r="H20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94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9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79">
        <f t="shared" si="48"/>
        <v>740419.18243491859</v>
      </c>
      <c r="O208" s="94">
        <f t="shared" si="59"/>
        <v>740419.18243491859</v>
      </c>
      <c r="P208" s="180">
        <f t="shared" si="49"/>
        <v>0</v>
      </c>
      <c r="Q208">
        <f>IFERROR(VLOOKUP(A208,[1]Energiindhold!$A$2:$C$11,3,FALSE),IFERROR(VLOOKUP(A208,[1]Biogasudbytte!$A$2:$B$18,2,FALSE)*[1]Energiindhold!$C$10,0))*O208</f>
        <v>1.3622787432824459</v>
      </c>
      <c r="R20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1.3622787432824459</v>
      </c>
      <c r="S208">
        <f>IFERROR(VLOOKUP(A208,[1]Biogasudbytte!$A$2:$B$18,2,FALSE)*[1]Energiindhold!$C$10,0)*J208*IFERROR(VLOOKUP(A208,Biogasanlæg!$F$3:$G$8,2,FALSE),1)</f>
        <v>0</v>
      </c>
      <c r="T208" s="170">
        <f t="shared" si="50"/>
        <v>1.3622787432824459</v>
      </c>
      <c r="U208" s="169">
        <f>O208*IFERROR(VLOOKUP(A208,[1]Tørstofindhold!A$2:B$24,2,FALSE),0)</f>
        <v>207317.37108177724</v>
      </c>
      <c r="V208">
        <f>IF(D208=År1,P208,SUM(O208,P208))*IFERROR(VLOOKUP(A208,[1]Tørstofindhold!A$2:B$24,2,FALSE),0)</f>
        <v>207317.37108177724</v>
      </c>
      <c r="W208">
        <f>J208*IFERROR(VLOOKUP(A208,[1]Tørstofindhold!A$2:B$24,2,FALSE),0)</f>
        <v>0</v>
      </c>
      <c r="X208" s="170">
        <f t="shared" si="51"/>
        <v>207317.37108177724</v>
      </c>
      <c r="Y208">
        <f t="shared" si="60"/>
        <v>0</v>
      </c>
      <c r="Z208">
        <f t="shared" si="61"/>
        <v>1</v>
      </c>
    </row>
    <row r="209" spans="1:26" hidden="1" x14ac:dyDescent="0.55000000000000004">
      <c r="A209" s="171" t="str">
        <f t="shared" si="56"/>
        <v>Græsprotein</v>
      </c>
      <c r="B209" s="171" t="str">
        <f t="shared" si="57"/>
        <v/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71">
        <f t="shared" si="58"/>
        <v>2030</v>
      </c>
      <c r="E209" t="s">
        <v>24</v>
      </c>
      <c r="F209" s="94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94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9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79">
        <f t="shared" si="48"/>
        <v>0</v>
      </c>
      <c r="O209" s="94">
        <f t="shared" si="59"/>
        <v>0</v>
      </c>
      <c r="P209" s="180">
        <f t="shared" si="49"/>
        <v>0</v>
      </c>
      <c r="Q209">
        <f>IFERROR(VLOOKUP(A209,[1]Energiindhold!$A$2:$C$11,3,FALSE),IFERROR(VLOOKUP(A209,[1]Biogasudbytte!$A$2:$B$18,2,FALSE)*[1]Energiindhold!$C$10,0))*O209</f>
        <v>0</v>
      </c>
      <c r="R209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>
        <f>IFERROR(VLOOKUP(A209,[1]Biogasudbytte!$A$2:$B$18,2,FALSE)*[1]Energiindhold!$C$10,0)*J209*IFERROR(VLOOKUP(A209,Biogasanlæg!$F$3:$G$8,2,FALSE),1)</f>
        <v>0</v>
      </c>
      <c r="T209" s="170">
        <f t="shared" si="50"/>
        <v>0</v>
      </c>
      <c r="U209" s="169">
        <f>O209*IFERROR(VLOOKUP(A209,[1]Tørstofindhold!A$2:B$24,2,FALSE),0)</f>
        <v>0</v>
      </c>
      <c r="V209">
        <f>IF(D209=År1,P209,SUM(O209,P209))*IFERROR(VLOOKUP(A209,[1]Tørstofindhold!A$2:B$24,2,FALSE),0)</f>
        <v>0</v>
      </c>
      <c r="W209">
        <f>J209*IFERROR(VLOOKUP(A209,[1]Tørstofindhold!A$2:B$24,2,FALSE),0)</f>
        <v>0</v>
      </c>
      <c r="X209" s="170">
        <f t="shared" si="51"/>
        <v>0</v>
      </c>
      <c r="Y209">
        <f t="shared" si="60"/>
        <v>0</v>
      </c>
      <c r="Z209">
        <f t="shared" si="61"/>
        <v>0</v>
      </c>
    </row>
    <row r="210" spans="1:26" hidden="1" x14ac:dyDescent="0.55000000000000004">
      <c r="A210" s="171" t="str">
        <f t="shared" si="56"/>
        <v>Grøntsager</v>
      </c>
      <c r="B210" s="171" t="str">
        <f t="shared" si="57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58"/>
        <v>2030</v>
      </c>
      <c r="E210" t="s">
        <v>24</v>
      </c>
      <c r="F210" s="94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99364.334403430083</v>
      </c>
      <c r="G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94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9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79">
        <f t="shared" si="48"/>
        <v>-134538.1107966149</v>
      </c>
      <c r="O210" s="94">
        <f t="shared" si="59"/>
        <v>0</v>
      </c>
      <c r="P210" s="180">
        <f t="shared" si="49"/>
        <v>0</v>
      </c>
      <c r="Q210">
        <f>IFERROR(VLOOKUP(A210,[1]Energiindhold!$A$2:$C$11,3,FALSE),IFERROR(VLOOKUP(A210,[1]Biogasudbytte!$A$2:$B$18,2,FALSE)*[1]Energiindhold!$C$10,0))*O210</f>
        <v>0</v>
      </c>
      <c r="R21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>
        <f>IFERROR(VLOOKUP(A210,[1]Biogasudbytte!$A$2:$B$18,2,FALSE)*[1]Energiindhold!$C$10,0)*J210*IFERROR(VLOOKUP(A210,Biogasanlæg!$F$3:$G$8,2,FALSE),1)</f>
        <v>0</v>
      </c>
      <c r="T210" s="170">
        <f t="shared" si="50"/>
        <v>0</v>
      </c>
      <c r="U210" s="169">
        <f>O210*IFERROR(VLOOKUP(A210,[1]Tørstofindhold!A$2:B$24,2,FALSE),0)</f>
        <v>0</v>
      </c>
      <c r="V210">
        <f>IF(D210=År1,P210,SUM(O210,P210))*IFERROR(VLOOKUP(A210,[1]Tørstofindhold!A$2:B$24,2,FALSE),0)</f>
        <v>0</v>
      </c>
      <c r="W210">
        <f>J210*IFERROR(VLOOKUP(A210,[1]Tørstofindhold!A$2:B$24,2,FALSE),0)</f>
        <v>0</v>
      </c>
      <c r="X210" s="170">
        <f t="shared" si="51"/>
        <v>0</v>
      </c>
      <c r="Y210">
        <f t="shared" si="60"/>
        <v>1</v>
      </c>
      <c r="Z210">
        <f t="shared" si="61"/>
        <v>0</v>
      </c>
    </row>
    <row r="211" spans="1:26" hidden="1" x14ac:dyDescent="0.55000000000000004">
      <c r="A211" s="171" t="str">
        <f t="shared" si="56"/>
        <v>Halm</v>
      </c>
      <c r="B211" s="171" t="str">
        <f t="shared" si="57"/>
        <v>Halm og strå</v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71">
        <f t="shared" si="58"/>
        <v>2030</v>
      </c>
      <c r="E211" t="s">
        <v>24</v>
      </c>
      <c r="F211" s="94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1338955.2191121718</v>
      </c>
      <c r="G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92128.125779914451</v>
      </c>
      <c r="H211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99919.118195708812</v>
      </c>
      <c r="I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94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1146907.9751365485</v>
      </c>
      <c r="M211" s="9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79">
        <f t="shared" si="48"/>
        <v>0</v>
      </c>
      <c r="O211" s="94">
        <f t="shared" si="59"/>
        <v>0</v>
      </c>
      <c r="P211" s="180">
        <f t="shared" si="49"/>
        <v>1146907.9751365485</v>
      </c>
      <c r="Q211">
        <f>IFERROR(VLOOKUP(A211,[1]Energiindhold!$A$2:$C$11,3,FALSE),IFERROR(VLOOKUP(A211,[1]Biogasudbytte!$A$2:$B$18,2,FALSE)*[1]Energiindhold!$C$10,0))*O211</f>
        <v>0</v>
      </c>
      <c r="R211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11.854218719820096</v>
      </c>
      <c r="S211">
        <f>IFERROR(VLOOKUP(A211,[1]Biogasudbytte!$A$2:$B$18,2,FALSE)*[1]Energiindhold!$C$10,0)*J211*IFERROR(VLOOKUP(A211,Biogasanlæg!$F$3:$G$8,2,FALSE),1)</f>
        <v>0</v>
      </c>
      <c r="T211" s="170">
        <f t="shared" si="50"/>
        <v>11.854218719820096</v>
      </c>
      <c r="U211" s="169">
        <f>O211*IFERROR(VLOOKUP(A211,[1]Tørstofindhold!A$2:B$24,2,FALSE),0)</f>
        <v>0</v>
      </c>
      <c r="V211">
        <f>IF(D211=År1,P211,SUM(O211,P211))*IFERROR(VLOOKUP(A211,[1]Tørstofindhold!A$2:B$24,2,FALSE),0)</f>
        <v>974871.77886606625</v>
      </c>
      <c r="W211">
        <f>J211*IFERROR(VLOOKUP(A211,[1]Tørstofindhold!A$2:B$24,2,FALSE),0)</f>
        <v>0</v>
      </c>
      <c r="X211" s="170">
        <f t="shared" si="51"/>
        <v>974871.77886606625</v>
      </c>
      <c r="Y211">
        <f t="shared" si="60"/>
        <v>0</v>
      </c>
      <c r="Z211">
        <f t="shared" si="61"/>
        <v>0</v>
      </c>
    </row>
    <row r="212" spans="1:26" hidden="1" x14ac:dyDescent="0.55000000000000004">
      <c r="A212" s="171" t="str">
        <f t="shared" si="56"/>
        <v>Have/parkaffald</v>
      </c>
      <c r="B212" s="171" t="str">
        <f t="shared" si="57"/>
        <v>Bionedbrydeligt affald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58"/>
        <v>2030</v>
      </c>
      <c r="E212" t="s">
        <v>24</v>
      </c>
      <c r="F212" s="94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94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9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79">
        <f t="shared" si="48"/>
        <v>0</v>
      </c>
      <c r="O212" s="94">
        <f t="shared" si="59"/>
        <v>0</v>
      </c>
      <c r="P212" s="180">
        <f t="shared" si="49"/>
        <v>456074.89013160887</v>
      </c>
      <c r="Q212">
        <f>IFERROR(VLOOKUP(A212,[1]Energiindhold!$A$2:$C$11,3,FALSE),IFERROR(VLOOKUP(A212,[1]Biogasudbytte!$A$2:$B$18,2,FALSE)*[1]Energiindhold!$C$10,0))*O212</f>
        <v>0</v>
      </c>
      <c r="R21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>
        <f>IFERROR(VLOOKUP(A212,[1]Biogasudbytte!$A$2:$B$18,2,FALSE)*[1]Energiindhold!$C$10,0)*J212*IFERROR(VLOOKUP(A212,Biogasanlæg!$F$3:$G$8,2,FALSE),1)</f>
        <v>0.59099511351069822</v>
      </c>
      <c r="T212" s="170">
        <f t="shared" si="50"/>
        <v>1.9286749755774255</v>
      </c>
      <c r="U212" s="169">
        <f>O212*IFERROR(VLOOKUP(A212,[1]Tørstofindhold!A$2:B$24,2,FALSE),0)</f>
        <v>0</v>
      </c>
      <c r="V212">
        <f>IF(D212=År1,P212,SUM(O212,P212))*IFERROR(VLOOKUP(A212,[1]Tørstofindhold!A$2:B$24,2,FALSE),0)</f>
        <v>136822.46703948267</v>
      </c>
      <c r="W212">
        <f>J212*IFERROR(VLOOKUP(A212,[1]Tørstofindhold!A$2:B$24,2,FALSE),0)</f>
        <v>104411.79342030037</v>
      </c>
      <c r="X212" s="170">
        <f t="shared" si="51"/>
        <v>32410.6736191823</v>
      </c>
      <c r="Y212">
        <f t="shared" si="60"/>
        <v>0</v>
      </c>
      <c r="Z212">
        <f t="shared" si="61"/>
        <v>0</v>
      </c>
    </row>
    <row r="213" spans="1:26" hidden="1" x14ac:dyDescent="0.55000000000000004">
      <c r="A213" s="171" t="str">
        <f t="shared" si="56"/>
        <v>Import af foder</v>
      </c>
      <c r="B213" s="171" t="str">
        <f t="shared" si="57"/>
        <v/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71">
        <f t="shared" si="58"/>
        <v>2030</v>
      </c>
      <c r="E213" t="s">
        <v>24</v>
      </c>
      <c r="F213" s="94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575400.46112831845</v>
      </c>
      <c r="H213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94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9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79">
        <f t="shared" si="48"/>
        <v>-575400.46112831845</v>
      </c>
      <c r="O213" s="94">
        <f t="shared" si="59"/>
        <v>0</v>
      </c>
      <c r="P213" s="180">
        <f t="shared" si="49"/>
        <v>0</v>
      </c>
      <c r="Q213">
        <f>IFERROR(VLOOKUP(A213,[1]Energiindhold!$A$2:$C$11,3,FALSE),IFERROR(VLOOKUP(A213,[1]Biogasudbytte!$A$2:$B$18,2,FALSE)*[1]Energiindhold!$C$10,0))*O213</f>
        <v>0</v>
      </c>
      <c r="R213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>
        <f>IFERROR(VLOOKUP(A213,[1]Biogasudbytte!$A$2:$B$18,2,FALSE)*[1]Energiindhold!$C$10,0)*J213*IFERROR(VLOOKUP(A213,Biogasanlæg!$F$3:$G$8,2,FALSE),1)</f>
        <v>0</v>
      </c>
      <c r="T213" s="170">
        <f t="shared" si="50"/>
        <v>0</v>
      </c>
      <c r="U213" s="169">
        <f>O213*IFERROR(VLOOKUP(A213,[1]Tørstofindhold!A$2:B$24,2,FALSE),0)</f>
        <v>0</v>
      </c>
      <c r="V213">
        <f>IF(D213=År1,P213,SUM(O213,P213))*IFERROR(VLOOKUP(A213,[1]Tørstofindhold!A$2:B$24,2,FALSE),0)</f>
        <v>0</v>
      </c>
      <c r="W213">
        <f>J213*IFERROR(VLOOKUP(A213,[1]Tørstofindhold!A$2:B$24,2,FALSE),0)</f>
        <v>0</v>
      </c>
      <c r="X213" s="170">
        <f t="shared" si="51"/>
        <v>0</v>
      </c>
      <c r="Y213">
        <f t="shared" si="60"/>
        <v>1</v>
      </c>
      <c r="Z213">
        <f t="shared" si="61"/>
        <v>0</v>
      </c>
    </row>
    <row r="214" spans="1:26" hidden="1" x14ac:dyDescent="0.55000000000000004">
      <c r="A214" s="171" t="str">
        <f t="shared" si="56"/>
        <v>Industriaffald</v>
      </c>
      <c r="B214" s="171" t="str">
        <f t="shared" si="57"/>
        <v>Bionedbrydeligt affald</v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71">
        <f t="shared" si="58"/>
        <v>2030</v>
      </c>
      <c r="E214" t="s">
        <v>24</v>
      </c>
      <c r="F214" s="94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201909.85062896684</v>
      </c>
      <c r="G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94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9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79">
        <f t="shared" si="48"/>
        <v>201909.85062896684</v>
      </c>
      <c r="O214" s="94">
        <f t="shared" si="59"/>
        <v>201909.85062896684</v>
      </c>
      <c r="P214" s="180">
        <f t="shared" si="49"/>
        <v>0</v>
      </c>
      <c r="Q214">
        <f>IFERROR(VLOOKUP(A214,[1]Energiindhold!$A$2:$C$11,3,FALSE),IFERROR(VLOOKUP(A214,[1]Biogasudbytte!$A$2:$B$18,2,FALSE)*[1]Energiindhold!$C$10,0))*O214</f>
        <v>0.87490163105589525</v>
      </c>
      <c r="R214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0.87490163105589525</v>
      </c>
      <c r="S214">
        <f>IFERROR(VLOOKUP(A214,[1]Biogasudbytte!$A$2:$B$18,2,FALSE)*[1]Energiindhold!$C$10,0)*J214*IFERROR(VLOOKUP(A214,Biogasanlæg!$F$3:$G$8,2,FALSE),1)</f>
        <v>0</v>
      </c>
      <c r="T214" s="170">
        <f t="shared" si="50"/>
        <v>0.87490163105589525</v>
      </c>
      <c r="U214" s="169">
        <f>O214*IFERROR(VLOOKUP(A214,[1]Tørstofindhold!A$2:B$24,2,FALSE),0)</f>
        <v>84802.137264166071</v>
      </c>
      <c r="V214">
        <f>IF(D214=År1,P214,SUM(O214,P214))*IFERROR(VLOOKUP(A214,[1]Tørstofindhold!A$2:B$24,2,FALSE),0)</f>
        <v>84802.137264166071</v>
      </c>
      <c r="W214">
        <f>J214*IFERROR(VLOOKUP(A214,[1]Tørstofindhold!A$2:B$24,2,FALSE),0)</f>
        <v>0</v>
      </c>
      <c r="X214" s="170">
        <f t="shared" si="51"/>
        <v>84802.137264166071</v>
      </c>
      <c r="Y214">
        <f t="shared" si="60"/>
        <v>0</v>
      </c>
      <c r="Z214">
        <f t="shared" si="61"/>
        <v>1</v>
      </c>
    </row>
    <row r="215" spans="1:26" hidden="1" x14ac:dyDescent="0.55000000000000004">
      <c r="A215" s="171" t="str">
        <f t="shared" si="56"/>
        <v>Juletræer</v>
      </c>
      <c r="B215" s="171" t="str">
        <f t="shared" si="57"/>
        <v/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71">
        <f t="shared" si="58"/>
        <v>2030</v>
      </c>
      <c r="E215" t="s">
        <v>24</v>
      </c>
      <c r="F215" s="94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151266.45400737421</v>
      </c>
      <c r="G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94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9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79">
        <f t="shared" si="48"/>
        <v>151266.45400737421</v>
      </c>
      <c r="O215" s="94">
        <f t="shared" si="59"/>
        <v>0</v>
      </c>
      <c r="P215" s="180">
        <f t="shared" si="49"/>
        <v>0</v>
      </c>
      <c r="Q215">
        <f>IFERROR(VLOOKUP(A215,[1]Energiindhold!$A$2:$C$11,3,FALSE),IFERROR(VLOOKUP(A215,[1]Biogasudbytte!$A$2:$B$18,2,FALSE)*[1]Energiindhold!$C$10,0))*O215</f>
        <v>0</v>
      </c>
      <c r="R215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>
        <f>IFERROR(VLOOKUP(A215,[1]Biogasudbytte!$A$2:$B$18,2,FALSE)*[1]Energiindhold!$C$10,0)*J215*IFERROR(VLOOKUP(A215,Biogasanlæg!$F$3:$G$8,2,FALSE),1)</f>
        <v>0</v>
      </c>
      <c r="T215" s="170">
        <f t="shared" si="50"/>
        <v>0</v>
      </c>
      <c r="U215" s="169">
        <f>O215*IFERROR(VLOOKUP(A215,[1]Tørstofindhold!A$2:B$24,2,FALSE),0)</f>
        <v>0</v>
      </c>
      <c r="V215">
        <f>IF(D215=År1,P215,SUM(O215,P215))*IFERROR(VLOOKUP(A215,[1]Tørstofindhold!A$2:B$24,2,FALSE),0)</f>
        <v>0</v>
      </c>
      <c r="W215">
        <f>J215*IFERROR(VLOOKUP(A215,[1]Tørstofindhold!A$2:B$24,2,FALSE),0)</f>
        <v>0</v>
      </c>
      <c r="X215" s="170">
        <f t="shared" si="51"/>
        <v>0</v>
      </c>
      <c r="Y215">
        <f t="shared" si="60"/>
        <v>0</v>
      </c>
      <c r="Z215">
        <f t="shared" si="61"/>
        <v>1</v>
      </c>
    </row>
    <row r="216" spans="1:26" hidden="1" x14ac:dyDescent="0.55000000000000004">
      <c r="A216" s="171" t="str">
        <f t="shared" si="56"/>
        <v>Kartofler</v>
      </c>
      <c r="B216" s="171" t="str">
        <f t="shared" si="57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58"/>
        <v>2030</v>
      </c>
      <c r="E216" t="s">
        <v>24</v>
      </c>
      <c r="F216" s="94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120819.30729817749</v>
      </c>
      <c r="G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94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9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79">
        <f t="shared" ref="N216:N281" si="62">F216-SUM(G216:M216)</f>
        <v>13858.892658960933</v>
      </c>
      <c r="O216" s="94">
        <f t="shared" si="59"/>
        <v>0</v>
      </c>
      <c r="P216" s="180">
        <f t="shared" ref="P216:P281" si="63">SUM(J216,L216)</f>
        <v>0</v>
      </c>
      <c r="Q216">
        <f>IFERROR(VLOOKUP(A216,[1]Energiindhold!$A$2:$C$11,3,FALSE),IFERROR(VLOOKUP(A216,[1]Biogasudbytte!$A$2:$B$18,2,FALSE)*[1]Energiindhold!$C$10,0))*O216</f>
        <v>0</v>
      </c>
      <c r="R216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>
        <f>IFERROR(VLOOKUP(A216,[1]Biogasudbytte!$A$2:$B$18,2,FALSE)*[1]Energiindhold!$C$10,0)*J216*IFERROR(VLOOKUP(A216,Biogasanlæg!$F$3:$G$8,2,FALSE),1)</f>
        <v>0</v>
      </c>
      <c r="T216" s="170">
        <f t="shared" ref="T216:T281" si="64">R216-S216</f>
        <v>0</v>
      </c>
      <c r="U216" s="169">
        <f>O216*IFERROR(VLOOKUP(A216,[1]Tørstofindhold!A$2:B$24,2,FALSE),0)</f>
        <v>0</v>
      </c>
      <c r="V216">
        <f>IF(D216=År1,P216,SUM(O216,P216))*IFERROR(VLOOKUP(A216,[1]Tørstofindhold!A$2:B$24,2,FALSE),0)</f>
        <v>0</v>
      </c>
      <c r="W216">
        <f>J216*IFERROR(VLOOKUP(A216,[1]Tørstofindhold!A$2:B$24,2,FALSE),0)</f>
        <v>0</v>
      </c>
      <c r="X216" s="170">
        <f t="shared" ref="X216:X281" si="65">V216-W216</f>
        <v>0</v>
      </c>
      <c r="Y216">
        <f t="shared" si="60"/>
        <v>0</v>
      </c>
      <c r="Z216">
        <f t="shared" si="61"/>
        <v>1</v>
      </c>
    </row>
    <row r="217" spans="1:26" hidden="1" x14ac:dyDescent="0.55000000000000004">
      <c r="A217" s="171" t="str">
        <f t="shared" si="56"/>
        <v>Korn</v>
      </c>
      <c r="B217" s="171" t="str">
        <f t="shared" si="57"/>
        <v>Halm og strå</v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71">
        <f t="shared" si="58"/>
        <v>2030</v>
      </c>
      <c r="E217" t="s">
        <v>24</v>
      </c>
      <c r="F217" s="94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2364100.9929543477</v>
      </c>
      <c r="G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700622.1199230341</v>
      </c>
      <c r="H21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94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9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79">
        <f>F217-SUM(G217:M217)</f>
        <v>1407244.0335659378</v>
      </c>
      <c r="O217" s="94">
        <f t="shared" si="59"/>
        <v>1407244.0335659378</v>
      </c>
      <c r="P217" s="180">
        <f t="shared" si="63"/>
        <v>0</v>
      </c>
      <c r="Q217">
        <f>IFERROR(VLOOKUP(A217,[1]Energiindhold!$A$2:$C$11,3,FALSE),IFERROR(VLOOKUP(A217,[1]Biogasudbytte!$A$2:$B$18,2,FALSE)*[1]Energiindhold!$C$10,0))*O217</f>
        <v>4.8196138007986384</v>
      </c>
      <c r="R21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4.8196138007986384</v>
      </c>
      <c r="S217">
        <f>IFERROR(VLOOKUP(A217,[1]Biogasudbytte!$A$2:$B$18,2,FALSE)*[1]Energiindhold!$C$10,0)*J217*IFERROR(VLOOKUP(A217,Biogasanlæg!$F$3:$G$8,2,FALSE),1)</f>
        <v>0</v>
      </c>
      <c r="T217" s="170">
        <f t="shared" si="64"/>
        <v>4.8196138007986384</v>
      </c>
      <c r="U217" s="169">
        <f>O217*IFERROR(VLOOKUP(A217,[1]Tørstofindhold!A$2:B$24,2,FALSE),0)</f>
        <v>436245.65040544071</v>
      </c>
      <c r="V217">
        <f>IF(D217=År1,P217,SUM(O217,P217))*IFERROR(VLOOKUP(A217,[1]Tørstofindhold!A$2:B$24,2,FALSE),0)</f>
        <v>436245.65040544071</v>
      </c>
      <c r="W217">
        <f>J217*IFERROR(VLOOKUP(A217,[1]Tørstofindhold!A$2:B$24,2,FALSE),0)</f>
        <v>0</v>
      </c>
      <c r="X217" s="170">
        <f t="shared" si="65"/>
        <v>436245.65040544071</v>
      </c>
      <c r="Y217">
        <f t="shared" si="60"/>
        <v>0</v>
      </c>
      <c r="Z217">
        <f t="shared" si="61"/>
        <v>1</v>
      </c>
    </row>
    <row r="218" spans="1:26" hidden="1" x14ac:dyDescent="0.55000000000000004">
      <c r="A218" s="171" t="str">
        <f t="shared" si="56"/>
        <v>Kunstgødning</v>
      </c>
      <c r="B218" s="171" t="str">
        <f t="shared" si="57"/>
        <v/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71">
        <f t="shared" si="58"/>
        <v>2030</v>
      </c>
      <c r="E218" t="s">
        <v>24</v>
      </c>
      <c r="F218" s="94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94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94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94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94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335173.45257844625</v>
      </c>
      <c r="L218" s="94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9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79">
        <f t="shared" ca="1" si="62"/>
        <v>-335173.45257844625</v>
      </c>
      <c r="O218" s="94">
        <f t="shared" si="59"/>
        <v>0</v>
      </c>
      <c r="P218" s="180">
        <f t="shared" si="63"/>
        <v>0</v>
      </c>
      <c r="Q218">
        <f>IFERROR(VLOOKUP(A218,[1]Energiindhold!$A$2:$C$11,3,FALSE),IFERROR(VLOOKUP(A218,[1]Biogasudbytte!$A$2:$B$18,2,FALSE)*[1]Energiindhold!$C$10,0))*O218</f>
        <v>0</v>
      </c>
      <c r="R21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>
        <f>IFERROR(VLOOKUP(A218,[1]Biogasudbytte!$A$2:$B$18,2,FALSE)*[1]Energiindhold!$C$10,0)*J218*IFERROR(VLOOKUP(A218,Biogasanlæg!$F$3:$G$8,2,FALSE),1)</f>
        <v>0</v>
      </c>
      <c r="T218" s="170">
        <f t="shared" si="64"/>
        <v>0</v>
      </c>
      <c r="U218" s="169">
        <f>O218*IFERROR(VLOOKUP(A218,[1]Tørstofindhold!A$2:B$24,2,FALSE),0)</f>
        <v>0</v>
      </c>
      <c r="V218">
        <f>IF(D218=År1,P218,SUM(O218,P218))*IFERROR(VLOOKUP(A218,[1]Tørstofindhold!A$2:B$24,2,FALSE),0)</f>
        <v>0</v>
      </c>
      <c r="W218">
        <f>J218*IFERROR(VLOOKUP(A218,[1]Tørstofindhold!A$2:B$24,2,FALSE),0)</f>
        <v>0</v>
      </c>
      <c r="X218" s="170">
        <f t="shared" si="65"/>
        <v>0</v>
      </c>
      <c r="Y218">
        <f t="shared" ca="1" si="60"/>
        <v>1</v>
      </c>
      <c r="Z218">
        <f t="shared" ca="1" si="61"/>
        <v>0</v>
      </c>
    </row>
    <row r="219" spans="1:26" hidden="1" x14ac:dyDescent="0.55000000000000004">
      <c r="A219" s="171" t="str">
        <f t="shared" si="56"/>
        <v>Kvæggylle</v>
      </c>
      <c r="B219" s="171" t="str">
        <f t="shared" si="57"/>
        <v>Husdyrgødning</v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71">
        <f t="shared" si="58"/>
        <v>2030</v>
      </c>
      <c r="E219" t="s">
        <v>24</v>
      </c>
      <c r="F219" s="94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94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9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79">
        <f t="shared" si="62"/>
        <v>0</v>
      </c>
      <c r="O219" s="94">
        <f t="shared" si="59"/>
        <v>0</v>
      </c>
      <c r="P219" s="180">
        <f t="shared" si="63"/>
        <v>692091.87949965673</v>
      </c>
      <c r="Q219">
        <f>IFERROR(VLOOKUP(A219,[1]Energiindhold!$A$2:$C$11,3,FALSE),IFERROR(VLOOKUP(A219,[1]Biogasudbytte!$A$2:$B$18,2,FALSE)*[1]Energiindhold!$C$10,0))*O219</f>
        <v>0</v>
      </c>
      <c r="R219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>
        <f>IFERROR(VLOOKUP(A219,[1]Biogasudbytte!$A$2:$B$18,2,FALSE)*[1]Energiindhold!$C$10,0)*J219*IFERROR(VLOOKUP(A219,Biogasanlæg!$F$3:$G$8,2,FALSE),1)</f>
        <v>0.35032998848393127</v>
      </c>
      <c r="T219" s="170">
        <f t="shared" si="64"/>
        <v>0</v>
      </c>
      <c r="U219" s="169">
        <f>O219*IFERROR(VLOOKUP(A219,[1]Tørstofindhold!A$2:B$24,2,FALSE),0)</f>
        <v>0</v>
      </c>
      <c r="V219">
        <f>IF(D219=År1,P219,SUM(O219,P219))*IFERROR(VLOOKUP(A219,[1]Tørstofindhold!A$2:B$24,2,FALSE),0)</f>
        <v>52598.982841973913</v>
      </c>
      <c r="W219">
        <f>J219*IFERROR(VLOOKUP(A219,[1]Tørstofindhold!A$2:B$24,2,FALSE),0)</f>
        <v>52598.982841973913</v>
      </c>
      <c r="X219" s="170">
        <f t="shared" si="65"/>
        <v>0</v>
      </c>
      <c r="Y219">
        <f t="shared" si="60"/>
        <v>0</v>
      </c>
      <c r="Z219">
        <f t="shared" si="61"/>
        <v>0</v>
      </c>
    </row>
    <row r="220" spans="1:26" hidden="1" x14ac:dyDescent="0.55000000000000004">
      <c r="A220" s="171" t="str">
        <f t="shared" si="56"/>
        <v>Mælk til foder</v>
      </c>
      <c r="B220" s="171" t="str">
        <f t="shared" si="57"/>
        <v/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71">
        <f t="shared" si="58"/>
        <v>2030</v>
      </c>
      <c r="E220" t="s">
        <v>24</v>
      </c>
      <c r="F220" s="94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180626.6382614313</v>
      </c>
      <c r="H22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94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9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79">
        <f t="shared" si="62"/>
        <v>-65416.10436783843</v>
      </c>
      <c r="O220" s="94">
        <f t="shared" si="59"/>
        <v>0</v>
      </c>
      <c r="P220" s="180">
        <f t="shared" si="63"/>
        <v>0</v>
      </c>
      <c r="Q220">
        <f>IFERROR(VLOOKUP(A220,[1]Energiindhold!$A$2:$C$11,3,FALSE),IFERROR(VLOOKUP(A220,[1]Biogasudbytte!$A$2:$B$18,2,FALSE)*[1]Energiindhold!$C$10,0))*O220</f>
        <v>0</v>
      </c>
      <c r="R22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>
        <f>IFERROR(VLOOKUP(A220,[1]Biogasudbytte!$A$2:$B$18,2,FALSE)*[1]Energiindhold!$C$10,0)*J220*IFERROR(VLOOKUP(A220,Biogasanlæg!$F$3:$G$8,2,FALSE),1)</f>
        <v>0</v>
      </c>
      <c r="T220" s="170">
        <f t="shared" si="64"/>
        <v>0</v>
      </c>
      <c r="U220" s="169">
        <f>O220*IFERROR(VLOOKUP(A220,[1]Tørstofindhold!A$2:B$24,2,FALSE),0)</f>
        <v>0</v>
      </c>
      <c r="V220">
        <f>IF(D220=År1,P220,SUM(O220,P220))*IFERROR(VLOOKUP(A220,[1]Tørstofindhold!A$2:B$24,2,FALSE),0)</f>
        <v>0</v>
      </c>
      <c r="W220">
        <f>J220*IFERROR(VLOOKUP(A220,[1]Tørstofindhold!A$2:B$24,2,FALSE),0)</f>
        <v>0</v>
      </c>
      <c r="X220" s="170">
        <f t="shared" si="65"/>
        <v>0</v>
      </c>
      <c r="Y220">
        <f t="shared" si="60"/>
        <v>0</v>
      </c>
      <c r="Z220">
        <f t="shared" si="61"/>
        <v>1</v>
      </c>
    </row>
    <row r="221" spans="1:26" hidden="1" x14ac:dyDescent="0.55000000000000004">
      <c r="A221" s="171" t="str">
        <f t="shared" si="56"/>
        <v>Majs</v>
      </c>
      <c r="B221" s="171" t="str">
        <f t="shared" si="57"/>
        <v>Græs og urter</v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71">
        <f t="shared" si="58"/>
        <v>2030</v>
      </c>
      <c r="E221" t="s">
        <v>24</v>
      </c>
      <c r="F221" s="94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382116.33628402097</v>
      </c>
      <c r="G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674147.29351119313</v>
      </c>
      <c r="H221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94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9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79">
        <f t="shared" si="62"/>
        <v>-292030.95722717216</v>
      </c>
      <c r="O221" s="94">
        <f t="shared" si="59"/>
        <v>0</v>
      </c>
      <c r="P221" s="180">
        <f t="shared" si="63"/>
        <v>0</v>
      </c>
      <c r="Q221">
        <f>IFERROR(VLOOKUP(A221,[1]Energiindhold!$A$2:$C$11,3,FALSE),IFERROR(VLOOKUP(A221,[1]Biogasudbytte!$A$2:$B$18,2,FALSE)*[1]Energiindhold!$C$10,0))*O221</f>
        <v>0</v>
      </c>
      <c r="R221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</v>
      </c>
      <c r="S221">
        <f>IFERROR(VLOOKUP(A221,[1]Biogasudbytte!$A$2:$B$18,2,FALSE)*[1]Energiindhold!$C$10,0)*J221*IFERROR(VLOOKUP(A221,Biogasanlæg!$F$3:$G$8,2,FALSE),1)</f>
        <v>0</v>
      </c>
      <c r="T221" s="170">
        <f t="shared" si="64"/>
        <v>0</v>
      </c>
      <c r="U221" s="169">
        <f>O221*IFERROR(VLOOKUP(A221,[1]Tørstofindhold!A$2:B$24,2,FALSE),0)</f>
        <v>0</v>
      </c>
      <c r="V221">
        <f>IF(D221=År1,P221,SUM(O221,P221))*IFERROR(VLOOKUP(A221,[1]Tørstofindhold!A$2:B$24,2,FALSE),0)</f>
        <v>0</v>
      </c>
      <c r="W221">
        <f>J221*IFERROR(VLOOKUP(A221,[1]Tørstofindhold!A$2:B$24,2,FALSE),0)</f>
        <v>0</v>
      </c>
      <c r="X221" s="170">
        <f t="shared" si="65"/>
        <v>0</v>
      </c>
      <c r="Y221">
        <f t="shared" si="60"/>
        <v>0</v>
      </c>
      <c r="Z221">
        <f t="shared" si="61"/>
        <v>1</v>
      </c>
    </row>
    <row r="222" spans="1:26" hidden="1" x14ac:dyDescent="0.55000000000000004">
      <c r="A222" s="171" t="str">
        <f t="shared" si="56"/>
        <v>Mejeriprodukter</v>
      </c>
      <c r="B222" s="171" t="str">
        <f t="shared" si="57"/>
        <v/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71">
        <f t="shared" si="58"/>
        <v>2030</v>
      </c>
      <c r="E222" t="s">
        <v>24</v>
      </c>
      <c r="F222" s="94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94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9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79">
        <f t="shared" si="62"/>
        <v>-186738.89443173329</v>
      </c>
      <c r="O222" s="94">
        <f t="shared" si="59"/>
        <v>0</v>
      </c>
      <c r="P222" s="180">
        <f t="shared" si="63"/>
        <v>0</v>
      </c>
      <c r="Q222">
        <f>IFERROR(VLOOKUP(A222,[1]Energiindhold!$A$2:$C$11,3,FALSE),IFERROR(VLOOKUP(A222,[1]Biogasudbytte!$A$2:$B$18,2,FALSE)*[1]Energiindhold!$C$10,0))*O222</f>
        <v>0</v>
      </c>
      <c r="R22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>
        <f>IFERROR(VLOOKUP(A222,[1]Biogasudbytte!$A$2:$B$18,2,FALSE)*[1]Energiindhold!$C$10,0)*J222*IFERROR(VLOOKUP(A222,Biogasanlæg!$F$3:$G$8,2,FALSE),1)</f>
        <v>0</v>
      </c>
      <c r="T222" s="170">
        <f t="shared" si="64"/>
        <v>0</v>
      </c>
      <c r="U222" s="169">
        <f>O222*IFERROR(VLOOKUP(A222,[1]Tørstofindhold!A$2:B$24,2,FALSE),0)</f>
        <v>0</v>
      </c>
      <c r="V222">
        <f>IF(D222=År1,P222,SUM(O222,P222))*IFERROR(VLOOKUP(A222,[1]Tørstofindhold!A$2:B$24,2,FALSE),0)</f>
        <v>0</v>
      </c>
      <c r="W222">
        <f>J222*IFERROR(VLOOKUP(A222,[1]Tørstofindhold!A$2:B$24,2,FALSE),0)</f>
        <v>0</v>
      </c>
      <c r="X222" s="170">
        <f t="shared" si="65"/>
        <v>0</v>
      </c>
      <c r="Y222">
        <f t="shared" si="60"/>
        <v>0</v>
      </c>
      <c r="Z222">
        <f t="shared" si="61"/>
        <v>1</v>
      </c>
    </row>
    <row r="223" spans="1:26" hidden="1" x14ac:dyDescent="0.55000000000000004">
      <c r="A223" s="171" t="str">
        <f t="shared" si="56"/>
        <v>Muslinger</v>
      </c>
      <c r="B223" s="171" t="str">
        <f t="shared" si="57"/>
        <v>Havbiomasse</v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71">
        <f t="shared" si="58"/>
        <v>2030</v>
      </c>
      <c r="E223" t="s">
        <v>24</v>
      </c>
      <c r="F223" s="94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1.1976865502381491</v>
      </c>
      <c r="G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94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9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79">
        <f t="shared" si="62"/>
        <v>1.1976865502381491</v>
      </c>
      <c r="O223" s="94">
        <f t="shared" si="59"/>
        <v>1.1976865502381491</v>
      </c>
      <c r="P223" s="180">
        <f t="shared" si="63"/>
        <v>0</v>
      </c>
      <c r="Q223">
        <f>IFERROR(VLOOKUP(A223,[1]Energiindhold!$A$2:$C$11,3,FALSE),IFERROR(VLOOKUP(A223,[1]Biogasudbytte!$A$2:$B$18,2,FALSE)*[1]Energiindhold!$C$10,0))*O223</f>
        <v>1.0749236788387388E-6</v>
      </c>
      <c r="R223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1.0749236788387388E-6</v>
      </c>
      <c r="S223">
        <f>IFERROR(VLOOKUP(A223,[1]Biogasudbytte!$A$2:$B$18,2,FALSE)*[1]Energiindhold!$C$10,0)*J223*IFERROR(VLOOKUP(A223,Biogasanlæg!$F$3:$G$8,2,FALSE),1)</f>
        <v>0</v>
      </c>
      <c r="T223" s="170">
        <f t="shared" si="64"/>
        <v>1.0749236788387388E-6</v>
      </c>
      <c r="U223" s="169">
        <f>O223*IFERROR(VLOOKUP(A223,[1]Tørstofindhold!A$2:B$24,2,FALSE),0)</f>
        <v>0.17965298253572234</v>
      </c>
      <c r="V223">
        <f>IF(D223=År1,P223,SUM(O223,P223))*IFERROR(VLOOKUP(A223,[1]Tørstofindhold!A$2:B$24,2,FALSE),0)</f>
        <v>0.17965298253572234</v>
      </c>
      <c r="W223">
        <f>J223*IFERROR(VLOOKUP(A223,[1]Tørstofindhold!A$2:B$24,2,FALSE),0)</f>
        <v>0</v>
      </c>
      <c r="X223" s="170">
        <f t="shared" si="65"/>
        <v>0.17965298253572234</v>
      </c>
      <c r="Y223">
        <f t="shared" si="60"/>
        <v>0</v>
      </c>
      <c r="Z223">
        <f t="shared" si="61"/>
        <v>1</v>
      </c>
    </row>
    <row r="224" spans="1:26" hidden="1" x14ac:dyDescent="0.55000000000000004">
      <c r="A224" s="171" t="str">
        <f t="shared" si="56"/>
        <v>Oksekød</v>
      </c>
      <c r="B224" s="171" t="str">
        <f t="shared" si="57"/>
        <v/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71">
        <f t="shared" si="58"/>
        <v>2030</v>
      </c>
      <c r="E224" t="s">
        <v>24</v>
      </c>
      <c r="F224" s="94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94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9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79">
        <f t="shared" si="62"/>
        <v>-34034.772023196034</v>
      </c>
      <c r="O224" s="94">
        <f t="shared" si="59"/>
        <v>0</v>
      </c>
      <c r="P224" s="180">
        <f t="shared" si="63"/>
        <v>0</v>
      </c>
      <c r="Q224">
        <f>IFERROR(VLOOKUP(A224,[1]Energiindhold!$A$2:$C$11,3,FALSE),IFERROR(VLOOKUP(A224,[1]Biogasudbytte!$A$2:$B$18,2,FALSE)*[1]Energiindhold!$C$10,0))*O224</f>
        <v>0</v>
      </c>
      <c r="R224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>
        <f>IFERROR(VLOOKUP(A224,[1]Biogasudbytte!$A$2:$B$18,2,FALSE)*[1]Energiindhold!$C$10,0)*J224*IFERROR(VLOOKUP(A224,Biogasanlæg!$F$3:$G$8,2,FALSE),1)</f>
        <v>0</v>
      </c>
      <c r="T224" s="170">
        <f t="shared" si="64"/>
        <v>0</v>
      </c>
      <c r="U224" s="169">
        <f>O224*IFERROR(VLOOKUP(A224,[1]Tørstofindhold!A$2:B$24,2,FALSE),0)</f>
        <v>0</v>
      </c>
      <c r="V224">
        <f>IF(D224=År1,P224,SUM(O224,P224))*IFERROR(VLOOKUP(A224,[1]Tørstofindhold!A$2:B$24,2,FALSE),0)</f>
        <v>0</v>
      </c>
      <c r="W224">
        <f>J224*IFERROR(VLOOKUP(A224,[1]Tørstofindhold!A$2:B$24,2,FALSE),0)</f>
        <v>0</v>
      </c>
      <c r="X224" s="170">
        <f t="shared" si="65"/>
        <v>0</v>
      </c>
      <c r="Y224">
        <f t="shared" si="60"/>
        <v>0</v>
      </c>
      <c r="Z224">
        <f t="shared" si="61"/>
        <v>1</v>
      </c>
    </row>
    <row r="225" spans="1:26" hidden="1" x14ac:dyDescent="0.55000000000000004">
      <c r="A225" s="171" t="str">
        <f t="shared" si="56"/>
        <v>Øvrige</v>
      </c>
      <c r="B225" s="171" t="str">
        <f t="shared" si="57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58"/>
        <v>2030</v>
      </c>
      <c r="E225" t="s">
        <v>24</v>
      </c>
      <c r="F225" s="94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410761.8079459595</v>
      </c>
      <c r="G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94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9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79">
        <f t="shared" si="62"/>
        <v>410761.8079459595</v>
      </c>
      <c r="O225" s="94">
        <f t="shared" si="59"/>
        <v>0</v>
      </c>
      <c r="P225" s="180">
        <f t="shared" si="63"/>
        <v>0</v>
      </c>
      <c r="Q225">
        <f>IFERROR(VLOOKUP(A225,[1]Energiindhold!$A$2:$C$11,3,FALSE),IFERROR(VLOOKUP(A225,[1]Biogasudbytte!$A$2:$B$18,2,FALSE)*[1]Energiindhold!$C$10,0))*O225</f>
        <v>0</v>
      </c>
      <c r="R225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>
        <f>IFERROR(VLOOKUP(A225,[1]Biogasudbytte!$A$2:$B$18,2,FALSE)*[1]Energiindhold!$C$10,0)*J225*IFERROR(VLOOKUP(A225,Biogasanlæg!$F$3:$G$8,2,FALSE),1)</f>
        <v>0</v>
      </c>
      <c r="T225" s="170">
        <f t="shared" si="64"/>
        <v>0</v>
      </c>
      <c r="U225" s="169">
        <f>O225*IFERROR(VLOOKUP(A225,[1]Tørstofindhold!A$2:B$24,2,FALSE),0)</f>
        <v>0</v>
      </c>
      <c r="V225">
        <f>IF(D225=År1,P225,SUM(O225,P225))*IFERROR(VLOOKUP(A225,[1]Tørstofindhold!A$2:B$24,2,FALSE),0)</f>
        <v>0</v>
      </c>
      <c r="W225">
        <f>J225*IFERROR(VLOOKUP(A225,[1]Tørstofindhold!A$2:B$24,2,FALSE),0)</f>
        <v>0</v>
      </c>
      <c r="X225" s="170">
        <f t="shared" si="65"/>
        <v>0</v>
      </c>
      <c r="Y225">
        <f t="shared" si="60"/>
        <v>0</v>
      </c>
      <c r="Z225">
        <f t="shared" si="61"/>
        <v>1</v>
      </c>
    </row>
    <row r="226" spans="1:26" hidden="1" x14ac:dyDescent="0.55000000000000004">
      <c r="A226" s="171" t="str">
        <f t="shared" si="56"/>
        <v>Pil &amp; poppel</v>
      </c>
      <c r="B226" s="171" t="str">
        <f t="shared" si="57"/>
        <v>Vedmasse</v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71">
        <f t="shared" si="58"/>
        <v>2030</v>
      </c>
      <c r="E226" t="s">
        <v>24</v>
      </c>
      <c r="F226" s="94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39668.631585604686</v>
      </c>
      <c r="G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94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39668.631585604686</v>
      </c>
      <c r="M226" s="9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79">
        <f t="shared" si="62"/>
        <v>0</v>
      </c>
      <c r="O226" s="94">
        <f t="shared" si="59"/>
        <v>0</v>
      </c>
      <c r="P226" s="180">
        <f t="shared" si="63"/>
        <v>39668.631585604686</v>
      </c>
      <c r="Q226">
        <f>IFERROR(VLOOKUP(A226,[1]Energiindhold!$A$2:$C$11,3,FALSE),IFERROR(VLOOKUP(A226,[1]Biogasudbytte!$A$2:$B$18,2,FALSE)*[1]Energiindhold!$C$10,0))*O226</f>
        <v>0</v>
      </c>
      <c r="R226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0.72990282117512606</v>
      </c>
      <c r="S226">
        <f>IFERROR(VLOOKUP(A226,[1]Biogasudbytte!$A$2:$B$18,2,FALSE)*[1]Energiindhold!$C$10,0)*J226*IFERROR(VLOOKUP(A226,Biogasanlæg!$F$3:$G$8,2,FALSE),1)</f>
        <v>0</v>
      </c>
      <c r="T226" s="170">
        <f t="shared" si="64"/>
        <v>0.72990282117512606</v>
      </c>
      <c r="U226" s="169">
        <f>O226*IFERROR(VLOOKUP(A226,[1]Tørstofindhold!A$2:B$24,2,FALSE),0)</f>
        <v>0</v>
      </c>
      <c r="V226">
        <f>IF(D226=År1,P226,SUM(O226,P226))*IFERROR(VLOOKUP(A226,[1]Tørstofindhold!A$2:B$24,2,FALSE),0)</f>
        <v>16462.482108025946</v>
      </c>
      <c r="W226">
        <f>J226*IFERROR(VLOOKUP(A226,[1]Tørstofindhold!A$2:B$24,2,FALSE),0)</f>
        <v>0</v>
      </c>
      <c r="X226" s="170">
        <f t="shared" si="65"/>
        <v>16462.482108025946</v>
      </c>
      <c r="Y226">
        <f t="shared" si="60"/>
        <v>0</v>
      </c>
      <c r="Z226">
        <f t="shared" si="61"/>
        <v>0</v>
      </c>
    </row>
    <row r="227" spans="1:26" hidden="1" x14ac:dyDescent="0.55000000000000004">
      <c r="A227" s="171" t="str">
        <f t="shared" ref="A227:A228" si="66">A179</f>
        <v>Pyrolysegas</v>
      </c>
      <c r="B227" s="171" t="str">
        <f t="shared" ref="B227:B228" si="67">IF(B179&lt;&gt;"",B179,"")</f>
        <v>Pyrolyseprodukter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58"/>
        <v>2030</v>
      </c>
      <c r="E227" t="s">
        <v>24</v>
      </c>
      <c r="F227" s="94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94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9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79">
        <f t="shared" ref="N227:N228" si="68">F227-SUM(G227:M227)</f>
        <v>0</v>
      </c>
      <c r="O227" s="94">
        <f t="shared" si="59"/>
        <v>0</v>
      </c>
      <c r="P227" s="180">
        <f t="shared" ref="P227:P228" si="69">SUM(J227,L227)</f>
        <v>0</v>
      </c>
      <c r="Q227">
        <f>IFERROR(VLOOKUP(A227,[1]Energiindhold!$A$2:$C$11,3,FALSE),IFERROR(VLOOKUP(A227,[1]Biogasudbytte!$A$2:$B$18,2,FALSE)*[1]Energiindhold!$C$10,0))*O227</f>
        <v>0</v>
      </c>
      <c r="R22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>
        <f>IFERROR(VLOOKUP(A227,[1]Biogasudbytte!$A$2:$B$18,2,FALSE)*[1]Energiindhold!$C$10,0)*J227*IFERROR(VLOOKUP(A227,Biogasanlæg!$F$3:$G$8,2,FALSE),1)</f>
        <v>0</v>
      </c>
      <c r="T227" s="170">
        <f t="shared" ref="T227:T228" si="70">R227-S227</f>
        <v>0</v>
      </c>
      <c r="U227" s="169">
        <f>O227*IFERROR(VLOOKUP(A227,[1]Tørstofindhold!A$2:B$24,2,FALSE),0)</f>
        <v>0</v>
      </c>
      <c r="V227">
        <f>IF(D227=År1,P227,SUM(O227,P227))*IFERROR(VLOOKUP(A227,[1]Tørstofindhold!A$2:B$24,2,FALSE),0)</f>
        <v>0</v>
      </c>
      <c r="W227">
        <f>J227*IFERROR(VLOOKUP(A227,[1]Tørstofindhold!A$2:B$24,2,FALSE),0)</f>
        <v>0</v>
      </c>
      <c r="X227" s="170">
        <f t="shared" ref="X227:X228" si="71">V227-W227</f>
        <v>0</v>
      </c>
      <c r="Y227">
        <f t="shared" si="60"/>
        <v>0</v>
      </c>
      <c r="Z227">
        <f t="shared" si="61"/>
        <v>0</v>
      </c>
    </row>
    <row r="228" spans="1:26" hidden="1" x14ac:dyDescent="0.55000000000000004">
      <c r="A228" s="171" t="str">
        <f t="shared" si="66"/>
        <v>Pyrolyseolie</v>
      </c>
      <c r="B228" s="171" t="str">
        <f t="shared" si="67"/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58"/>
        <v>2030</v>
      </c>
      <c r="E228" t="s">
        <v>24</v>
      </c>
      <c r="F228" s="94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94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9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79">
        <f t="shared" si="68"/>
        <v>0</v>
      </c>
      <c r="O228" s="94">
        <f t="shared" si="59"/>
        <v>0</v>
      </c>
      <c r="P228" s="180">
        <f t="shared" si="69"/>
        <v>0</v>
      </c>
      <c r="Q228">
        <f>IFERROR(VLOOKUP(A228,[1]Energiindhold!$A$2:$C$11,3,FALSE),IFERROR(VLOOKUP(A228,[1]Biogasudbytte!$A$2:$B$18,2,FALSE)*[1]Energiindhold!$C$10,0))*O228</f>
        <v>0</v>
      </c>
      <c r="R22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>
        <f>IFERROR(VLOOKUP(A228,[1]Biogasudbytte!$A$2:$B$18,2,FALSE)*[1]Energiindhold!$C$10,0)*J228*IFERROR(VLOOKUP(A228,Biogasanlæg!$F$3:$G$8,2,FALSE),1)</f>
        <v>0</v>
      </c>
      <c r="T228" s="170">
        <f t="shared" si="70"/>
        <v>0</v>
      </c>
      <c r="U228" s="169">
        <f>O228*IFERROR(VLOOKUP(A228,[1]Tørstofindhold!A$2:B$24,2,FALSE),0)</f>
        <v>0</v>
      </c>
      <c r="V228">
        <f>IF(D228=År1,P228,SUM(O228,P228))*IFERROR(VLOOKUP(A228,[1]Tørstofindhold!A$2:B$24,2,FALSE),0)</f>
        <v>0</v>
      </c>
      <c r="W228">
        <f>J228*IFERROR(VLOOKUP(A228,[1]Tørstofindhold!A$2:B$24,2,FALSE),0)</f>
        <v>0</v>
      </c>
      <c r="X228" s="170">
        <f t="shared" si="71"/>
        <v>0</v>
      </c>
      <c r="Y228">
        <f t="shared" si="60"/>
        <v>0</v>
      </c>
      <c r="Z228">
        <f t="shared" si="61"/>
        <v>0</v>
      </c>
    </row>
    <row r="229" spans="1:26" hidden="1" x14ac:dyDescent="0.55000000000000004">
      <c r="A229" s="171" t="str">
        <f t="shared" ref="A229:A274" si="72">A181</f>
        <v>Råmælk</v>
      </c>
      <c r="B229" s="171" t="str">
        <f t="shared" ref="B229:B274" si="73">IF(B181&lt;&gt;"",B181,"")</f>
        <v/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71">
        <f t="shared" si="58"/>
        <v>2030</v>
      </c>
      <c r="E229" t="s">
        <v>24</v>
      </c>
      <c r="F229" s="94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94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9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79">
        <f t="shared" si="62"/>
        <v>346161.09873740864</v>
      </c>
      <c r="O229" s="94">
        <f t="shared" si="59"/>
        <v>0</v>
      </c>
      <c r="P229" s="180">
        <f t="shared" si="63"/>
        <v>0</v>
      </c>
      <c r="Q229">
        <f>IFERROR(VLOOKUP(A229,[1]Energiindhold!$A$2:$C$11,3,FALSE),IFERROR(VLOOKUP(A229,[1]Biogasudbytte!$A$2:$B$18,2,FALSE)*[1]Energiindhold!$C$10,0))*O229</f>
        <v>0</v>
      </c>
      <c r="R229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>
        <f>IFERROR(VLOOKUP(A229,[1]Biogasudbytte!$A$2:$B$18,2,FALSE)*[1]Energiindhold!$C$10,0)*J229*IFERROR(VLOOKUP(A229,Biogasanlæg!$F$3:$G$8,2,FALSE),1)</f>
        <v>0</v>
      </c>
      <c r="T229" s="170">
        <f t="shared" si="64"/>
        <v>0</v>
      </c>
      <c r="U229" s="169">
        <f>O229*IFERROR(VLOOKUP(A229,[1]Tørstofindhold!A$2:B$24,2,FALSE),0)</f>
        <v>0</v>
      </c>
      <c r="V229">
        <f>IF(D229=År1,P229,SUM(O229,P229))*IFERROR(VLOOKUP(A229,[1]Tørstofindhold!A$2:B$24,2,FALSE),0)</f>
        <v>0</v>
      </c>
      <c r="W229">
        <f>J229*IFERROR(VLOOKUP(A229,[1]Tørstofindhold!A$2:B$24,2,FALSE),0)</f>
        <v>0</v>
      </c>
      <c r="X229" s="170">
        <f t="shared" si="65"/>
        <v>0</v>
      </c>
      <c r="Y229">
        <f t="shared" si="60"/>
        <v>0</v>
      </c>
      <c r="Z229">
        <f t="shared" si="61"/>
        <v>1</v>
      </c>
    </row>
    <row r="230" spans="1:26" hidden="1" x14ac:dyDescent="0.55000000000000004">
      <c r="A230" s="171" t="str">
        <f t="shared" si="72"/>
        <v>Raps</v>
      </c>
      <c r="B230" s="171" t="str">
        <f t="shared" si="73"/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58"/>
        <v>2030</v>
      </c>
      <c r="E230" t="s">
        <v>24</v>
      </c>
      <c r="F230" s="94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200297.62873879672</v>
      </c>
      <c r="G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94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94">
        <f>SUMIFS('Forbrug af biomasse'!E:E,'Forbrug af biomasse'!C:C,'Resultat-Produktion &amp; forbrug'!$A230,'Forbrug af biomasse'!D:D,'Resultat-Produktion &amp; forbrug'!$D230,'Forbrug af biomasse'!G:G,1,'Forbrug af biomasse'!B:B,$E230)</f>
        <v>200297.62873879672</v>
      </c>
      <c r="N230" s="179">
        <f t="shared" si="62"/>
        <v>0</v>
      </c>
      <c r="O230" s="94">
        <f t="shared" si="59"/>
        <v>0</v>
      </c>
      <c r="P230" s="180">
        <f t="shared" si="63"/>
        <v>0</v>
      </c>
      <c r="Q230">
        <f>IFERROR(VLOOKUP(A230,[1]Energiindhold!$A$2:$C$11,3,FALSE),IFERROR(VLOOKUP(A230,[1]Biogasudbytte!$A$2:$B$18,2,FALSE)*[1]Energiindhold!$C$10,0))*O230</f>
        <v>0</v>
      </c>
      <c r="R23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>
        <f>IFERROR(VLOOKUP(A230,[1]Biogasudbytte!$A$2:$B$18,2,FALSE)*[1]Energiindhold!$C$10,0)*J230*IFERROR(VLOOKUP(A230,Biogasanlæg!$F$3:$G$8,2,FALSE),1)</f>
        <v>0</v>
      </c>
      <c r="T230" s="170">
        <f t="shared" si="64"/>
        <v>0</v>
      </c>
      <c r="U230" s="169">
        <f>O230*IFERROR(VLOOKUP(A230,[1]Tørstofindhold!A$2:B$24,2,FALSE),0)</f>
        <v>0</v>
      </c>
      <c r="V230">
        <f>IF(D230=År1,P230,SUM(O230,P230))*IFERROR(VLOOKUP(A230,[1]Tørstofindhold!A$2:B$24,2,FALSE),0)</f>
        <v>0</v>
      </c>
      <c r="W230">
        <f>J230*IFERROR(VLOOKUP(A230,[1]Tørstofindhold!A$2:B$24,2,FALSE),0)</f>
        <v>0</v>
      </c>
      <c r="X230" s="170">
        <f t="shared" si="65"/>
        <v>0</v>
      </c>
      <c r="Y230">
        <f t="shared" si="60"/>
        <v>0</v>
      </c>
      <c r="Z230">
        <f t="shared" si="61"/>
        <v>0</v>
      </c>
    </row>
    <row r="231" spans="1:26" hidden="1" x14ac:dyDescent="0.55000000000000004">
      <c r="A231" s="171" t="str">
        <f t="shared" si="72"/>
        <v>Rapskage</v>
      </c>
      <c r="B231" s="171" t="str">
        <f t="shared" si="73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58"/>
        <v>2030</v>
      </c>
      <c r="E231" t="s">
        <v>24</v>
      </c>
      <c r="F231" s="94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100148.81436939836</v>
      </c>
      <c r="G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25514.0464210887</v>
      </c>
      <c r="H231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94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9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79">
        <f t="shared" si="62"/>
        <v>74634.767948309658</v>
      </c>
      <c r="O231" s="94">
        <f t="shared" si="59"/>
        <v>0</v>
      </c>
      <c r="P231" s="180">
        <f t="shared" si="63"/>
        <v>0</v>
      </c>
      <c r="Q231">
        <f>IFERROR(VLOOKUP(A231,[1]Energiindhold!$A$2:$C$11,3,FALSE),IFERROR(VLOOKUP(A231,[1]Biogasudbytte!$A$2:$B$18,2,FALSE)*[1]Energiindhold!$C$10,0))*O231</f>
        <v>0</v>
      </c>
      <c r="R231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>
        <f>IFERROR(VLOOKUP(A231,[1]Biogasudbytte!$A$2:$B$18,2,FALSE)*[1]Energiindhold!$C$10,0)*J231*IFERROR(VLOOKUP(A231,Biogasanlæg!$F$3:$G$8,2,FALSE),1)</f>
        <v>0</v>
      </c>
      <c r="T231" s="170">
        <f t="shared" si="64"/>
        <v>0</v>
      </c>
      <c r="U231" s="169">
        <f>O231*IFERROR(VLOOKUP(A231,[1]Tørstofindhold!A$2:B$24,2,FALSE),0)</f>
        <v>0</v>
      </c>
      <c r="V231">
        <f>IF(D231=År1,P231,SUM(O231,P231))*IFERROR(VLOOKUP(A231,[1]Tørstofindhold!A$2:B$24,2,FALSE),0)</f>
        <v>0</v>
      </c>
      <c r="W231">
        <f>J231*IFERROR(VLOOKUP(A231,[1]Tørstofindhold!A$2:B$24,2,FALSE),0)</f>
        <v>0</v>
      </c>
      <c r="X231" s="170">
        <f t="shared" si="65"/>
        <v>0</v>
      </c>
      <c r="Y231">
        <f t="shared" si="60"/>
        <v>0</v>
      </c>
      <c r="Z231">
        <f t="shared" si="61"/>
        <v>1</v>
      </c>
    </row>
    <row r="232" spans="1:26" hidden="1" x14ac:dyDescent="0.55000000000000004">
      <c r="A232" s="171" t="str">
        <f t="shared" si="72"/>
        <v>Rapsolie</v>
      </c>
      <c r="B232" s="171" t="str">
        <f t="shared" si="73"/>
        <v>Rapsolie</v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71">
        <f t="shared" si="58"/>
        <v>2030</v>
      </c>
      <c r="E232" t="s">
        <v>24</v>
      </c>
      <c r="F232" s="94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64095.241196414951</v>
      </c>
      <c r="G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94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64095.241196414951</v>
      </c>
      <c r="M232" s="9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79">
        <f t="shared" si="62"/>
        <v>0</v>
      </c>
      <c r="O232" s="94">
        <f t="shared" si="59"/>
        <v>0</v>
      </c>
      <c r="P232" s="180">
        <f t="shared" si="63"/>
        <v>64095.241196414951</v>
      </c>
      <c r="Q232">
        <f>IFERROR(VLOOKUP(A232,[1]Energiindhold!$A$2:$C$11,3,FALSE),IFERROR(VLOOKUP(A232,[1]Biogasudbytte!$A$2:$B$18,2,FALSE)*[1]Energiindhold!$C$10,0))*O232</f>
        <v>0</v>
      </c>
      <c r="R23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2.243333441874523</v>
      </c>
      <c r="S232">
        <f>IFERROR(VLOOKUP(A232,[1]Biogasudbytte!$A$2:$B$18,2,FALSE)*[1]Energiindhold!$C$10,0)*J232*IFERROR(VLOOKUP(A232,Biogasanlæg!$F$3:$G$8,2,FALSE),1)</f>
        <v>0</v>
      </c>
      <c r="T232" s="170">
        <f t="shared" si="64"/>
        <v>2.243333441874523</v>
      </c>
      <c r="U232" s="169">
        <f>O232*IFERROR(VLOOKUP(A232,[1]Tørstofindhold!A$2:B$24,2,FALSE),0)</f>
        <v>0</v>
      </c>
      <c r="V232">
        <f>IF(D232=År1,P232,SUM(O232,P232))*IFERROR(VLOOKUP(A232,[1]Tørstofindhold!A$2:B$24,2,FALSE),0)</f>
        <v>0</v>
      </c>
      <c r="W232">
        <f>J232*IFERROR(VLOOKUP(A232,[1]Tørstofindhold!A$2:B$24,2,FALSE),0)</f>
        <v>0</v>
      </c>
      <c r="X232" s="170">
        <f t="shared" si="65"/>
        <v>0</v>
      </c>
      <c r="Y232">
        <f t="shared" si="60"/>
        <v>0</v>
      </c>
      <c r="Z232">
        <f t="shared" si="61"/>
        <v>0</v>
      </c>
    </row>
    <row r="233" spans="1:26" hidden="1" x14ac:dyDescent="0.55000000000000004">
      <c r="A233" s="171" t="str">
        <f t="shared" si="72"/>
        <v>Roer</v>
      </c>
      <c r="B233" s="171" t="str">
        <f t="shared" si="73"/>
        <v>Græs og urter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58"/>
        <v>2030</v>
      </c>
      <c r="E233" t="s">
        <v>24</v>
      </c>
      <c r="F233" s="94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2327318.8289159178</v>
      </c>
      <c r="G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100241.37903515603</v>
      </c>
      <c r="H233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94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9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79">
        <f t="shared" si="62"/>
        <v>2227077.4498807616</v>
      </c>
      <c r="O233" s="94">
        <f t="shared" si="59"/>
        <v>1794004.4501021868</v>
      </c>
      <c r="P233" s="180">
        <f t="shared" si="63"/>
        <v>0</v>
      </c>
      <c r="Q233">
        <f>IFERROR(VLOOKUP(A233,[1]Energiindhold!$A$2:$C$11,3,FALSE),IFERROR(VLOOKUP(A233,[1]Biogasudbytte!$A$2:$B$18,2,FALSE)*[1]Energiindhold!$C$10,0))*O233</f>
        <v>4.8689998377553394</v>
      </c>
      <c r="R233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4.8689998377553394</v>
      </c>
      <c r="S233">
        <f>IFERROR(VLOOKUP(A233,[1]Biogasudbytte!$A$2:$B$18,2,FALSE)*[1]Energiindhold!$C$10,0)*J233*IFERROR(VLOOKUP(A233,Biogasanlæg!$F$3:$G$8,2,FALSE),1)</f>
        <v>0</v>
      </c>
      <c r="T233" s="170">
        <f t="shared" si="64"/>
        <v>4.8689998377553394</v>
      </c>
      <c r="U233" s="169">
        <f>O233*IFERROR(VLOOKUP(A233,[1]Tørstofindhold!A$2:B$24,2,FALSE),0)</f>
        <v>358800.89002043736</v>
      </c>
      <c r="V233">
        <f>IF(D233=År1,P233,SUM(O233,P233))*IFERROR(VLOOKUP(A233,[1]Tørstofindhold!A$2:B$24,2,FALSE),0)</f>
        <v>358800.89002043736</v>
      </c>
      <c r="W233">
        <f>J233*IFERROR(VLOOKUP(A233,[1]Tørstofindhold!A$2:B$24,2,FALSE),0)</f>
        <v>0</v>
      </c>
      <c r="X233" s="170">
        <f t="shared" si="65"/>
        <v>358800.89002043736</v>
      </c>
      <c r="Y233">
        <f t="shared" si="60"/>
        <v>0</v>
      </c>
      <c r="Z233">
        <f t="shared" si="61"/>
        <v>1</v>
      </c>
    </row>
    <row r="234" spans="1:26" hidden="1" x14ac:dyDescent="0.55000000000000004">
      <c r="A234" s="171" t="str">
        <f t="shared" si="72"/>
        <v>Slagteriaffald til andet</v>
      </c>
      <c r="B234" s="171" t="str">
        <f t="shared" si="73"/>
        <v/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71">
        <f t="shared" si="58"/>
        <v>2030</v>
      </c>
      <c r="E234" t="s">
        <v>24</v>
      </c>
      <c r="F234" s="94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21912.353272016309</v>
      </c>
      <c r="G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94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9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79">
        <f t="shared" si="62"/>
        <v>21912.353272016309</v>
      </c>
      <c r="O234" s="94">
        <f t="shared" si="59"/>
        <v>0</v>
      </c>
      <c r="P234" s="180">
        <f t="shared" si="63"/>
        <v>0</v>
      </c>
      <c r="Q234">
        <f>IFERROR(VLOOKUP(A234,[1]Energiindhold!$A$2:$C$11,3,FALSE),IFERROR(VLOOKUP(A234,[1]Biogasudbytte!$A$2:$B$18,2,FALSE)*[1]Energiindhold!$C$10,0))*O234</f>
        <v>0</v>
      </c>
      <c r="R234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>
        <f>IFERROR(VLOOKUP(A234,[1]Biogasudbytte!$A$2:$B$18,2,FALSE)*[1]Energiindhold!$C$10,0)*J234*IFERROR(VLOOKUP(A234,Biogasanlæg!$F$3:$G$8,2,FALSE),1)</f>
        <v>0</v>
      </c>
      <c r="T234" s="170">
        <f t="shared" si="64"/>
        <v>0</v>
      </c>
      <c r="U234" s="169">
        <f>O234*IFERROR(VLOOKUP(A234,[1]Tørstofindhold!A$2:B$24,2,FALSE),0)</f>
        <v>0</v>
      </c>
      <c r="V234">
        <f>IF(D234=År1,P234,SUM(O234,P234))*IFERROR(VLOOKUP(A234,[1]Tørstofindhold!A$2:B$24,2,FALSE),0)</f>
        <v>0</v>
      </c>
      <c r="W234">
        <f>J234*IFERROR(VLOOKUP(A234,[1]Tørstofindhold!A$2:B$24,2,FALSE),0)</f>
        <v>0</v>
      </c>
      <c r="X234" s="170">
        <f t="shared" si="65"/>
        <v>0</v>
      </c>
      <c r="Y234">
        <f t="shared" si="60"/>
        <v>0</v>
      </c>
      <c r="Z234">
        <f t="shared" si="61"/>
        <v>1</v>
      </c>
    </row>
    <row r="235" spans="1:26" hidden="1" x14ac:dyDescent="0.55000000000000004">
      <c r="A235" s="171" t="str">
        <f t="shared" si="72"/>
        <v>Slagteriaffald til foder</v>
      </c>
      <c r="B235" s="171" t="str">
        <f t="shared" si="73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58"/>
        <v>2030</v>
      </c>
      <c r="E235" t="s">
        <v>24</v>
      </c>
      <c r="F235" s="94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17658.552594451528</v>
      </c>
      <c r="G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4697.1466214556613</v>
      </c>
      <c r="H235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94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9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79">
        <f t="shared" si="62"/>
        <v>12961.405972995868</v>
      </c>
      <c r="O235" s="94">
        <f t="shared" si="59"/>
        <v>0</v>
      </c>
      <c r="P235" s="180">
        <f t="shared" si="63"/>
        <v>0</v>
      </c>
      <c r="Q235">
        <f>IFERROR(VLOOKUP(A235,[1]Energiindhold!$A$2:$C$11,3,FALSE),IFERROR(VLOOKUP(A235,[1]Biogasudbytte!$A$2:$B$18,2,FALSE)*[1]Energiindhold!$C$10,0))*O235</f>
        <v>0</v>
      </c>
      <c r="R235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>
        <f>IFERROR(VLOOKUP(A235,[1]Biogasudbytte!$A$2:$B$18,2,FALSE)*[1]Energiindhold!$C$10,0)*J235*IFERROR(VLOOKUP(A235,Biogasanlæg!$F$3:$G$8,2,FALSE),1)</f>
        <v>0</v>
      </c>
      <c r="T235" s="170">
        <f t="shared" si="64"/>
        <v>0</v>
      </c>
      <c r="U235" s="169">
        <f>O235*IFERROR(VLOOKUP(A235,[1]Tørstofindhold!A$2:B$24,2,FALSE),0)</f>
        <v>0</v>
      </c>
      <c r="V235">
        <f>IF(D235=År1,P235,SUM(O235,P235))*IFERROR(VLOOKUP(A235,[1]Tørstofindhold!A$2:B$24,2,FALSE),0)</f>
        <v>0</v>
      </c>
      <c r="W235">
        <f>J235*IFERROR(VLOOKUP(A235,[1]Tørstofindhold!A$2:B$24,2,FALSE),0)</f>
        <v>0</v>
      </c>
      <c r="X235" s="170">
        <f t="shared" si="65"/>
        <v>0</v>
      </c>
      <c r="Y235">
        <f t="shared" si="60"/>
        <v>0</v>
      </c>
      <c r="Z235">
        <f t="shared" si="61"/>
        <v>1</v>
      </c>
    </row>
    <row r="236" spans="1:26" hidden="1" x14ac:dyDescent="0.55000000000000004">
      <c r="A236" s="171" t="str">
        <f t="shared" si="72"/>
        <v>Spildevandsslam</v>
      </c>
      <c r="B236" s="171" t="str">
        <f t="shared" si="73"/>
        <v>Bionedbrydeligt affald</v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71">
        <f t="shared" si="58"/>
        <v>2030</v>
      </c>
      <c r="E236" t="s">
        <v>24</v>
      </c>
      <c r="F236" s="94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94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9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79">
        <f t="shared" si="62"/>
        <v>836013.52269105846</v>
      </c>
      <c r="O236" s="94">
        <f t="shared" si="59"/>
        <v>836013.52269105846</v>
      </c>
      <c r="P236" s="180">
        <f t="shared" si="63"/>
        <v>2508040.5680731749</v>
      </c>
      <c r="Q236">
        <f>IFERROR(VLOOKUP(A236,[1]Energiindhold!$A$2:$C$11,3,FALSE),IFERROR(VLOOKUP(A236,[1]Biogasudbytte!$A$2:$B$18,2,FALSE)*[1]Energiindhold!$C$10,0))*O236</f>
        <v>0.41717910795806512</v>
      </c>
      <c r="R236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>
        <f>IFERROR(VLOOKUP(A236,[1]Biogasudbytte!$A$2:$B$18,2,FALSE)*[1]Energiindhold!$C$10,0)*J236*IFERROR(VLOOKUP(A236,Biogasanlæg!$F$3:$G$8,2,FALSE),1)</f>
        <v>1.2515373238741951</v>
      </c>
      <c r="T236" s="170">
        <f t="shared" si="64"/>
        <v>0.41717910795806512</v>
      </c>
      <c r="U236" s="169">
        <f>O236*IFERROR(VLOOKUP(A236,[1]Tørstofindhold!A$2:B$24,2,FALSE),0)</f>
        <v>50160.811361463508</v>
      </c>
      <c r="V236">
        <f>IF(D236=År1,P236,SUM(O236,P236))*IFERROR(VLOOKUP(A236,[1]Tørstofindhold!A$2:B$24,2,FALSE),0)</f>
        <v>200643.245445854</v>
      </c>
      <c r="W236">
        <f>J236*IFERROR(VLOOKUP(A236,[1]Tørstofindhold!A$2:B$24,2,FALSE),0)</f>
        <v>150482.43408439049</v>
      </c>
      <c r="X236" s="170">
        <f t="shared" si="65"/>
        <v>50160.811361463508</v>
      </c>
      <c r="Y236">
        <f t="shared" si="60"/>
        <v>0</v>
      </c>
      <c r="Z236">
        <f t="shared" si="61"/>
        <v>1</v>
      </c>
    </row>
    <row r="237" spans="1:26" hidden="1" x14ac:dyDescent="0.55000000000000004">
      <c r="A237" s="171" t="str">
        <f t="shared" si="72"/>
        <v>Svinegylle</v>
      </c>
      <c r="B237" s="171" t="str">
        <f t="shared" si="73"/>
        <v>Husdyrgødning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58"/>
        <v>2030</v>
      </c>
      <c r="E237" t="s">
        <v>24</v>
      </c>
      <c r="F237" s="94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2106792.4244348742</v>
      </c>
      <c r="G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1580094.3183261557</v>
      </c>
      <c r="K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526698.10610871855</v>
      </c>
      <c r="L237" s="94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9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79">
        <f t="shared" si="62"/>
        <v>0</v>
      </c>
      <c r="O237" s="94">
        <f t="shared" si="59"/>
        <v>0</v>
      </c>
      <c r="P237" s="180">
        <f t="shared" si="63"/>
        <v>1580094.3183261557</v>
      </c>
      <c r="Q237">
        <f>IFERROR(VLOOKUP(A237,[1]Energiindhold!$A$2:$C$11,3,FALSE),IFERROR(VLOOKUP(A237,[1]Biogasudbytte!$A$2:$B$18,2,FALSE)*[1]Energiindhold!$C$10,0))*O237</f>
        <v>0</v>
      </c>
      <c r="R23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0.68070463233490797</v>
      </c>
      <c r="S237">
        <f>IFERROR(VLOOKUP(A237,[1]Biogasudbytte!$A$2:$B$18,2,FALSE)*[1]Energiindhold!$C$10,0)*J237*IFERROR(VLOOKUP(A237,Biogasanlæg!$F$3:$G$8,2,FALSE),1)</f>
        <v>0.68070463233490797</v>
      </c>
      <c r="T237" s="170">
        <f t="shared" si="64"/>
        <v>0</v>
      </c>
      <c r="U237" s="169">
        <f>O237*IFERROR(VLOOKUP(A237,[1]Tørstofindhold!A$2:B$24,2,FALSE),0)</f>
        <v>0</v>
      </c>
      <c r="V237">
        <f>IF(D237=År1,P237,SUM(O237,P237))*IFERROR(VLOOKUP(A237,[1]Tørstofindhold!A$2:B$24,2,FALSE),0)</f>
        <v>79004.715916307789</v>
      </c>
      <c r="W237">
        <f>J237*IFERROR(VLOOKUP(A237,[1]Tørstofindhold!A$2:B$24,2,FALSE),0)</f>
        <v>79004.715916307789</v>
      </c>
      <c r="X237" s="170">
        <f t="shared" si="65"/>
        <v>0</v>
      </c>
      <c r="Y237">
        <f t="shared" si="60"/>
        <v>0</v>
      </c>
      <c r="Z237">
        <f t="shared" si="61"/>
        <v>0</v>
      </c>
    </row>
    <row r="238" spans="1:26" hidden="1" x14ac:dyDescent="0.55000000000000004">
      <c r="A238" s="171" t="str">
        <f t="shared" si="72"/>
        <v>Svinekød</v>
      </c>
      <c r="B238" s="171" t="str">
        <f t="shared" si="73"/>
        <v/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71">
        <f t="shared" si="58"/>
        <v>2030</v>
      </c>
      <c r="E238" t="s">
        <v>24</v>
      </c>
      <c r="F238" s="94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192585.04353697354</v>
      </c>
      <c r="G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94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9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79">
        <f t="shared" si="62"/>
        <v>108163.89165733519</v>
      </c>
      <c r="O238" s="94">
        <f t="shared" si="59"/>
        <v>0</v>
      </c>
      <c r="P238" s="180">
        <f t="shared" si="63"/>
        <v>0</v>
      </c>
      <c r="Q238">
        <f>IFERROR(VLOOKUP(A238,[1]Energiindhold!$A$2:$C$11,3,FALSE),IFERROR(VLOOKUP(A238,[1]Biogasudbytte!$A$2:$B$18,2,FALSE)*[1]Energiindhold!$C$10,0))*O238</f>
        <v>0</v>
      </c>
      <c r="R23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>
        <f>IFERROR(VLOOKUP(A238,[1]Biogasudbytte!$A$2:$B$18,2,FALSE)*[1]Energiindhold!$C$10,0)*J238*IFERROR(VLOOKUP(A238,Biogasanlæg!$F$3:$G$8,2,FALSE),1)</f>
        <v>0</v>
      </c>
      <c r="T238" s="170">
        <f t="shared" si="64"/>
        <v>0</v>
      </c>
      <c r="U238" s="169">
        <f>O238*IFERROR(VLOOKUP(A238,[1]Tørstofindhold!A$2:B$24,2,FALSE),0)</f>
        <v>0</v>
      </c>
      <c r="V238">
        <f>IF(D238=År1,P238,SUM(O238,P238))*IFERROR(VLOOKUP(A238,[1]Tørstofindhold!A$2:B$24,2,FALSE),0)</f>
        <v>0</v>
      </c>
      <c r="W238">
        <f>J238*IFERROR(VLOOKUP(A238,[1]Tørstofindhold!A$2:B$24,2,FALSE),0)</f>
        <v>0</v>
      </c>
      <c r="X238" s="170">
        <f t="shared" si="65"/>
        <v>0</v>
      </c>
      <c r="Y238">
        <f t="shared" si="60"/>
        <v>0</v>
      </c>
      <c r="Z238">
        <f t="shared" si="61"/>
        <v>1</v>
      </c>
    </row>
    <row r="239" spans="1:26" hidden="1" x14ac:dyDescent="0.55000000000000004">
      <c r="A239" s="171" t="str">
        <f t="shared" si="72"/>
        <v>Tang</v>
      </c>
      <c r="B239" s="171" t="str">
        <f t="shared" si="73"/>
        <v>Havbiomasse</v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71">
        <f t="shared" si="58"/>
        <v>2030</v>
      </c>
      <c r="E239" t="s">
        <v>24</v>
      </c>
      <c r="F239" s="94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94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9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79">
        <f t="shared" si="62"/>
        <v>0</v>
      </c>
      <c r="O239" s="94">
        <f t="shared" si="59"/>
        <v>0</v>
      </c>
      <c r="P239" s="180">
        <f t="shared" si="63"/>
        <v>0</v>
      </c>
      <c r="Q239">
        <f>IFERROR(VLOOKUP(A239,[1]Energiindhold!$A$2:$C$11,3,FALSE),IFERROR(VLOOKUP(A239,[1]Biogasudbytte!$A$2:$B$18,2,FALSE)*[1]Energiindhold!$C$10,0))*O239</f>
        <v>0</v>
      </c>
      <c r="R239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>
        <f>IFERROR(VLOOKUP(A239,[1]Biogasudbytte!$A$2:$B$18,2,FALSE)*[1]Energiindhold!$C$10,0)*J239*IFERROR(VLOOKUP(A239,Biogasanlæg!$F$3:$G$8,2,FALSE),1)</f>
        <v>0</v>
      </c>
      <c r="T239" s="170">
        <f t="shared" si="64"/>
        <v>0</v>
      </c>
      <c r="U239" s="169">
        <f>O239*IFERROR(VLOOKUP(A239,[1]Tørstofindhold!A$2:B$24,2,FALSE),0)</f>
        <v>0</v>
      </c>
      <c r="V239">
        <f>IF(D239=År1,P239,SUM(O239,P239))*IFERROR(VLOOKUP(A239,[1]Tørstofindhold!A$2:B$24,2,FALSE),0)</f>
        <v>0</v>
      </c>
      <c r="W239">
        <f>J239*IFERROR(VLOOKUP(A239,[1]Tørstofindhold!A$2:B$24,2,FALSE),0)</f>
        <v>0</v>
      </c>
      <c r="X239" s="170">
        <f t="shared" si="65"/>
        <v>0</v>
      </c>
      <c r="Y239">
        <f t="shared" si="60"/>
        <v>0</v>
      </c>
      <c r="Z239">
        <f t="shared" si="61"/>
        <v>1</v>
      </c>
    </row>
    <row r="240" spans="1:26" hidden="1" x14ac:dyDescent="0.55000000000000004">
      <c r="A240" s="171" t="str">
        <f t="shared" si="72"/>
        <v>Total til biogas</v>
      </c>
      <c r="B240" s="171" t="str">
        <f t="shared" si="73"/>
        <v/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58"/>
        <v>2030</v>
      </c>
      <c r="E240" t="s">
        <v>24</v>
      </c>
      <c r="F240" s="94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94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9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79">
        <f t="shared" si="62"/>
        <v>0</v>
      </c>
      <c r="O240" s="94">
        <f t="shared" si="59"/>
        <v>0</v>
      </c>
      <c r="P240" s="180">
        <f t="shared" si="63"/>
        <v>0</v>
      </c>
      <c r="Q240">
        <f>IFERROR(VLOOKUP(A240,[1]Energiindhold!$A$2:$C$11,3,FALSE),IFERROR(VLOOKUP(A240,[1]Biogasudbytte!$A$2:$B$18,2,FALSE)*[1]Energiindhold!$C$10,0))*O240</f>
        <v>0</v>
      </c>
      <c r="R24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>
        <f>IFERROR(VLOOKUP(A240,[1]Biogasudbytte!$A$2:$B$18,2,FALSE)*[1]Energiindhold!$C$10,0)*J240*IFERROR(VLOOKUP(A240,Biogasanlæg!$F$3:$G$8,2,FALSE),1)</f>
        <v>0</v>
      </c>
      <c r="T240" s="170">
        <f t="shared" si="64"/>
        <v>0</v>
      </c>
      <c r="U240" s="169">
        <f>O240*IFERROR(VLOOKUP(A240,[1]Tørstofindhold!A$2:B$24,2,FALSE),0)</f>
        <v>0</v>
      </c>
      <c r="V240">
        <f>IF(D240=År1,P240,SUM(O240,P240))*IFERROR(VLOOKUP(A240,[1]Tørstofindhold!A$2:B$24,2,FALSE),0)</f>
        <v>0</v>
      </c>
      <c r="W240">
        <f>J240*IFERROR(VLOOKUP(A240,[1]Tørstofindhold!A$2:B$24,2,FALSE),0)</f>
        <v>0</v>
      </c>
      <c r="X240" s="170">
        <f t="shared" si="65"/>
        <v>0</v>
      </c>
      <c r="Y240">
        <f t="shared" si="60"/>
        <v>0</v>
      </c>
      <c r="Z240">
        <f t="shared" si="61"/>
        <v>0</v>
      </c>
    </row>
    <row r="241" spans="1:26" hidden="1" x14ac:dyDescent="0.55000000000000004">
      <c r="A241" s="171" t="str">
        <f t="shared" si="72"/>
        <v>Træ til energi</v>
      </c>
      <c r="B241" s="171" t="str">
        <f t="shared" si="73"/>
        <v>Vedmasse</v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58"/>
        <v>2030</v>
      </c>
      <c r="E241" t="s">
        <v>24</v>
      </c>
      <c r="F241" s="94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647645.86028338596</v>
      </c>
      <c r="G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94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647645.86028338596</v>
      </c>
      <c r="M241" s="9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79">
        <f t="shared" ca="1" si="62"/>
        <v>0</v>
      </c>
      <c r="O241" s="94">
        <f t="shared" ca="1" si="59"/>
        <v>0</v>
      </c>
      <c r="P241" s="180">
        <f t="shared" ca="1" si="63"/>
        <v>647645.86028338596</v>
      </c>
      <c r="Q241">
        <f ca="1">IFERROR(VLOOKUP(A241,[1]Energiindhold!$A$2:$C$11,3,FALSE),IFERROR(VLOOKUP(A241,[1]Biogasudbytte!$A$2:$B$18,2,FALSE)*[1]Energiindhold!$C$10,0))*O241</f>
        <v>0</v>
      </c>
      <c r="R241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9.3866998993191597</v>
      </c>
      <c r="S241">
        <f>IFERROR(VLOOKUP(A241,[1]Biogasudbytte!$A$2:$B$18,2,FALSE)*[1]Energiindhold!$C$10,0)*J241*IFERROR(VLOOKUP(A241,Biogasanlæg!$F$3:$G$8,2,FALSE),1)</f>
        <v>0</v>
      </c>
      <c r="T241" s="170">
        <f t="shared" ca="1" si="64"/>
        <v>9.3866998993191597</v>
      </c>
      <c r="U241" s="169">
        <f ca="1">O241*IFERROR(VLOOKUP(A241,[1]Tørstofindhold!A$2:B$24,2,FALSE),0)</f>
        <v>0</v>
      </c>
      <c r="V241">
        <f ca="1">IF(D241=År1,P241,SUM(O241,P241))*IFERROR(VLOOKUP(A241,[1]Tørstofindhold!A$2:B$24,2,FALSE),0)</f>
        <v>320314.84839849127</v>
      </c>
      <c r="W241">
        <f>J241*IFERROR(VLOOKUP(A241,[1]Tørstofindhold!A$2:B$24,2,FALSE),0)</f>
        <v>0</v>
      </c>
      <c r="X241" s="170">
        <f t="shared" ca="1" si="65"/>
        <v>320314.84839849127</v>
      </c>
      <c r="Y241">
        <f t="shared" ca="1" si="60"/>
        <v>0</v>
      </c>
      <c r="Z241">
        <f t="shared" ca="1" si="61"/>
        <v>0</v>
      </c>
    </row>
    <row r="242" spans="1:26" hidden="1" x14ac:dyDescent="0.55000000000000004">
      <c r="A242" s="171" t="str">
        <f t="shared" si="72"/>
        <v>Træmaterialer</v>
      </c>
      <c r="B242" s="171" t="str">
        <f t="shared" si="73"/>
        <v/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71">
        <f t="shared" si="58"/>
        <v>2030</v>
      </c>
      <c r="E242" t="s">
        <v>24</v>
      </c>
      <c r="F242" s="94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178235.22139277839</v>
      </c>
      <c r="G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94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94">
        <f ca="1">SUMIFS('Forbrug af biomasse'!E:E,'Forbrug af biomasse'!C:C,'Resultat-Produktion &amp; forbrug'!$A242,'Forbrug af biomasse'!D:D,'Resultat-Produktion &amp; forbrug'!$D242,'Forbrug af biomasse'!G:G,1,'Forbrug af biomasse'!B:B,$E242)</f>
        <v>178235.22139277839</v>
      </c>
      <c r="N242" s="179">
        <f t="shared" ca="1" si="62"/>
        <v>0</v>
      </c>
      <c r="O242" s="94">
        <f t="shared" si="59"/>
        <v>0</v>
      </c>
      <c r="P242" s="180">
        <f t="shared" si="63"/>
        <v>0</v>
      </c>
      <c r="Q242">
        <f>IFERROR(VLOOKUP(A242,[1]Energiindhold!$A$2:$C$11,3,FALSE),IFERROR(VLOOKUP(A242,[1]Biogasudbytte!$A$2:$B$18,2,FALSE)*[1]Energiindhold!$C$10,0))*O242</f>
        <v>0</v>
      </c>
      <c r="R24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>
        <f>IFERROR(VLOOKUP(A242,[1]Biogasudbytte!$A$2:$B$18,2,FALSE)*[1]Energiindhold!$C$10,0)*J242*IFERROR(VLOOKUP(A242,Biogasanlæg!$F$3:$G$8,2,FALSE),1)</f>
        <v>0</v>
      </c>
      <c r="T242" s="170">
        <f t="shared" si="64"/>
        <v>0</v>
      </c>
      <c r="U242" s="169">
        <f>O242*IFERROR(VLOOKUP(A242,[1]Tørstofindhold!A$2:B$24,2,FALSE),0)</f>
        <v>0</v>
      </c>
      <c r="V242">
        <f>IF(D242=År1,P242,SUM(O242,P242))*IFERROR(VLOOKUP(A242,[1]Tørstofindhold!A$2:B$24,2,FALSE),0)</f>
        <v>0</v>
      </c>
      <c r="W242">
        <f>J242*IFERROR(VLOOKUP(A242,[1]Tørstofindhold!A$2:B$24,2,FALSE),0)</f>
        <v>0</v>
      </c>
      <c r="X242" s="170">
        <f t="shared" si="65"/>
        <v>0</v>
      </c>
      <c r="Y242">
        <f t="shared" ca="1" si="60"/>
        <v>0</v>
      </c>
      <c r="Z242">
        <f t="shared" ca="1" si="61"/>
        <v>0</v>
      </c>
    </row>
    <row r="243" spans="1:26" x14ac:dyDescent="0.55000000000000004">
      <c r="A243" s="171" t="str">
        <f t="shared" si="72"/>
        <v>Æg</v>
      </c>
      <c r="B243" s="171" t="str">
        <f t="shared" si="73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ref="D243:D281" si="74">År3</f>
        <v>2050</v>
      </c>
      <c r="E243" t="s">
        <v>24</v>
      </c>
      <c r="F243" s="94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94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9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79">
        <f t="shared" si="62"/>
        <v>-12055.902429201011</v>
      </c>
      <c r="O243" s="94">
        <f t="shared" si="59"/>
        <v>0</v>
      </c>
      <c r="P243" s="180">
        <f t="shared" si="63"/>
        <v>0</v>
      </c>
      <c r="Q243">
        <f>IFERROR(VLOOKUP(A243,[1]Energiindhold!$A$2:$C$11,3,FALSE),IFERROR(VLOOKUP(A243,[1]Biogasudbytte!$A$2:$B$18,2,FALSE)*[1]Energiindhold!$C$10,0))*O243</f>
        <v>0</v>
      </c>
      <c r="R243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>
        <f>IFERROR(VLOOKUP(A243,[1]Biogasudbytte!$A$2:$B$18,2,FALSE)*[1]Energiindhold!$C$10,0)*J243*IFERROR(VLOOKUP(A243,Biogasanlæg!$F$3:$G$8,2,FALSE),1)</f>
        <v>0</v>
      </c>
      <c r="T243" s="170">
        <f t="shared" si="64"/>
        <v>0</v>
      </c>
      <c r="U243" s="169">
        <f>O243*IFERROR(VLOOKUP(A243,[1]Tørstofindhold!A$2:B$24,2,FALSE),0)</f>
        <v>0</v>
      </c>
      <c r="V243">
        <f>IF(D243=År1,P243,SUM(O243,P243))*IFERROR(VLOOKUP(A243,[1]Tørstofindhold!A$2:B$24,2,FALSE),0)</f>
        <v>0</v>
      </c>
      <c r="W243">
        <f>J243*IFERROR(VLOOKUP(A243,[1]Tørstofindhold!A$2:B$24,2,FALSE),0)</f>
        <v>0</v>
      </c>
      <c r="X243" s="170">
        <f t="shared" si="65"/>
        <v>0</v>
      </c>
      <c r="Y243">
        <f t="shared" si="60"/>
        <v>0</v>
      </c>
      <c r="Z243">
        <f t="shared" si="61"/>
        <v>1</v>
      </c>
    </row>
    <row r="244" spans="1:26" x14ac:dyDescent="0.55000000000000004">
      <c r="A244" s="171" t="str">
        <f t="shared" si="72"/>
        <v>Bælgsæd</v>
      </c>
      <c r="B244" s="171" t="str">
        <f t="shared" si="73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74"/>
        <v>2050</v>
      </c>
      <c r="E244" t="s">
        <v>24</v>
      </c>
      <c r="F244" s="94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27963.188224431749</v>
      </c>
      <c r="G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7267.3729665242781</v>
      </c>
      <c r="H244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94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9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79">
        <f t="shared" si="62"/>
        <v>-58056.190129031049</v>
      </c>
      <c r="O244" s="94">
        <f t="shared" si="59"/>
        <v>0</v>
      </c>
      <c r="P244" s="180">
        <f t="shared" si="63"/>
        <v>0</v>
      </c>
      <c r="Q244">
        <f>IFERROR(VLOOKUP(A244,[1]Energiindhold!$A$2:$C$11,3,FALSE),IFERROR(VLOOKUP(A244,[1]Biogasudbytte!$A$2:$B$18,2,FALSE)*[1]Energiindhold!$C$10,0))*O244</f>
        <v>0</v>
      </c>
      <c r="R244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>
        <f>IFERROR(VLOOKUP(A244,[1]Biogasudbytte!$A$2:$B$18,2,FALSE)*[1]Energiindhold!$C$10,0)*J244*IFERROR(VLOOKUP(A244,Biogasanlæg!$F$3:$G$8,2,FALSE),1)</f>
        <v>0</v>
      </c>
      <c r="T244" s="170">
        <f t="shared" si="64"/>
        <v>0</v>
      </c>
      <c r="U244" s="169">
        <f>O244*IFERROR(VLOOKUP(A244,[1]Tørstofindhold!A$2:B$24,2,FALSE),0)</f>
        <v>0</v>
      </c>
      <c r="V244">
        <f>IF(D244=År1,P244,SUM(O244,P244))*IFERROR(VLOOKUP(A244,[1]Tørstofindhold!A$2:B$24,2,FALSE),0)</f>
        <v>0</v>
      </c>
      <c r="W244">
        <f>J244*IFERROR(VLOOKUP(A244,[1]Tørstofindhold!A$2:B$24,2,FALSE),0)</f>
        <v>0</v>
      </c>
      <c r="X244" s="170">
        <f t="shared" si="65"/>
        <v>0</v>
      </c>
      <c r="Y244">
        <f t="shared" si="60"/>
        <v>0</v>
      </c>
      <c r="Z244">
        <f t="shared" si="61"/>
        <v>1</v>
      </c>
    </row>
    <row r="245" spans="1:26" hidden="1" x14ac:dyDescent="0.55000000000000004">
      <c r="A245" s="171" t="str">
        <f t="shared" si="72"/>
        <v>Bioaffald</v>
      </c>
      <c r="B245" s="171" t="str">
        <f t="shared" si="73"/>
        <v>Bionedbrydeligt affald</v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71">
        <f t="shared" si="74"/>
        <v>2050</v>
      </c>
      <c r="E245" t="s">
        <v>24</v>
      </c>
      <c r="F245" s="94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94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94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94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94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94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9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79">
        <f t="shared" ca="1" si="62"/>
        <v>0</v>
      </c>
      <c r="O245" s="94">
        <f t="shared" ca="1" si="59"/>
        <v>0</v>
      </c>
      <c r="P245" s="180">
        <f t="shared" ca="1" si="63"/>
        <v>172292.68030975034</v>
      </c>
      <c r="Q245">
        <f ca="1">IFERROR(VLOOKUP(A245,[1]Energiindhold!$A$2:$C$11,3,FALSE),IFERROR(VLOOKUP(A245,[1]Biogasudbytte!$A$2:$B$18,2,FALSE)*[1]Energiindhold!$C$10,0))*O245</f>
        <v>0</v>
      </c>
      <c r="R245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>
        <f ca="1">IFERROR(VLOOKUP(A245,[1]Biogasudbytte!$A$2:$B$18,2,FALSE)*[1]Energiindhold!$C$10,0)*J245*IFERROR(VLOOKUP(A245,Biogasanlæg!$F$3:$G$8,2,FALSE),1)</f>
        <v>0</v>
      </c>
      <c r="T245" s="170">
        <f t="shared" ca="1" si="64"/>
        <v>3.0758069229876184</v>
      </c>
      <c r="U245" s="169">
        <f ca="1">O245*IFERROR(VLOOKUP(A245,[1]Tørstofindhold!A$2:B$24,2,FALSE),0)</f>
        <v>0</v>
      </c>
      <c r="V245">
        <f ca="1">IF(D245=År1,P245,SUM(O245,P245))*IFERROR(VLOOKUP(A245,[1]Tørstofindhold!A$2:B$24,2,FALSE),0)</f>
        <v>48241.9504867301</v>
      </c>
      <c r="W245">
        <f ca="1">J245*IFERROR(VLOOKUP(A245,[1]Tørstofindhold!A$2:B$24,2,FALSE),0)</f>
        <v>0</v>
      </c>
      <c r="X245" s="170">
        <f t="shared" ca="1" si="65"/>
        <v>48241.9504867301</v>
      </c>
      <c r="Y245">
        <f t="shared" ca="1" si="60"/>
        <v>0</v>
      </c>
      <c r="Z245">
        <f t="shared" ca="1" si="61"/>
        <v>0</v>
      </c>
    </row>
    <row r="246" spans="1:26" hidden="1" x14ac:dyDescent="0.55000000000000004">
      <c r="A246" s="171" t="str">
        <f t="shared" si="72"/>
        <v>Biogas</v>
      </c>
      <c r="B246" s="171" t="str">
        <f t="shared" si="73"/>
        <v/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74"/>
        <v>2050</v>
      </c>
      <c r="E246" t="s">
        <v>24</v>
      </c>
      <c r="F246" s="94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127770459.38070777</v>
      </c>
      <c r="G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94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127770459.38070777</v>
      </c>
      <c r="M246" s="9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79">
        <f t="shared" ca="1" si="62"/>
        <v>0</v>
      </c>
      <c r="O246" s="94">
        <f t="shared" ca="1" si="59"/>
        <v>0</v>
      </c>
      <c r="P246" s="180">
        <f t="shared" ca="1" si="63"/>
        <v>127770459.38070777</v>
      </c>
      <c r="Q246">
        <f ca="1">IFERROR(VLOOKUP(A246,[1]Energiindhold!$A$2:$C$11,3,FALSE),IFERROR(VLOOKUP(A246,[1]Biogasudbytte!$A$2:$B$18,2,FALSE)*[1]Energiindhold!$C$10,0))*O246</f>
        <v>0</v>
      </c>
      <c r="R246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>
        <f>IFERROR(VLOOKUP(A246,[1]Biogasudbytte!$A$2:$B$18,2,FALSE)*[1]Energiindhold!$C$10,0)*J246*IFERROR(VLOOKUP(A246,Biogasanlæg!$F$3:$G$8,2,FALSE),1)</f>
        <v>0</v>
      </c>
      <c r="T246" s="170">
        <f t="shared" si="64"/>
        <v>0</v>
      </c>
      <c r="U246" s="169">
        <f ca="1">O246*IFERROR(VLOOKUP(A246,[1]Tørstofindhold!A$2:B$24,2,FALSE),0)</f>
        <v>0</v>
      </c>
      <c r="V246">
        <f ca="1">IF(D246=År1,P246,SUM(O246,P246))*IFERROR(VLOOKUP(A246,[1]Tørstofindhold!A$2:B$24,2,FALSE),0)</f>
        <v>0</v>
      </c>
      <c r="W246">
        <f>J246*IFERROR(VLOOKUP(A246,[1]Tørstofindhold!A$2:B$24,2,FALSE),0)</f>
        <v>0</v>
      </c>
      <c r="X246" s="170">
        <f t="shared" ca="1" si="65"/>
        <v>0</v>
      </c>
      <c r="Y246">
        <f t="shared" ca="1" si="60"/>
        <v>0</v>
      </c>
      <c r="Z246">
        <f t="shared" ca="1" si="61"/>
        <v>0</v>
      </c>
    </row>
    <row r="247" spans="1:26" hidden="1" x14ac:dyDescent="0.55000000000000004">
      <c r="A247" s="171" t="str">
        <f t="shared" si="72"/>
        <v>Biogasgylle</v>
      </c>
      <c r="B247" s="171" t="str">
        <f t="shared" si="73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71">
        <f t="shared" si="74"/>
        <v>2050</v>
      </c>
      <c r="E247" t="s">
        <v>24</v>
      </c>
      <c r="F247" s="94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5931800.6059544124</v>
      </c>
      <c r="G247" s="94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94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94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94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4680862.224178886</v>
      </c>
      <c r="L247" s="94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9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79">
        <f t="shared" ca="1" si="62"/>
        <v>1250938.3817755263</v>
      </c>
      <c r="O247" s="94">
        <f t="shared" si="59"/>
        <v>0</v>
      </c>
      <c r="P247" s="180">
        <f t="shared" si="63"/>
        <v>0</v>
      </c>
      <c r="Q247">
        <f>IFERROR(VLOOKUP(A247,[1]Energiindhold!$A$2:$C$11,3,FALSE),IFERROR(VLOOKUP(A247,[1]Biogasudbytte!$A$2:$B$18,2,FALSE)*[1]Energiindhold!$C$10,0))*O247</f>
        <v>0</v>
      </c>
      <c r="R24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>
        <f>IFERROR(VLOOKUP(A247,[1]Biogasudbytte!$A$2:$B$18,2,FALSE)*[1]Energiindhold!$C$10,0)*J247*IFERROR(VLOOKUP(A247,Biogasanlæg!$F$3:$G$8,2,FALSE),1)</f>
        <v>0</v>
      </c>
      <c r="T247" s="170">
        <f t="shared" si="64"/>
        <v>0</v>
      </c>
      <c r="U247" s="169">
        <f>O247*IFERROR(VLOOKUP(A247,[1]Tørstofindhold!A$2:B$24,2,FALSE),0)</f>
        <v>0</v>
      </c>
      <c r="V247">
        <f>IF(D247=År1,P247,SUM(O247,P247))*IFERROR(VLOOKUP(A247,[1]Tørstofindhold!A$2:B$24,2,FALSE),0)</f>
        <v>0</v>
      </c>
      <c r="W247">
        <f>J247*IFERROR(VLOOKUP(A247,[1]Tørstofindhold!A$2:B$24,2,FALSE),0)</f>
        <v>0</v>
      </c>
      <c r="X247" s="170">
        <f t="shared" si="65"/>
        <v>0</v>
      </c>
      <c r="Y247">
        <f t="shared" ca="1" si="60"/>
        <v>0</v>
      </c>
      <c r="Z247">
        <f t="shared" ca="1" si="61"/>
        <v>1</v>
      </c>
    </row>
    <row r="248" spans="1:26" hidden="1" x14ac:dyDescent="0.55000000000000004">
      <c r="A248" s="171" t="str">
        <f t="shared" si="72"/>
        <v>Brun saft</v>
      </c>
      <c r="B248" s="171" t="str">
        <f t="shared" si="73"/>
        <v>Bionedbrydeligt affald</v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71">
        <f t="shared" si="74"/>
        <v>2050</v>
      </c>
      <c r="E248" t="s">
        <v>24</v>
      </c>
      <c r="F248" s="94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94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9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79">
        <f t="shared" si="62"/>
        <v>0</v>
      </c>
      <c r="O248" s="94">
        <f t="shared" si="59"/>
        <v>0</v>
      </c>
      <c r="P248" s="180">
        <f t="shared" si="63"/>
        <v>0</v>
      </c>
      <c r="Q248">
        <f>IFERROR(VLOOKUP(A248,[1]Energiindhold!$A$2:$C$11,3,FALSE),IFERROR(VLOOKUP(A248,[1]Biogasudbytte!$A$2:$B$18,2,FALSE)*[1]Energiindhold!$C$10,0))*O248</f>
        <v>0</v>
      </c>
      <c r="R24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>
        <f>IFERROR(VLOOKUP(A248,[1]Biogasudbytte!$A$2:$B$18,2,FALSE)*[1]Energiindhold!$C$10,0)*J248*IFERROR(VLOOKUP(A248,Biogasanlæg!$F$3:$G$8,2,FALSE),1)</f>
        <v>0</v>
      </c>
      <c r="T248" s="170">
        <f t="shared" si="64"/>
        <v>0</v>
      </c>
      <c r="U248" s="169">
        <f>O248*IFERROR(VLOOKUP(A248,[1]Tørstofindhold!A$2:B$24,2,FALSE),0)</f>
        <v>0</v>
      </c>
      <c r="V248">
        <f>IF(D248=År1,P248,SUM(O248,P248))*IFERROR(VLOOKUP(A248,[1]Tørstofindhold!A$2:B$24,2,FALSE),0)</f>
        <v>0</v>
      </c>
      <c r="W248">
        <f>J248*IFERROR(VLOOKUP(A248,[1]Tørstofindhold!A$2:B$24,2,FALSE),0)</f>
        <v>0</v>
      </c>
      <c r="X248" s="170">
        <f t="shared" si="65"/>
        <v>0</v>
      </c>
      <c r="Y248">
        <f t="shared" si="60"/>
        <v>0</v>
      </c>
      <c r="Z248">
        <f t="shared" si="61"/>
        <v>0</v>
      </c>
    </row>
    <row r="249" spans="1:26" hidden="1" x14ac:dyDescent="0.55000000000000004">
      <c r="A249" s="171" t="str">
        <f t="shared" si="72"/>
        <v>Dybstrøelse</v>
      </c>
      <c r="B249" s="171" t="str">
        <f t="shared" si="73"/>
        <v>Husdyrgødning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74"/>
        <v>2050</v>
      </c>
      <c r="E249" t="s">
        <v>24</v>
      </c>
      <c r="F249" s="94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342152.71828788641</v>
      </c>
      <c r="G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307937.44645909779</v>
      </c>
      <c r="K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12952.924335184269</v>
      </c>
      <c r="L249" s="94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9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79">
        <f t="shared" si="62"/>
        <v>21262.347493604349</v>
      </c>
      <c r="O249" s="94">
        <f t="shared" si="59"/>
        <v>21262.347493604349</v>
      </c>
      <c r="P249" s="180">
        <f t="shared" si="63"/>
        <v>307937.44645909779</v>
      </c>
      <c r="Q249">
        <f>IFERROR(VLOOKUP(A249,[1]Energiindhold!$A$2:$C$11,3,FALSE),IFERROR(VLOOKUP(A249,[1]Biogasudbytte!$A$2:$B$18,2,FALSE)*[1]Energiindhold!$C$10,0))*O249</f>
        <v>4.5799096501223768E-2</v>
      </c>
      <c r="R249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0.70909635617412037</v>
      </c>
      <c r="S249">
        <f>IFERROR(VLOOKUP(A249,[1]Biogasudbytte!$A$2:$B$18,2,FALSE)*[1]Energiindhold!$C$10,0)*J249*IFERROR(VLOOKUP(A249,Biogasanlæg!$F$3:$G$8,2,FALSE),1)</f>
        <v>0.66329725967289666</v>
      </c>
      <c r="T249" s="170">
        <f t="shared" si="64"/>
        <v>4.5799096501223713E-2</v>
      </c>
      <c r="U249" s="169">
        <f>O249*IFERROR(VLOOKUP(A249,[1]Tørstofindhold!A$2:B$24,2,FALSE),0)</f>
        <v>6378.7042480813043</v>
      </c>
      <c r="V249">
        <f>IF(D249=År1,P249,SUM(O249,P249))*IFERROR(VLOOKUP(A249,[1]Tørstofindhold!A$2:B$24,2,FALSE),0)</f>
        <v>98759.938185810635</v>
      </c>
      <c r="W249">
        <f>J249*IFERROR(VLOOKUP(A249,[1]Tørstofindhold!A$2:B$24,2,FALSE),0)</f>
        <v>92381.233937729339</v>
      </c>
      <c r="X249" s="170">
        <f t="shared" si="65"/>
        <v>6378.7042480812961</v>
      </c>
      <c r="Y249">
        <f t="shared" si="60"/>
        <v>0</v>
      </c>
      <c r="Z249">
        <f t="shared" si="61"/>
        <v>1</v>
      </c>
    </row>
    <row r="250" spans="1:26" hidden="1" x14ac:dyDescent="0.55000000000000004">
      <c r="A250" s="171" t="str">
        <f t="shared" si="72"/>
        <v>Fiberfraktion</v>
      </c>
      <c r="B250" s="171" t="str">
        <f t="shared" si="73"/>
        <v/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71">
        <f t="shared" si="74"/>
        <v>2050</v>
      </c>
      <c r="E250" t="s">
        <v>24</v>
      </c>
      <c r="F250" s="94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94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9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79">
        <f t="shared" si="62"/>
        <v>0</v>
      </c>
      <c r="O250" s="94">
        <f t="shared" si="59"/>
        <v>0</v>
      </c>
      <c r="P250" s="180">
        <f t="shared" si="63"/>
        <v>0</v>
      </c>
      <c r="Q250">
        <f>IFERROR(VLOOKUP(A250,[1]Energiindhold!$A$2:$C$11,3,FALSE),IFERROR(VLOOKUP(A250,[1]Biogasudbytte!$A$2:$B$18,2,FALSE)*[1]Energiindhold!$C$10,0))*O250</f>
        <v>0</v>
      </c>
      <c r="R25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>
        <f>IFERROR(VLOOKUP(A250,[1]Biogasudbytte!$A$2:$B$18,2,FALSE)*[1]Energiindhold!$C$10,0)*J250*IFERROR(VLOOKUP(A250,Biogasanlæg!$F$3:$G$8,2,FALSE),1)</f>
        <v>0</v>
      </c>
      <c r="T250" s="170">
        <f t="shared" si="64"/>
        <v>0</v>
      </c>
      <c r="U250" s="169">
        <f>O250*IFERROR(VLOOKUP(A250,[1]Tørstofindhold!A$2:B$24,2,FALSE),0)</f>
        <v>0</v>
      </c>
      <c r="V250">
        <f>IF(D250=År1,P250,SUM(O250,P250))*IFERROR(VLOOKUP(A250,[1]Tørstofindhold!A$2:B$24,2,FALSE),0)</f>
        <v>0</v>
      </c>
      <c r="W250">
        <f>J250*IFERROR(VLOOKUP(A250,[1]Tørstofindhold!A$2:B$24,2,FALSE),0)</f>
        <v>0</v>
      </c>
      <c r="X250" s="170">
        <f t="shared" si="65"/>
        <v>0</v>
      </c>
      <c r="Y250">
        <f t="shared" si="60"/>
        <v>0</v>
      </c>
      <c r="Z250">
        <f t="shared" si="61"/>
        <v>0</v>
      </c>
    </row>
    <row r="251" spans="1:26" hidden="1" x14ac:dyDescent="0.55000000000000004">
      <c r="A251" s="171" t="str">
        <f t="shared" si="72"/>
        <v>Fjerkrægylle</v>
      </c>
      <c r="B251" s="171" t="str">
        <f t="shared" si="73"/>
        <v>Husdyrgødning</v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71">
        <f t="shared" si="74"/>
        <v>2050</v>
      </c>
      <c r="E251" t="s">
        <v>24</v>
      </c>
      <c r="F251" s="94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94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9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79">
        <f t="shared" si="62"/>
        <v>0</v>
      </c>
      <c r="O251" s="94">
        <f t="shared" si="59"/>
        <v>0</v>
      </c>
      <c r="P251" s="180">
        <f t="shared" si="63"/>
        <v>650.78855763169781</v>
      </c>
      <c r="Q251">
        <f>IFERROR(VLOOKUP(A251,[1]Energiindhold!$A$2:$C$11,3,FALSE),IFERROR(VLOOKUP(A251,[1]Biogasudbytte!$A$2:$B$18,2,FALSE)*[1]Energiindhold!$C$10,0))*O251</f>
        <v>0</v>
      </c>
      <c r="R251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>
        <f>IFERROR(VLOOKUP(A251,[1]Biogasudbytte!$A$2:$B$18,2,FALSE)*[1]Energiindhold!$C$10,0)*J251*IFERROR(VLOOKUP(A251,Biogasanlæg!$F$3:$G$8,2,FALSE),1)</f>
        <v>3.0605935076861117E-4</v>
      </c>
      <c r="T251" s="170">
        <f t="shared" si="64"/>
        <v>0</v>
      </c>
      <c r="U251" s="169">
        <f>O251*IFERROR(VLOOKUP(A251,[1]Tørstofindhold!A$2:B$24,2,FALSE),0)</f>
        <v>0</v>
      </c>
      <c r="V251">
        <f>IF(D251=År1,P251,SUM(O251,P251))*IFERROR(VLOOKUP(A251,[1]Tørstofindhold!A$2:B$24,2,FALSE),0)</f>
        <v>40.999679130796963</v>
      </c>
      <c r="W251">
        <f>J251*IFERROR(VLOOKUP(A251,[1]Tørstofindhold!A$2:B$24,2,FALSE),0)</f>
        <v>40.999679130796963</v>
      </c>
      <c r="X251" s="170">
        <f t="shared" si="65"/>
        <v>0</v>
      </c>
      <c r="Y251">
        <f t="shared" si="60"/>
        <v>0</v>
      </c>
      <c r="Z251">
        <f t="shared" si="61"/>
        <v>0</v>
      </c>
    </row>
    <row r="252" spans="1:26" x14ac:dyDescent="0.55000000000000004">
      <c r="A252" s="171" t="str">
        <f t="shared" si="72"/>
        <v>Fjerkrækød</v>
      </c>
      <c r="B252" s="171" t="str">
        <f t="shared" si="73"/>
        <v/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71">
        <f t="shared" si="74"/>
        <v>2050</v>
      </c>
      <c r="E252" t="s">
        <v>24</v>
      </c>
      <c r="F252" s="94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94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9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79">
        <f t="shared" si="62"/>
        <v>-4620.6864202542638</v>
      </c>
      <c r="O252" s="94">
        <f t="shared" si="59"/>
        <v>0</v>
      </c>
      <c r="P252" s="180">
        <f t="shared" si="63"/>
        <v>0</v>
      </c>
      <c r="Q252">
        <f>IFERROR(VLOOKUP(A252,[1]Energiindhold!$A$2:$C$11,3,FALSE),IFERROR(VLOOKUP(A252,[1]Biogasudbytte!$A$2:$B$18,2,FALSE)*[1]Energiindhold!$C$10,0))*O252</f>
        <v>0</v>
      </c>
      <c r="R25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>
        <f>IFERROR(VLOOKUP(A252,[1]Biogasudbytte!$A$2:$B$18,2,FALSE)*[1]Energiindhold!$C$10,0)*J252*IFERROR(VLOOKUP(A252,Biogasanlæg!$F$3:$G$8,2,FALSE),1)</f>
        <v>0</v>
      </c>
      <c r="T252" s="170">
        <f t="shared" si="64"/>
        <v>0</v>
      </c>
      <c r="U252" s="169">
        <f>O252*IFERROR(VLOOKUP(A252,[1]Tørstofindhold!A$2:B$24,2,FALSE),0)</f>
        <v>0</v>
      </c>
      <c r="V252">
        <f>IF(D252=År1,P252,SUM(O252,P252))*IFERROR(VLOOKUP(A252,[1]Tørstofindhold!A$2:B$24,2,FALSE),0)</f>
        <v>0</v>
      </c>
      <c r="W252">
        <f>J252*IFERROR(VLOOKUP(A252,[1]Tørstofindhold!A$2:B$24,2,FALSE),0)</f>
        <v>0</v>
      </c>
      <c r="X252" s="170">
        <f t="shared" si="65"/>
        <v>0</v>
      </c>
      <c r="Y252">
        <f t="shared" si="60"/>
        <v>0</v>
      </c>
      <c r="Z252">
        <f t="shared" si="61"/>
        <v>1</v>
      </c>
    </row>
    <row r="253" spans="1:26" hidden="1" x14ac:dyDescent="0.55000000000000004">
      <c r="A253" s="171" t="str">
        <f t="shared" si="72"/>
        <v>Frø</v>
      </c>
      <c r="B253" s="171" t="str">
        <f t="shared" si="73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74"/>
        <v>2050</v>
      </c>
      <c r="E253" t="s">
        <v>24</v>
      </c>
      <c r="F253" s="94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619622.98434941436</v>
      </c>
      <c r="G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94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9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79">
        <f t="shared" si="62"/>
        <v>619622.98434941436</v>
      </c>
      <c r="O253" s="94">
        <f t="shared" si="59"/>
        <v>0</v>
      </c>
      <c r="P253" s="180">
        <f t="shared" si="63"/>
        <v>0</v>
      </c>
      <c r="Q253">
        <f>IFERROR(VLOOKUP(A253,[1]Energiindhold!$A$2:$C$11,3,FALSE),IFERROR(VLOOKUP(A253,[1]Biogasudbytte!$A$2:$B$18,2,FALSE)*[1]Energiindhold!$C$10,0))*O253</f>
        <v>0</v>
      </c>
      <c r="R253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>
        <f>IFERROR(VLOOKUP(A253,[1]Biogasudbytte!$A$2:$B$18,2,FALSE)*[1]Energiindhold!$C$10,0)*J253*IFERROR(VLOOKUP(A253,Biogasanlæg!$F$3:$G$8,2,FALSE),1)</f>
        <v>0</v>
      </c>
      <c r="T253" s="170">
        <f t="shared" si="64"/>
        <v>0</v>
      </c>
      <c r="U253" s="169">
        <f>O253*IFERROR(VLOOKUP(A253,[1]Tørstofindhold!A$2:B$24,2,FALSE),0)</f>
        <v>0</v>
      </c>
      <c r="V253">
        <f>IF(D253=År1,P253,SUM(O253,P253))*IFERROR(VLOOKUP(A253,[1]Tørstofindhold!A$2:B$24,2,FALSE),0)</f>
        <v>0</v>
      </c>
      <c r="W253">
        <f>J253*IFERROR(VLOOKUP(A253,[1]Tørstofindhold!A$2:B$24,2,FALSE),0)</f>
        <v>0</v>
      </c>
      <c r="X253" s="170">
        <f t="shared" si="65"/>
        <v>0</v>
      </c>
      <c r="Y253">
        <f t="shared" si="60"/>
        <v>0</v>
      </c>
      <c r="Z253">
        <f t="shared" si="61"/>
        <v>1</v>
      </c>
    </row>
    <row r="254" spans="1:26" x14ac:dyDescent="0.55000000000000004">
      <c r="A254" s="171" t="str">
        <f t="shared" si="72"/>
        <v>Frugt</v>
      </c>
      <c r="B254" s="171" t="str">
        <f t="shared" si="73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74"/>
        <v>2050</v>
      </c>
      <c r="E254" t="s">
        <v>24</v>
      </c>
      <c r="F254" s="94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16278.266064377463</v>
      </c>
      <c r="G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94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9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79">
        <f t="shared" si="62"/>
        <v>-217516.74992809634</v>
      </c>
      <c r="O254" s="94">
        <f t="shared" si="59"/>
        <v>0</v>
      </c>
      <c r="P254" s="180">
        <f t="shared" si="63"/>
        <v>0</v>
      </c>
      <c r="Q254">
        <f>IFERROR(VLOOKUP(A254,[1]Energiindhold!$A$2:$C$11,3,FALSE),IFERROR(VLOOKUP(A254,[1]Biogasudbytte!$A$2:$B$18,2,FALSE)*[1]Energiindhold!$C$10,0))*O254</f>
        <v>0</v>
      </c>
      <c r="R254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>
        <f>IFERROR(VLOOKUP(A254,[1]Biogasudbytte!$A$2:$B$18,2,FALSE)*[1]Energiindhold!$C$10,0)*J254*IFERROR(VLOOKUP(A254,Biogasanlæg!$F$3:$G$8,2,FALSE),1)</f>
        <v>0</v>
      </c>
      <c r="T254" s="170">
        <f t="shared" si="64"/>
        <v>0</v>
      </c>
      <c r="U254" s="169">
        <f>O254*IFERROR(VLOOKUP(A254,[1]Tørstofindhold!A$2:B$24,2,FALSE),0)</f>
        <v>0</v>
      </c>
      <c r="V254">
        <f>IF(D254=År1,P254,SUM(O254,P254))*IFERROR(VLOOKUP(A254,[1]Tørstofindhold!A$2:B$24,2,FALSE),0)</f>
        <v>0</v>
      </c>
      <c r="W254">
        <f>J254*IFERROR(VLOOKUP(A254,[1]Tørstofindhold!A$2:B$24,2,FALSE),0)</f>
        <v>0</v>
      </c>
      <c r="X254" s="170">
        <f t="shared" si="65"/>
        <v>0</v>
      </c>
      <c r="Y254">
        <f t="shared" si="60"/>
        <v>1</v>
      </c>
      <c r="Z254">
        <f t="shared" si="61"/>
        <v>0</v>
      </c>
    </row>
    <row r="255" spans="1:26" hidden="1" x14ac:dyDescent="0.55000000000000004">
      <c r="A255" s="171" t="str">
        <f t="shared" si="72"/>
        <v>Glycerin</v>
      </c>
      <c r="B255" s="171" t="str">
        <f t="shared" si="73"/>
        <v>Glycerin</v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71">
        <f t="shared" si="74"/>
        <v>2050</v>
      </c>
      <c r="E255" t="s">
        <v>24</v>
      </c>
      <c r="F255" s="94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94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9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79">
        <f t="shared" si="62"/>
        <v>-28548.400000000001</v>
      </c>
      <c r="O255" s="94">
        <f t="shared" si="59"/>
        <v>0</v>
      </c>
      <c r="P255" s="180">
        <f t="shared" si="63"/>
        <v>28548.400000000001</v>
      </c>
      <c r="Q255">
        <f>IFERROR(VLOOKUP(A255,[1]Energiindhold!$A$2:$C$11,3,FALSE),IFERROR(VLOOKUP(A255,[1]Biogasudbytte!$A$2:$B$18,2,FALSE)*[1]Energiindhold!$C$10,0))*O255</f>
        <v>0</v>
      </c>
      <c r="R255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>
        <f>IFERROR(VLOOKUP(A255,[1]Biogasudbytte!$A$2:$B$18,2,FALSE)*[1]Energiindhold!$C$10,0)*J255*IFERROR(VLOOKUP(A255,Biogasanlæg!$F$3:$G$8,2,FALSE),1)</f>
        <v>0.43389639740160008</v>
      </c>
      <c r="T255" s="170">
        <f t="shared" si="64"/>
        <v>0</v>
      </c>
      <c r="U255" s="169">
        <f>O255*IFERROR(VLOOKUP(A255,[1]Tørstofindhold!A$2:B$24,2,FALSE),0)</f>
        <v>0</v>
      </c>
      <c r="V255">
        <f>IF(D255=År1,P255,SUM(O255,P255))*IFERROR(VLOOKUP(A255,[1]Tørstofindhold!A$2:B$24,2,FALSE),0)</f>
        <v>25693.56</v>
      </c>
      <c r="W255">
        <f>J255*IFERROR(VLOOKUP(A255,[1]Tørstofindhold!A$2:B$24,2,FALSE),0)</f>
        <v>25693.56</v>
      </c>
      <c r="X255" s="170">
        <f t="shared" si="65"/>
        <v>0</v>
      </c>
      <c r="Y255">
        <f t="shared" si="60"/>
        <v>1</v>
      </c>
      <c r="Z255">
        <f t="shared" si="61"/>
        <v>0</v>
      </c>
    </row>
    <row r="256" spans="1:26" x14ac:dyDescent="0.55000000000000004">
      <c r="A256" s="171" t="str">
        <f t="shared" si="72"/>
        <v>Græs</v>
      </c>
      <c r="B256" s="171" t="str">
        <f t="shared" si="73"/>
        <v>Græs og urter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74"/>
        <v>2050</v>
      </c>
      <c r="E256" t="s">
        <v>24</v>
      </c>
      <c r="F256" s="94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2066928.9300738815</v>
      </c>
      <c r="G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1378883.0846623355</v>
      </c>
      <c r="H256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94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9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79">
        <f t="shared" si="62"/>
        <v>688045.84541154606</v>
      </c>
      <c r="O256" s="94">
        <f t="shared" si="59"/>
        <v>688045.84541154606</v>
      </c>
      <c r="P256" s="180">
        <f t="shared" si="63"/>
        <v>0</v>
      </c>
      <c r="Q256">
        <f>IFERROR(VLOOKUP(A256,[1]Energiindhold!$A$2:$C$11,3,FALSE),IFERROR(VLOOKUP(A256,[1]Biogasudbytte!$A$2:$B$18,2,FALSE)*[1]Energiindhold!$C$10,0))*O256</f>
        <v>1.2659183498265685</v>
      </c>
      <c r="R256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1.2659183498265685</v>
      </c>
      <c r="S256">
        <f>IFERROR(VLOOKUP(A256,[1]Biogasudbytte!$A$2:$B$18,2,FALSE)*[1]Energiindhold!$C$10,0)*J256*IFERROR(VLOOKUP(A256,Biogasanlæg!$F$3:$G$8,2,FALSE),1)</f>
        <v>0</v>
      </c>
      <c r="T256" s="170">
        <f t="shared" si="64"/>
        <v>1.2659183498265685</v>
      </c>
      <c r="U256" s="169">
        <f>O256*IFERROR(VLOOKUP(A256,[1]Tørstofindhold!A$2:B$24,2,FALSE),0)</f>
        <v>192652.83671523293</v>
      </c>
      <c r="V256">
        <f>IF(D256=År1,P256,SUM(O256,P256))*IFERROR(VLOOKUP(A256,[1]Tørstofindhold!A$2:B$24,2,FALSE),0)</f>
        <v>192652.83671523293</v>
      </c>
      <c r="W256">
        <f>J256*IFERROR(VLOOKUP(A256,[1]Tørstofindhold!A$2:B$24,2,FALSE),0)</f>
        <v>0</v>
      </c>
      <c r="X256" s="170">
        <f t="shared" si="65"/>
        <v>192652.83671523293</v>
      </c>
      <c r="Y256">
        <f t="shared" si="60"/>
        <v>0</v>
      </c>
      <c r="Z256">
        <f t="shared" si="61"/>
        <v>1</v>
      </c>
    </row>
    <row r="257" spans="1:26" x14ac:dyDescent="0.55000000000000004">
      <c r="A257" s="171" t="str">
        <f t="shared" si="72"/>
        <v>Græsprotein</v>
      </c>
      <c r="B257" s="171" t="str">
        <f t="shared" si="73"/>
        <v/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71">
        <f t="shared" si="74"/>
        <v>2050</v>
      </c>
      <c r="E257" t="s">
        <v>24</v>
      </c>
      <c r="F257" s="94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94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9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79">
        <f t="shared" si="62"/>
        <v>0</v>
      </c>
      <c r="O257" s="94">
        <f t="shared" si="59"/>
        <v>0</v>
      </c>
      <c r="P257" s="180">
        <f t="shared" si="63"/>
        <v>0</v>
      </c>
      <c r="Q257">
        <f>IFERROR(VLOOKUP(A257,[1]Energiindhold!$A$2:$C$11,3,FALSE),IFERROR(VLOOKUP(A257,[1]Biogasudbytte!$A$2:$B$18,2,FALSE)*[1]Energiindhold!$C$10,0))*O257</f>
        <v>0</v>
      </c>
      <c r="R25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>
        <f>IFERROR(VLOOKUP(A257,[1]Biogasudbytte!$A$2:$B$18,2,FALSE)*[1]Energiindhold!$C$10,0)*J257*IFERROR(VLOOKUP(A257,Biogasanlæg!$F$3:$G$8,2,FALSE),1)</f>
        <v>0</v>
      </c>
      <c r="T257" s="170">
        <f t="shared" si="64"/>
        <v>0</v>
      </c>
      <c r="U257" s="169">
        <f>O257*IFERROR(VLOOKUP(A257,[1]Tørstofindhold!A$2:B$24,2,FALSE),0)</f>
        <v>0</v>
      </c>
      <c r="V257">
        <f>IF(D257=År1,P257,SUM(O257,P257))*IFERROR(VLOOKUP(A257,[1]Tørstofindhold!A$2:B$24,2,FALSE),0)</f>
        <v>0</v>
      </c>
      <c r="W257">
        <f>J257*IFERROR(VLOOKUP(A257,[1]Tørstofindhold!A$2:B$24,2,FALSE),0)</f>
        <v>0</v>
      </c>
      <c r="X257" s="170">
        <f t="shared" si="65"/>
        <v>0</v>
      </c>
      <c r="Y257">
        <f t="shared" si="60"/>
        <v>0</v>
      </c>
      <c r="Z257">
        <f t="shared" si="61"/>
        <v>0</v>
      </c>
    </row>
    <row r="258" spans="1:26" x14ac:dyDescent="0.55000000000000004">
      <c r="A258" s="171" t="str">
        <f t="shared" si="72"/>
        <v>Grøntsager</v>
      </c>
      <c r="B258" s="171" t="str">
        <f t="shared" si="73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74"/>
        <v>2050</v>
      </c>
      <c r="E258" t="s">
        <v>24</v>
      </c>
      <c r="F258" s="94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100361.40981981652</v>
      </c>
      <c r="G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94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9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79">
        <f t="shared" si="62"/>
        <v>-144508.10693019553</v>
      </c>
      <c r="O258" s="94">
        <f t="shared" si="59"/>
        <v>0</v>
      </c>
      <c r="P258" s="180">
        <f t="shared" si="63"/>
        <v>0</v>
      </c>
      <c r="Q258">
        <f>IFERROR(VLOOKUP(A258,[1]Energiindhold!$A$2:$C$11,3,FALSE),IFERROR(VLOOKUP(A258,[1]Biogasudbytte!$A$2:$B$18,2,FALSE)*[1]Energiindhold!$C$10,0))*O258</f>
        <v>0</v>
      </c>
      <c r="R25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>
        <f>IFERROR(VLOOKUP(A258,[1]Biogasudbytte!$A$2:$B$18,2,FALSE)*[1]Energiindhold!$C$10,0)*J258*IFERROR(VLOOKUP(A258,Biogasanlæg!$F$3:$G$8,2,FALSE),1)</f>
        <v>0</v>
      </c>
      <c r="T258" s="170">
        <f t="shared" si="64"/>
        <v>0</v>
      </c>
      <c r="U258" s="169">
        <f>O258*IFERROR(VLOOKUP(A258,[1]Tørstofindhold!A$2:B$24,2,FALSE),0)</f>
        <v>0</v>
      </c>
      <c r="V258">
        <f>IF(D258=År1,P258,SUM(O258,P258))*IFERROR(VLOOKUP(A258,[1]Tørstofindhold!A$2:B$24,2,FALSE),0)</f>
        <v>0</v>
      </c>
      <c r="W258">
        <f>J258*IFERROR(VLOOKUP(A258,[1]Tørstofindhold!A$2:B$24,2,FALSE),0)</f>
        <v>0</v>
      </c>
      <c r="X258" s="170">
        <f t="shared" si="65"/>
        <v>0</v>
      </c>
      <c r="Y258">
        <f t="shared" si="60"/>
        <v>1</v>
      </c>
      <c r="Z258">
        <f t="shared" si="61"/>
        <v>0</v>
      </c>
    </row>
    <row r="259" spans="1:26" x14ac:dyDescent="0.55000000000000004">
      <c r="A259" s="171" t="str">
        <f t="shared" si="72"/>
        <v>Halm</v>
      </c>
      <c r="B259" s="171" t="str">
        <f t="shared" si="73"/>
        <v>Halm og strå</v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71">
        <f t="shared" si="74"/>
        <v>2050</v>
      </c>
      <c r="E259" t="s">
        <v>24</v>
      </c>
      <c r="F259" s="94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1501603.8609770872</v>
      </c>
      <c r="G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87107.539862645164</v>
      </c>
      <c r="H259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92961.560520988991</v>
      </c>
      <c r="I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94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1321534.7605934532</v>
      </c>
      <c r="M259" s="9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79">
        <f t="shared" si="62"/>
        <v>0</v>
      </c>
      <c r="O259" s="94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180">
        <f t="shared" si="63"/>
        <v>1321534.7605934532</v>
      </c>
      <c r="Q259">
        <f>IFERROR(VLOOKUP(A259,[1]Energiindhold!$A$2:$C$11,3,FALSE),IFERROR(VLOOKUP(A259,[1]Biogasudbytte!$A$2:$B$18,2,FALSE)*[1]Energiindhold!$C$10,0))*O259</f>
        <v>0</v>
      </c>
      <c r="R259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13.659127355928229</v>
      </c>
      <c r="S259">
        <f>IFERROR(VLOOKUP(A259,[1]Biogasudbytte!$A$2:$B$18,2,FALSE)*[1]Energiindhold!$C$10,0)*J259*IFERROR(VLOOKUP(A259,Biogasanlæg!$F$3:$G$8,2,FALSE),1)</f>
        <v>0</v>
      </c>
      <c r="T259" s="170">
        <f t="shared" si="64"/>
        <v>13.659127355928229</v>
      </c>
      <c r="U259" s="169">
        <f>O259*IFERROR(VLOOKUP(A259,[1]Tørstofindhold!A$2:B$24,2,FALSE),0)</f>
        <v>0</v>
      </c>
      <c r="V259">
        <f>IF(D259=År1,P259,SUM(O259,P259))*IFERROR(VLOOKUP(A259,[1]Tørstofindhold!A$2:B$24,2,FALSE),0)</f>
        <v>1123304.5465044351</v>
      </c>
      <c r="W259">
        <f>J259*IFERROR(VLOOKUP(A259,[1]Tørstofindhold!A$2:B$24,2,FALSE),0)</f>
        <v>0</v>
      </c>
      <c r="X259" s="170">
        <f t="shared" si="65"/>
        <v>1123304.5465044351</v>
      </c>
      <c r="Y259">
        <f t="shared" ref="Y259:Y274" si="76">IF(SUMIFS($N$3:$N$290,$A$3:$A$290,A259,$D$3:$D$290,D259)&lt;0,1,0)</f>
        <v>0</v>
      </c>
      <c r="Z259">
        <f t="shared" ref="Z259:Z274" si="77">IF(SUMIFS($N$3:$N$290,$A$3:$A$290,A259,$D$3:$D$290,D259)&gt;0,1,0)</f>
        <v>0</v>
      </c>
    </row>
    <row r="260" spans="1:26" hidden="1" x14ac:dyDescent="0.55000000000000004">
      <c r="A260" s="171" t="str">
        <f t="shared" si="72"/>
        <v>Have/parkaffald</v>
      </c>
      <c r="B260" s="171" t="str">
        <f t="shared" si="73"/>
        <v>Bionedbrydeligt affald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74"/>
        <v>2050</v>
      </c>
      <c r="E260" t="s">
        <v>24</v>
      </c>
      <c r="F260" s="94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94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9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79">
        <f t="shared" si="62"/>
        <v>0</v>
      </c>
      <c r="O260" s="94">
        <f t="shared" si="75"/>
        <v>0</v>
      </c>
      <c r="P260" s="180">
        <f t="shared" si="63"/>
        <v>457927.02496060182</v>
      </c>
      <c r="Q260">
        <f>IFERROR(VLOOKUP(A260,[1]Energiindhold!$A$2:$C$11,3,FALSE),IFERROR(VLOOKUP(A260,[1]Biogasudbytte!$A$2:$B$18,2,FALSE)*[1]Energiindhold!$C$10,0))*O260</f>
        <v>0</v>
      </c>
      <c r="R26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>
        <f>IFERROR(VLOOKUP(A260,[1]Biogasudbytte!$A$2:$B$18,2,FALSE)*[1]Energiindhold!$C$10,0)*J260*IFERROR(VLOOKUP(A260,Biogasanlæg!$F$3:$G$8,2,FALSE),1)</f>
        <v>0.77536968058834654</v>
      </c>
      <c r="T260" s="170">
        <f t="shared" si="64"/>
        <v>2.336528763738499E-2</v>
      </c>
      <c r="U260" s="169">
        <f>O260*IFERROR(VLOOKUP(A260,[1]Tørstofindhold!A$2:B$24,2,FALSE),0)</f>
        <v>0</v>
      </c>
      <c r="V260">
        <f>IF(D260=År1,P260,SUM(O260,P260))*IFERROR(VLOOKUP(A260,[1]Tørstofindhold!A$2:B$24,2,FALSE),0)</f>
        <v>137378.10748818054</v>
      </c>
      <c r="W260">
        <f>J260*IFERROR(VLOOKUP(A260,[1]Tørstofindhold!A$2:B$24,2,FALSE),0)</f>
        <v>136985.46242292953</v>
      </c>
      <c r="X260" s="170">
        <f t="shared" si="65"/>
        <v>392.64506525101024</v>
      </c>
      <c r="Y260">
        <f t="shared" si="76"/>
        <v>0</v>
      </c>
      <c r="Z260">
        <f t="shared" si="77"/>
        <v>0</v>
      </c>
    </row>
    <row r="261" spans="1:26" hidden="1" x14ac:dyDescent="0.55000000000000004">
      <c r="A261" s="171" t="str">
        <f t="shared" si="72"/>
        <v>Import af foder</v>
      </c>
      <c r="B261" s="171" t="str">
        <f t="shared" si="73"/>
        <v/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71">
        <f t="shared" si="74"/>
        <v>2050</v>
      </c>
      <c r="E261" t="s">
        <v>24</v>
      </c>
      <c r="F261" s="94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544043.61513285921</v>
      </c>
      <c r="H261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94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9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79">
        <f t="shared" si="62"/>
        <v>-544043.61513285921</v>
      </c>
      <c r="O261" s="94">
        <f t="shared" si="75"/>
        <v>0</v>
      </c>
      <c r="P261" s="180">
        <f t="shared" si="63"/>
        <v>0</v>
      </c>
      <c r="Q261">
        <f>IFERROR(VLOOKUP(A261,[1]Energiindhold!$A$2:$C$11,3,FALSE),IFERROR(VLOOKUP(A261,[1]Biogasudbytte!$A$2:$B$18,2,FALSE)*[1]Energiindhold!$C$10,0))*O261</f>
        <v>0</v>
      </c>
      <c r="R261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>
        <f>IFERROR(VLOOKUP(A261,[1]Biogasudbytte!$A$2:$B$18,2,FALSE)*[1]Energiindhold!$C$10,0)*J261*IFERROR(VLOOKUP(A261,Biogasanlæg!$F$3:$G$8,2,FALSE),1)</f>
        <v>0</v>
      </c>
      <c r="T261" s="170">
        <f t="shared" si="64"/>
        <v>0</v>
      </c>
      <c r="U261" s="169">
        <f>O261*IFERROR(VLOOKUP(A261,[1]Tørstofindhold!A$2:B$24,2,FALSE),0)</f>
        <v>0</v>
      </c>
      <c r="V261">
        <f>IF(D261=År1,P261,SUM(O261,P261))*IFERROR(VLOOKUP(A261,[1]Tørstofindhold!A$2:B$24,2,FALSE),0)</f>
        <v>0</v>
      </c>
      <c r="W261">
        <f>J261*IFERROR(VLOOKUP(A261,[1]Tørstofindhold!A$2:B$24,2,FALSE),0)</f>
        <v>0</v>
      </c>
      <c r="X261" s="170">
        <f t="shared" si="65"/>
        <v>0</v>
      </c>
      <c r="Y261">
        <f t="shared" si="76"/>
        <v>1</v>
      </c>
      <c r="Z261">
        <f t="shared" si="77"/>
        <v>0</v>
      </c>
    </row>
    <row r="262" spans="1:26" hidden="1" x14ac:dyDescent="0.55000000000000004">
      <c r="A262" s="171" t="str">
        <f t="shared" si="72"/>
        <v>Industriaffald</v>
      </c>
      <c r="B262" s="171" t="str">
        <f t="shared" si="73"/>
        <v>Bionedbrydeligt affald</v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71">
        <f t="shared" si="74"/>
        <v>2050</v>
      </c>
      <c r="E262" t="s">
        <v>24</v>
      </c>
      <c r="F262" s="94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200523.95597408165</v>
      </c>
      <c r="G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94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9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79">
        <f t="shared" si="62"/>
        <v>200523.95597408165</v>
      </c>
      <c r="O262" s="94">
        <f t="shared" si="75"/>
        <v>200523.95597408165</v>
      </c>
      <c r="P262" s="180">
        <f t="shared" si="63"/>
        <v>0</v>
      </c>
      <c r="Q262">
        <f>IFERROR(VLOOKUP(A262,[1]Energiindhold!$A$2:$C$11,3,FALSE),IFERROR(VLOOKUP(A262,[1]Biogasudbytte!$A$2:$B$18,2,FALSE)*[1]Energiindhold!$C$10,0))*O262</f>
        <v>0.8688963693499725</v>
      </c>
      <c r="R26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0.8688963693499725</v>
      </c>
      <c r="S262">
        <f>IFERROR(VLOOKUP(A262,[1]Biogasudbytte!$A$2:$B$18,2,FALSE)*[1]Energiindhold!$C$10,0)*J262*IFERROR(VLOOKUP(A262,Biogasanlæg!$F$3:$G$8,2,FALSE),1)</f>
        <v>0</v>
      </c>
      <c r="T262" s="170">
        <f t="shared" si="64"/>
        <v>0.8688963693499725</v>
      </c>
      <c r="U262" s="169">
        <f>O262*IFERROR(VLOOKUP(A262,[1]Tørstofindhold!A$2:B$24,2,FALSE),0)</f>
        <v>84220.061509114283</v>
      </c>
      <c r="V262">
        <f>IF(D262=År1,P262,SUM(O262,P262))*IFERROR(VLOOKUP(A262,[1]Tørstofindhold!A$2:B$24,2,FALSE),0)</f>
        <v>84220.061509114283</v>
      </c>
      <c r="W262">
        <f>J262*IFERROR(VLOOKUP(A262,[1]Tørstofindhold!A$2:B$24,2,FALSE),0)</f>
        <v>0</v>
      </c>
      <c r="X262" s="170">
        <f t="shared" si="65"/>
        <v>84220.061509114283</v>
      </c>
      <c r="Y262">
        <f t="shared" si="76"/>
        <v>0</v>
      </c>
      <c r="Z262">
        <f t="shared" si="77"/>
        <v>1</v>
      </c>
    </row>
    <row r="263" spans="1:26" hidden="1" x14ac:dyDescent="0.55000000000000004">
      <c r="A263" s="171" t="str">
        <f t="shared" si="72"/>
        <v>Juletræer</v>
      </c>
      <c r="B263" s="171" t="str">
        <f t="shared" si="73"/>
        <v/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71">
        <f t="shared" si="74"/>
        <v>2050</v>
      </c>
      <c r="E263" t="s">
        <v>24</v>
      </c>
      <c r="F263" s="94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150223.49993632184</v>
      </c>
      <c r="G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94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9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79">
        <f t="shared" si="62"/>
        <v>150223.49993632184</v>
      </c>
      <c r="O263" s="94">
        <f t="shared" si="75"/>
        <v>0</v>
      </c>
      <c r="P263" s="180">
        <f t="shared" si="63"/>
        <v>0</v>
      </c>
      <c r="Q263">
        <f>IFERROR(VLOOKUP(A263,[1]Energiindhold!$A$2:$C$11,3,FALSE),IFERROR(VLOOKUP(A263,[1]Biogasudbytte!$A$2:$B$18,2,FALSE)*[1]Energiindhold!$C$10,0))*O263</f>
        <v>0</v>
      </c>
      <c r="R263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>
        <f>IFERROR(VLOOKUP(A263,[1]Biogasudbytte!$A$2:$B$18,2,FALSE)*[1]Energiindhold!$C$10,0)*J263*IFERROR(VLOOKUP(A263,Biogasanlæg!$F$3:$G$8,2,FALSE),1)</f>
        <v>0</v>
      </c>
      <c r="T263" s="170">
        <f t="shared" si="64"/>
        <v>0</v>
      </c>
      <c r="U263" s="169">
        <f>O263*IFERROR(VLOOKUP(A263,[1]Tørstofindhold!A$2:B$24,2,FALSE),0)</f>
        <v>0</v>
      </c>
      <c r="V263">
        <f>IF(D263=År1,P263,SUM(O263,P263))*IFERROR(VLOOKUP(A263,[1]Tørstofindhold!A$2:B$24,2,FALSE),0)</f>
        <v>0</v>
      </c>
      <c r="W263">
        <f>J263*IFERROR(VLOOKUP(A263,[1]Tørstofindhold!A$2:B$24,2,FALSE),0)</f>
        <v>0</v>
      </c>
      <c r="X263" s="170">
        <f t="shared" si="65"/>
        <v>0</v>
      </c>
      <c r="Y263">
        <f t="shared" si="76"/>
        <v>0</v>
      </c>
      <c r="Z263">
        <f t="shared" si="77"/>
        <v>1</v>
      </c>
    </row>
    <row r="264" spans="1:26" x14ac:dyDescent="0.55000000000000004">
      <c r="A264" s="171" t="str">
        <f t="shared" si="72"/>
        <v>Kartofler</v>
      </c>
      <c r="B264" s="171" t="str">
        <f t="shared" si="73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74"/>
        <v>2050</v>
      </c>
      <c r="E264" t="s">
        <v>24</v>
      </c>
      <c r="F264" s="94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119162.42345688539</v>
      </c>
      <c r="G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94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9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79">
        <f t="shared" si="62"/>
        <v>7186.9157973321417</v>
      </c>
      <c r="O264" s="94">
        <f t="shared" si="75"/>
        <v>0</v>
      </c>
      <c r="P264" s="180">
        <f t="shared" si="63"/>
        <v>0</v>
      </c>
      <c r="Q264">
        <f>IFERROR(VLOOKUP(A264,[1]Energiindhold!$A$2:$C$11,3,FALSE),IFERROR(VLOOKUP(A264,[1]Biogasudbytte!$A$2:$B$18,2,FALSE)*[1]Energiindhold!$C$10,0))*O264</f>
        <v>0</v>
      </c>
      <c r="R264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>
        <f>IFERROR(VLOOKUP(A264,[1]Biogasudbytte!$A$2:$B$18,2,FALSE)*[1]Energiindhold!$C$10,0)*J264*IFERROR(VLOOKUP(A264,Biogasanlæg!$F$3:$G$8,2,FALSE),1)</f>
        <v>0</v>
      </c>
      <c r="T264" s="170">
        <f t="shared" si="64"/>
        <v>0</v>
      </c>
      <c r="U264" s="169">
        <f>O264*IFERROR(VLOOKUP(A264,[1]Tørstofindhold!A$2:B$24,2,FALSE),0)</f>
        <v>0</v>
      </c>
      <c r="V264">
        <f>IF(D264=År1,P264,SUM(O264,P264))*IFERROR(VLOOKUP(A264,[1]Tørstofindhold!A$2:B$24,2,FALSE),0)</f>
        <v>0</v>
      </c>
      <c r="W264">
        <f>J264*IFERROR(VLOOKUP(A264,[1]Tørstofindhold!A$2:B$24,2,FALSE),0)</f>
        <v>0</v>
      </c>
      <c r="X264" s="170">
        <f t="shared" si="65"/>
        <v>0</v>
      </c>
      <c r="Y264">
        <f t="shared" si="76"/>
        <v>0</v>
      </c>
      <c r="Z264">
        <f t="shared" si="77"/>
        <v>1</v>
      </c>
    </row>
    <row r="265" spans="1:26" x14ac:dyDescent="0.55000000000000004">
      <c r="A265" s="171" t="str">
        <f t="shared" si="72"/>
        <v>Korn</v>
      </c>
      <c r="B265" s="171" t="str">
        <f t="shared" si="73"/>
        <v>Halm og strå</v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71">
        <f t="shared" si="74"/>
        <v>2050</v>
      </c>
      <c r="E265" t="s">
        <v>24</v>
      </c>
      <c r="F265" s="94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2365391.4259483349</v>
      </c>
      <c r="G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662441.233045817</v>
      </c>
      <c r="H265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94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9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79">
        <f t="shared" si="62"/>
        <v>1434701.1745532583</v>
      </c>
      <c r="O265" s="94">
        <f t="shared" si="75"/>
        <v>1434701.1745532583</v>
      </c>
      <c r="P265" s="180">
        <f t="shared" si="63"/>
        <v>0</v>
      </c>
      <c r="Q265">
        <f>IFERROR(VLOOKUP(A265,[1]Energiindhold!$A$2:$C$11,3,FALSE),IFERROR(VLOOKUP(A265,[1]Biogasudbytte!$A$2:$B$18,2,FALSE)*[1]Energiindhold!$C$10,0))*O265</f>
        <v>4.913650664680473</v>
      </c>
      <c r="R265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4.913650664680473</v>
      </c>
      <c r="S265">
        <f>IFERROR(VLOOKUP(A265,[1]Biogasudbytte!$A$2:$B$18,2,FALSE)*[1]Energiindhold!$C$10,0)*J265*IFERROR(VLOOKUP(A265,Biogasanlæg!$F$3:$G$8,2,FALSE),1)</f>
        <v>0</v>
      </c>
      <c r="T265" s="170">
        <f t="shared" si="64"/>
        <v>4.913650664680473</v>
      </c>
      <c r="U265" s="169">
        <f>O265*IFERROR(VLOOKUP(A265,[1]Tørstofindhold!A$2:B$24,2,FALSE),0)</f>
        <v>444757.36411151011</v>
      </c>
      <c r="V265">
        <f>IF(D265=År1,P265,SUM(O265,P265))*IFERROR(VLOOKUP(A265,[1]Tørstofindhold!A$2:B$24,2,FALSE),0)</f>
        <v>444757.36411151011</v>
      </c>
      <c r="W265">
        <f>J265*IFERROR(VLOOKUP(A265,[1]Tørstofindhold!A$2:B$24,2,FALSE),0)</f>
        <v>0</v>
      </c>
      <c r="X265" s="170">
        <f t="shared" si="65"/>
        <v>444757.36411151011</v>
      </c>
      <c r="Y265">
        <f t="shared" si="76"/>
        <v>0</v>
      </c>
      <c r="Z265">
        <f t="shared" si="77"/>
        <v>1</v>
      </c>
    </row>
    <row r="266" spans="1:26" hidden="1" x14ac:dyDescent="0.55000000000000004">
      <c r="A266" s="171" t="str">
        <f t="shared" si="72"/>
        <v>Kunstgødning</v>
      </c>
      <c r="B266" s="171" t="str">
        <f t="shared" si="73"/>
        <v/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71">
        <f t="shared" si="74"/>
        <v>2050</v>
      </c>
      <c r="E266" t="s">
        <v>24</v>
      </c>
      <c r="F266" s="94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94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94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94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94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288937.99053379206</v>
      </c>
      <c r="L266" s="94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9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79">
        <f t="shared" ca="1" si="62"/>
        <v>-288937.99053379206</v>
      </c>
      <c r="O266" s="94">
        <f t="shared" si="75"/>
        <v>0</v>
      </c>
      <c r="P266" s="180">
        <f t="shared" si="63"/>
        <v>0</v>
      </c>
      <c r="Q266">
        <f>IFERROR(VLOOKUP(A266,[1]Energiindhold!$A$2:$C$11,3,FALSE),IFERROR(VLOOKUP(A266,[1]Biogasudbytte!$A$2:$B$18,2,FALSE)*[1]Energiindhold!$C$10,0))*O266</f>
        <v>0</v>
      </c>
      <c r="R266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>
        <f>IFERROR(VLOOKUP(A266,[1]Biogasudbytte!$A$2:$B$18,2,FALSE)*[1]Energiindhold!$C$10,0)*J266*IFERROR(VLOOKUP(A266,Biogasanlæg!$F$3:$G$8,2,FALSE),1)</f>
        <v>0</v>
      </c>
      <c r="T266" s="170">
        <f t="shared" si="64"/>
        <v>0</v>
      </c>
      <c r="U266" s="169">
        <f>O266*IFERROR(VLOOKUP(A266,[1]Tørstofindhold!A$2:B$24,2,FALSE),0)</f>
        <v>0</v>
      </c>
      <c r="V266">
        <f>IF(D266=År1,P266,SUM(O266,P266))*IFERROR(VLOOKUP(A266,[1]Tørstofindhold!A$2:B$24,2,FALSE),0)</f>
        <v>0</v>
      </c>
      <c r="W266">
        <f>J266*IFERROR(VLOOKUP(A266,[1]Tørstofindhold!A$2:B$24,2,FALSE),0)</f>
        <v>0</v>
      </c>
      <c r="X266" s="170">
        <f t="shared" si="65"/>
        <v>0</v>
      </c>
      <c r="Y266">
        <f t="shared" ca="1" si="76"/>
        <v>1</v>
      </c>
      <c r="Z266">
        <f t="shared" ca="1" si="77"/>
        <v>0</v>
      </c>
    </row>
    <row r="267" spans="1:26" hidden="1" x14ac:dyDescent="0.55000000000000004">
      <c r="A267" s="171" t="str">
        <f t="shared" si="72"/>
        <v>Kvæggylle</v>
      </c>
      <c r="B267" s="171" t="str">
        <f t="shared" si="73"/>
        <v>Husdyrgødning</v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71">
        <f t="shared" si="74"/>
        <v>2050</v>
      </c>
      <c r="E267" t="s">
        <v>24</v>
      </c>
      <c r="F267" s="94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94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9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79">
        <f t="shared" si="62"/>
        <v>0</v>
      </c>
      <c r="O267" s="94">
        <f t="shared" si="75"/>
        <v>0</v>
      </c>
      <c r="P267" s="180">
        <f t="shared" si="63"/>
        <v>814640.76605924184</v>
      </c>
      <c r="Q267">
        <f>IFERROR(VLOOKUP(A267,[1]Energiindhold!$A$2:$C$11,3,FALSE),IFERROR(VLOOKUP(A267,[1]Biogasudbytte!$A$2:$B$18,2,FALSE)*[1]Energiindhold!$C$10,0))*O267</f>
        <v>0</v>
      </c>
      <c r="R26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>
        <f>IFERROR(VLOOKUP(A267,[1]Biogasudbytte!$A$2:$B$18,2,FALSE)*[1]Energiindhold!$C$10,0)*J267*IFERROR(VLOOKUP(A267,Biogasanlæg!$F$3:$G$8,2,FALSE),1)</f>
        <v>0.4123630093715277</v>
      </c>
      <c r="T267" s="170">
        <f t="shared" si="64"/>
        <v>0</v>
      </c>
      <c r="U267" s="169">
        <f>O267*IFERROR(VLOOKUP(A267,[1]Tørstofindhold!A$2:B$24,2,FALSE),0)</f>
        <v>0</v>
      </c>
      <c r="V267">
        <f>IF(D267=År1,P267,SUM(O267,P267))*IFERROR(VLOOKUP(A267,[1]Tørstofindhold!A$2:B$24,2,FALSE),0)</f>
        <v>61912.698220502381</v>
      </c>
      <c r="W267">
        <f>J267*IFERROR(VLOOKUP(A267,[1]Tørstofindhold!A$2:B$24,2,FALSE),0)</f>
        <v>61912.698220502381</v>
      </c>
      <c r="X267" s="170">
        <f t="shared" si="65"/>
        <v>0</v>
      </c>
      <c r="Y267">
        <f t="shared" si="76"/>
        <v>0</v>
      </c>
      <c r="Z267">
        <f t="shared" si="77"/>
        <v>0</v>
      </c>
    </row>
    <row r="268" spans="1:26" hidden="1" x14ac:dyDescent="0.55000000000000004">
      <c r="A268" s="171" t="str">
        <f t="shared" si="72"/>
        <v>Mælk til foder</v>
      </c>
      <c r="B268" s="171" t="str">
        <f t="shared" si="73"/>
        <v/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71">
        <f t="shared" si="74"/>
        <v>2050</v>
      </c>
      <c r="E268" t="s">
        <v>24</v>
      </c>
      <c r="F268" s="94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170783.26471332053</v>
      </c>
      <c r="H26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94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9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79">
        <f t="shared" si="62"/>
        <v>-57712.797349937478</v>
      </c>
      <c r="O268" s="94">
        <f t="shared" si="75"/>
        <v>0</v>
      </c>
      <c r="P268" s="180">
        <f t="shared" si="63"/>
        <v>0</v>
      </c>
      <c r="Q268">
        <f>IFERROR(VLOOKUP(A268,[1]Energiindhold!$A$2:$C$11,3,FALSE),IFERROR(VLOOKUP(A268,[1]Biogasudbytte!$A$2:$B$18,2,FALSE)*[1]Energiindhold!$C$10,0))*O268</f>
        <v>0</v>
      </c>
      <c r="R26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>
        <f>IFERROR(VLOOKUP(A268,[1]Biogasudbytte!$A$2:$B$18,2,FALSE)*[1]Energiindhold!$C$10,0)*J268*IFERROR(VLOOKUP(A268,Biogasanlæg!$F$3:$G$8,2,FALSE),1)</f>
        <v>0</v>
      </c>
      <c r="T268" s="170">
        <f t="shared" si="64"/>
        <v>0</v>
      </c>
      <c r="U268" s="169">
        <f>O268*IFERROR(VLOOKUP(A268,[1]Tørstofindhold!A$2:B$24,2,FALSE),0)</f>
        <v>0</v>
      </c>
      <c r="V268">
        <f>IF(D268=År1,P268,SUM(O268,P268))*IFERROR(VLOOKUP(A268,[1]Tørstofindhold!A$2:B$24,2,FALSE),0)</f>
        <v>0</v>
      </c>
      <c r="W268">
        <f>J268*IFERROR(VLOOKUP(A268,[1]Tørstofindhold!A$2:B$24,2,FALSE),0)</f>
        <v>0</v>
      </c>
      <c r="X268" s="170">
        <f t="shared" si="65"/>
        <v>0</v>
      </c>
      <c r="Y268">
        <f t="shared" si="76"/>
        <v>0</v>
      </c>
      <c r="Z268">
        <f t="shared" si="77"/>
        <v>1</v>
      </c>
    </row>
    <row r="269" spans="1:26" x14ac:dyDescent="0.55000000000000004">
      <c r="A269" s="171" t="str">
        <f t="shared" si="72"/>
        <v>Majs</v>
      </c>
      <c r="B269" s="171" t="str">
        <f t="shared" si="73"/>
        <v>Græs og urter</v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71">
        <f t="shared" si="74"/>
        <v>2050</v>
      </c>
      <c r="E269" t="s">
        <v>24</v>
      </c>
      <c r="F269" s="94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385351.77925728471</v>
      </c>
      <c r="G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637409.17060556682</v>
      </c>
      <c r="H269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94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9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79">
        <f t="shared" si="62"/>
        <v>-252057.39134828211</v>
      </c>
      <c r="O269" s="94">
        <f t="shared" si="75"/>
        <v>0</v>
      </c>
      <c r="P269" s="180">
        <f t="shared" si="63"/>
        <v>0</v>
      </c>
      <c r="Q269">
        <f>IFERROR(VLOOKUP(A269,[1]Energiindhold!$A$2:$C$11,3,FALSE),IFERROR(VLOOKUP(A269,[1]Biogasudbytte!$A$2:$B$18,2,FALSE)*[1]Energiindhold!$C$10,0))*O269</f>
        <v>0</v>
      </c>
      <c r="R269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</v>
      </c>
      <c r="S269">
        <f>IFERROR(VLOOKUP(A269,[1]Biogasudbytte!$A$2:$B$18,2,FALSE)*[1]Energiindhold!$C$10,0)*J269*IFERROR(VLOOKUP(A269,Biogasanlæg!$F$3:$G$8,2,FALSE),1)</f>
        <v>0</v>
      </c>
      <c r="T269" s="170">
        <f t="shared" si="64"/>
        <v>0</v>
      </c>
      <c r="U269" s="169">
        <f>O269*IFERROR(VLOOKUP(A269,[1]Tørstofindhold!A$2:B$24,2,FALSE),0)</f>
        <v>0</v>
      </c>
      <c r="V269">
        <f>IF(D269=År1,P269,SUM(O269,P269))*IFERROR(VLOOKUP(A269,[1]Tørstofindhold!A$2:B$24,2,FALSE),0)</f>
        <v>0</v>
      </c>
      <c r="W269">
        <f>J269*IFERROR(VLOOKUP(A269,[1]Tørstofindhold!A$2:B$24,2,FALSE),0)</f>
        <v>0</v>
      </c>
      <c r="X269" s="170">
        <f t="shared" si="65"/>
        <v>0</v>
      </c>
      <c r="Y269">
        <f t="shared" si="76"/>
        <v>0</v>
      </c>
      <c r="Z269">
        <f t="shared" si="77"/>
        <v>1</v>
      </c>
    </row>
    <row r="270" spans="1:26" x14ac:dyDescent="0.55000000000000004">
      <c r="A270" s="171" t="str">
        <f t="shared" si="72"/>
        <v>Mejeriprodukter</v>
      </c>
      <c r="B270" s="171" t="str">
        <f t="shared" si="73"/>
        <v/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71">
        <f t="shared" si="74"/>
        <v>2050</v>
      </c>
      <c r="E270" t="s">
        <v>24</v>
      </c>
      <c r="F270" s="94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94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9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79">
        <f t="shared" si="62"/>
        <v>-210046.70964768095</v>
      </c>
      <c r="O270" s="94">
        <f t="shared" si="75"/>
        <v>0</v>
      </c>
      <c r="P270" s="180">
        <f t="shared" si="63"/>
        <v>0</v>
      </c>
      <c r="Q270">
        <f>IFERROR(VLOOKUP(A270,[1]Energiindhold!$A$2:$C$11,3,FALSE),IFERROR(VLOOKUP(A270,[1]Biogasudbytte!$A$2:$B$18,2,FALSE)*[1]Energiindhold!$C$10,0))*O270</f>
        <v>0</v>
      </c>
      <c r="R27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>
        <f>IFERROR(VLOOKUP(A270,[1]Biogasudbytte!$A$2:$B$18,2,FALSE)*[1]Energiindhold!$C$10,0)*J270*IFERROR(VLOOKUP(A270,Biogasanlæg!$F$3:$G$8,2,FALSE),1)</f>
        <v>0</v>
      </c>
      <c r="T270" s="170">
        <f t="shared" si="64"/>
        <v>0</v>
      </c>
      <c r="U270" s="169">
        <f>O270*IFERROR(VLOOKUP(A270,[1]Tørstofindhold!A$2:B$24,2,FALSE),0)</f>
        <v>0</v>
      </c>
      <c r="V270">
        <f>IF(D270=År1,P270,SUM(O270,P270))*IFERROR(VLOOKUP(A270,[1]Tørstofindhold!A$2:B$24,2,FALSE),0)</f>
        <v>0</v>
      </c>
      <c r="W270">
        <f>J270*IFERROR(VLOOKUP(A270,[1]Tørstofindhold!A$2:B$24,2,FALSE),0)</f>
        <v>0</v>
      </c>
      <c r="X270" s="170">
        <f t="shared" si="65"/>
        <v>0</v>
      </c>
      <c r="Y270">
        <f t="shared" si="76"/>
        <v>0</v>
      </c>
      <c r="Z270">
        <f t="shared" si="77"/>
        <v>1</v>
      </c>
    </row>
    <row r="271" spans="1:26" x14ac:dyDescent="0.55000000000000004">
      <c r="A271" s="171" t="str">
        <f t="shared" si="72"/>
        <v>Muslinger</v>
      </c>
      <c r="B271" s="171" t="str">
        <f t="shared" si="73"/>
        <v>Havbiomasse</v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71">
        <f t="shared" si="74"/>
        <v>2050</v>
      </c>
      <c r="E271" t="s">
        <v>24</v>
      </c>
      <c r="F271" s="94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1.1976865502381491</v>
      </c>
      <c r="G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94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9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79">
        <f t="shared" si="62"/>
        <v>1.1976865502381491</v>
      </c>
      <c r="O271" s="94">
        <f t="shared" si="75"/>
        <v>1.1976865502381491</v>
      </c>
      <c r="P271" s="180">
        <f t="shared" si="63"/>
        <v>0</v>
      </c>
      <c r="Q271">
        <f>IFERROR(VLOOKUP(A271,[1]Energiindhold!$A$2:$C$11,3,FALSE),IFERROR(VLOOKUP(A271,[1]Biogasudbytte!$A$2:$B$18,2,FALSE)*[1]Energiindhold!$C$10,0))*O271</f>
        <v>1.0749236788387388E-6</v>
      </c>
      <c r="R271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1.0749236788387388E-6</v>
      </c>
      <c r="S271">
        <f>IFERROR(VLOOKUP(A271,[1]Biogasudbytte!$A$2:$B$18,2,FALSE)*[1]Energiindhold!$C$10,0)*J271*IFERROR(VLOOKUP(A271,Biogasanlæg!$F$3:$G$8,2,FALSE),1)</f>
        <v>0</v>
      </c>
      <c r="T271" s="170">
        <f t="shared" si="64"/>
        <v>1.0749236788387388E-6</v>
      </c>
      <c r="U271" s="169">
        <f>O271*IFERROR(VLOOKUP(A271,[1]Tørstofindhold!A$2:B$24,2,FALSE),0)</f>
        <v>0.17965298253572234</v>
      </c>
      <c r="V271">
        <f>IF(D271=År1,P271,SUM(O271,P271))*IFERROR(VLOOKUP(A271,[1]Tørstofindhold!A$2:B$24,2,FALSE),0)</f>
        <v>0.17965298253572234</v>
      </c>
      <c r="W271">
        <f>J271*IFERROR(VLOOKUP(A271,[1]Tørstofindhold!A$2:B$24,2,FALSE),0)</f>
        <v>0</v>
      </c>
      <c r="X271" s="170">
        <f t="shared" si="65"/>
        <v>0.17965298253572234</v>
      </c>
      <c r="Y271">
        <f t="shared" si="76"/>
        <v>0</v>
      </c>
      <c r="Z271">
        <f t="shared" si="77"/>
        <v>1</v>
      </c>
    </row>
    <row r="272" spans="1:26" x14ac:dyDescent="0.55000000000000004">
      <c r="A272" s="171" t="str">
        <f t="shared" si="72"/>
        <v>Oksekød</v>
      </c>
      <c r="B272" s="171" t="str">
        <f t="shared" si="73"/>
        <v/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71">
        <f t="shared" si="74"/>
        <v>2050</v>
      </c>
      <c r="E272" t="s">
        <v>24</v>
      </c>
      <c r="F272" s="94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94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9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79">
        <f t="shared" si="62"/>
        <v>-25342.064686641326</v>
      </c>
      <c r="O272" s="94">
        <f t="shared" si="75"/>
        <v>0</v>
      </c>
      <c r="P272" s="180">
        <f t="shared" si="63"/>
        <v>0</v>
      </c>
      <c r="Q272">
        <f>IFERROR(VLOOKUP(A272,[1]Energiindhold!$A$2:$C$11,3,FALSE),IFERROR(VLOOKUP(A272,[1]Biogasudbytte!$A$2:$B$18,2,FALSE)*[1]Energiindhold!$C$10,0))*O272</f>
        <v>0</v>
      </c>
      <c r="R27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>
        <f>IFERROR(VLOOKUP(A272,[1]Biogasudbytte!$A$2:$B$18,2,FALSE)*[1]Energiindhold!$C$10,0)*J272*IFERROR(VLOOKUP(A272,Biogasanlæg!$F$3:$G$8,2,FALSE),1)</f>
        <v>0</v>
      </c>
      <c r="T272" s="170">
        <f t="shared" si="64"/>
        <v>0</v>
      </c>
      <c r="U272" s="169">
        <f>O272*IFERROR(VLOOKUP(A272,[1]Tørstofindhold!A$2:B$24,2,FALSE),0)</f>
        <v>0</v>
      </c>
      <c r="V272">
        <f>IF(D272=År1,P272,SUM(O272,P272))*IFERROR(VLOOKUP(A272,[1]Tørstofindhold!A$2:B$24,2,FALSE),0)</f>
        <v>0</v>
      </c>
      <c r="W272">
        <f>J272*IFERROR(VLOOKUP(A272,[1]Tørstofindhold!A$2:B$24,2,FALSE),0)</f>
        <v>0</v>
      </c>
      <c r="X272" s="170">
        <f t="shared" si="65"/>
        <v>0</v>
      </c>
      <c r="Y272">
        <f t="shared" si="76"/>
        <v>0</v>
      </c>
      <c r="Z272">
        <f t="shared" si="77"/>
        <v>1</v>
      </c>
    </row>
    <row r="273" spans="1:26" hidden="1" x14ac:dyDescent="0.55000000000000004">
      <c r="A273" s="171" t="str">
        <f t="shared" si="72"/>
        <v>Øvrige</v>
      </c>
      <c r="B273" s="171" t="str">
        <f t="shared" si="73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74"/>
        <v>2050</v>
      </c>
      <c r="E273" t="s">
        <v>24</v>
      </c>
      <c r="F273" s="94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407929.68166494544</v>
      </c>
      <c r="G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94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9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79">
        <f t="shared" si="62"/>
        <v>407929.68166494544</v>
      </c>
      <c r="O273" s="94">
        <f t="shared" si="75"/>
        <v>0</v>
      </c>
      <c r="P273" s="180">
        <f t="shared" si="63"/>
        <v>0</v>
      </c>
      <c r="Q273">
        <f>IFERROR(VLOOKUP(A273,[1]Energiindhold!$A$2:$C$11,3,FALSE),IFERROR(VLOOKUP(A273,[1]Biogasudbytte!$A$2:$B$18,2,FALSE)*[1]Energiindhold!$C$10,0))*O273</f>
        <v>0</v>
      </c>
      <c r="R273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>
        <f>IFERROR(VLOOKUP(A273,[1]Biogasudbytte!$A$2:$B$18,2,FALSE)*[1]Energiindhold!$C$10,0)*J273*IFERROR(VLOOKUP(A273,Biogasanlæg!$F$3:$G$8,2,FALSE),1)</f>
        <v>0</v>
      </c>
      <c r="T273" s="170">
        <f t="shared" si="64"/>
        <v>0</v>
      </c>
      <c r="U273" s="169">
        <f>O273*IFERROR(VLOOKUP(A273,[1]Tørstofindhold!A$2:B$24,2,FALSE),0)</f>
        <v>0</v>
      </c>
      <c r="V273">
        <f>IF(D273=År1,P273,SUM(O273,P273))*IFERROR(VLOOKUP(A273,[1]Tørstofindhold!A$2:B$24,2,FALSE),0)</f>
        <v>0</v>
      </c>
      <c r="W273">
        <f>J273*IFERROR(VLOOKUP(A273,[1]Tørstofindhold!A$2:B$24,2,FALSE),0)</f>
        <v>0</v>
      </c>
      <c r="X273" s="170">
        <f t="shared" si="65"/>
        <v>0</v>
      </c>
      <c r="Y273">
        <f t="shared" si="76"/>
        <v>0</v>
      </c>
      <c r="Z273">
        <f t="shared" si="77"/>
        <v>1</v>
      </c>
    </row>
    <row r="274" spans="1:26" x14ac:dyDescent="0.55000000000000004">
      <c r="A274" s="171" t="str">
        <f t="shared" si="72"/>
        <v>Pil &amp; poppel</v>
      </c>
      <c r="B274" s="171" t="str">
        <f t="shared" si="73"/>
        <v>Vedmasse</v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71">
        <f t="shared" si="74"/>
        <v>2050</v>
      </c>
      <c r="E274" t="s">
        <v>24</v>
      </c>
      <c r="F274" s="94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36959.622363047813</v>
      </c>
      <c r="G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94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36959.622363047813</v>
      </c>
      <c r="M274" s="9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79">
        <f t="shared" si="62"/>
        <v>0</v>
      </c>
      <c r="O274" s="94">
        <f t="shared" si="75"/>
        <v>0</v>
      </c>
      <c r="P274" s="180">
        <f t="shared" si="63"/>
        <v>36959.622363047813</v>
      </c>
      <c r="Q274">
        <f>IFERROR(VLOOKUP(A274,[1]Energiindhold!$A$2:$C$11,3,FALSE),IFERROR(VLOOKUP(A274,[1]Biogasudbytte!$A$2:$B$18,2,FALSE)*[1]Energiindhold!$C$10,0))*O274</f>
        <v>0</v>
      </c>
      <c r="R274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0.68005705148007967</v>
      </c>
      <c r="S274">
        <f>IFERROR(VLOOKUP(A274,[1]Biogasudbytte!$A$2:$B$18,2,FALSE)*[1]Energiindhold!$C$10,0)*J274*IFERROR(VLOOKUP(A274,Biogasanlæg!$F$3:$G$8,2,FALSE),1)</f>
        <v>0</v>
      </c>
      <c r="T274" s="170">
        <f t="shared" si="64"/>
        <v>0.68005705148007967</v>
      </c>
      <c r="U274" s="169">
        <f>O274*IFERROR(VLOOKUP(A274,[1]Tørstofindhold!A$2:B$24,2,FALSE),0)</f>
        <v>0</v>
      </c>
      <c r="V274">
        <f>IF(D274=År1,P274,SUM(O274,P274))*IFERROR(VLOOKUP(A274,[1]Tørstofindhold!A$2:B$24,2,FALSE),0)</f>
        <v>15338.243280664843</v>
      </c>
      <c r="W274">
        <f>J274*IFERROR(VLOOKUP(A274,[1]Tørstofindhold!A$2:B$24,2,FALSE),0)</f>
        <v>0</v>
      </c>
      <c r="X274" s="170">
        <f t="shared" si="65"/>
        <v>15338.243280664843</v>
      </c>
      <c r="Y274">
        <f t="shared" si="76"/>
        <v>0</v>
      </c>
      <c r="Z274">
        <f t="shared" si="77"/>
        <v>0</v>
      </c>
    </row>
    <row r="275" spans="1:26" hidden="1" x14ac:dyDescent="0.55000000000000004">
      <c r="A275" s="171" t="str">
        <f t="shared" ref="A275:A276" si="78">A227</f>
        <v>Pyrolysegas</v>
      </c>
      <c r="B275" s="171" t="str">
        <f t="shared" ref="B275:B276" si="79">IF(B227&lt;&gt;"",B227,"")</f>
        <v>Pyrolyseprodukter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74"/>
        <v>2050</v>
      </c>
      <c r="E275" t="s">
        <v>24</v>
      </c>
      <c r="F275" s="94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94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9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79">
        <f t="shared" ref="N275:N276" si="80">F275-SUM(G275:M275)</f>
        <v>0</v>
      </c>
      <c r="O275" s="94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180">
        <f t="shared" ref="P275:P276" si="82">SUM(J275,L275)</f>
        <v>0</v>
      </c>
      <c r="Q275">
        <f>IFERROR(VLOOKUP(A275,[1]Energiindhold!$A$2:$C$11,3,FALSE),IFERROR(VLOOKUP(A275,[1]Biogasudbytte!$A$2:$B$18,2,FALSE)*[1]Energiindhold!$C$10,0))*O275</f>
        <v>0</v>
      </c>
      <c r="R275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>
        <f>IFERROR(VLOOKUP(A275,[1]Biogasudbytte!$A$2:$B$18,2,FALSE)*[1]Energiindhold!$C$10,0)*J275*IFERROR(VLOOKUP(A275,Biogasanlæg!$F$3:$G$8,2,FALSE),1)</f>
        <v>0</v>
      </c>
      <c r="T275" s="170">
        <f t="shared" ref="T275:T276" si="83">R275-S275</f>
        <v>0</v>
      </c>
      <c r="U275" s="169">
        <f>O275*IFERROR(VLOOKUP(A275,[1]Tørstofindhold!A$2:B$24,2,FALSE),0)</f>
        <v>0</v>
      </c>
      <c r="V275">
        <f>IF(D275=År1,P275,SUM(O275,P275))*IFERROR(VLOOKUP(A275,[1]Tørstofindhold!A$2:B$24,2,FALSE),0)</f>
        <v>0</v>
      </c>
      <c r="W275">
        <f>J275*IFERROR(VLOOKUP(A275,[1]Tørstofindhold!A$2:B$24,2,FALSE),0)</f>
        <v>0</v>
      </c>
      <c r="X275" s="170">
        <f t="shared" ref="X275:X276" si="84">V275-W275</f>
        <v>0</v>
      </c>
      <c r="Y275">
        <f t="shared" ref="Y275:Y276" si="85">IF(SUMIFS($N$3:$N$290,$A$3:$A$290,A275,$D$3:$D$290,D275)&lt;0,1,0)</f>
        <v>0</v>
      </c>
      <c r="Z275">
        <f t="shared" ref="Z275:Z276" si="86">IF(SUMIFS($N$3:$N$290,$A$3:$A$290,A275,$D$3:$D$290,D275)&gt;0,1,0)</f>
        <v>0</v>
      </c>
    </row>
    <row r="276" spans="1:26" hidden="1" x14ac:dyDescent="0.55000000000000004">
      <c r="A276" s="171" t="str">
        <f t="shared" si="78"/>
        <v>Pyrolyseolie</v>
      </c>
      <c r="B276" s="171" t="str">
        <f t="shared" si="79"/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74"/>
        <v>2050</v>
      </c>
      <c r="E276" t="s">
        <v>24</v>
      </c>
      <c r="F276" s="94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94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9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79">
        <f t="shared" si="80"/>
        <v>0</v>
      </c>
      <c r="O276" s="94">
        <f t="shared" si="81"/>
        <v>0</v>
      </c>
      <c r="P276" s="180">
        <f t="shared" si="82"/>
        <v>0</v>
      </c>
      <c r="Q276">
        <f>IFERROR(VLOOKUP(A276,[1]Energiindhold!$A$2:$C$11,3,FALSE),IFERROR(VLOOKUP(A276,[1]Biogasudbytte!$A$2:$B$18,2,FALSE)*[1]Energiindhold!$C$10,0))*O276</f>
        <v>0</v>
      </c>
      <c r="R276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>
        <f>IFERROR(VLOOKUP(A276,[1]Biogasudbytte!$A$2:$B$18,2,FALSE)*[1]Energiindhold!$C$10,0)*J276*IFERROR(VLOOKUP(A276,Biogasanlæg!$F$3:$G$8,2,FALSE),1)</f>
        <v>0</v>
      </c>
      <c r="T276" s="170">
        <f t="shared" si="83"/>
        <v>0</v>
      </c>
      <c r="U276" s="169">
        <f>O276*IFERROR(VLOOKUP(A276,[1]Tørstofindhold!A$2:B$24,2,FALSE),0)</f>
        <v>0</v>
      </c>
      <c r="V276">
        <f>IF(D276=År1,P276,SUM(O276,P276))*IFERROR(VLOOKUP(A276,[1]Tørstofindhold!A$2:B$24,2,FALSE),0)</f>
        <v>0</v>
      </c>
      <c r="W276">
        <f>J276*IFERROR(VLOOKUP(A276,[1]Tørstofindhold!A$2:B$24,2,FALSE),0)</f>
        <v>0</v>
      </c>
      <c r="X276" s="170">
        <f t="shared" si="84"/>
        <v>0</v>
      </c>
      <c r="Y276">
        <f t="shared" si="85"/>
        <v>0</v>
      </c>
      <c r="Z276">
        <f t="shared" si="86"/>
        <v>0</v>
      </c>
    </row>
    <row r="277" spans="1:26" hidden="1" x14ac:dyDescent="0.55000000000000004">
      <c r="A277" s="171" t="str">
        <f t="shared" ref="A277:A290" si="87">A229</f>
        <v>Råmælk</v>
      </c>
      <c r="B277" s="171" t="str">
        <f t="shared" ref="B277:B290" si="88">IF(B229&lt;&gt;"",B229,"")</f>
        <v/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71">
        <f t="shared" si="74"/>
        <v>2050</v>
      </c>
      <c r="E277" t="s">
        <v>24</v>
      </c>
      <c r="F277" s="94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94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9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79">
        <f t="shared" si="62"/>
        <v>339731.06359710812</v>
      </c>
      <c r="O277" s="94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180">
        <f t="shared" si="63"/>
        <v>0</v>
      </c>
      <c r="Q277">
        <f>IFERROR(VLOOKUP(A277,[1]Energiindhold!$A$2:$C$11,3,FALSE),IFERROR(VLOOKUP(A277,[1]Biogasudbytte!$A$2:$B$18,2,FALSE)*[1]Energiindhold!$C$10,0))*O277</f>
        <v>0</v>
      </c>
      <c r="R27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>
        <f>IFERROR(VLOOKUP(A277,[1]Biogasudbytte!$A$2:$B$18,2,FALSE)*[1]Energiindhold!$C$10,0)*J277*IFERROR(VLOOKUP(A277,Biogasanlæg!$F$3:$G$8,2,FALSE),1)</f>
        <v>0</v>
      </c>
      <c r="T277" s="170">
        <f t="shared" si="64"/>
        <v>0</v>
      </c>
      <c r="U277" s="169">
        <f>O277*IFERROR(VLOOKUP(A277,[1]Tørstofindhold!A$2:B$24,2,FALSE),0)</f>
        <v>0</v>
      </c>
      <c r="V277">
        <f>IF(D277=År1,P277,SUM(O277,P277))*IFERROR(VLOOKUP(A277,[1]Tørstofindhold!A$2:B$24,2,FALSE),0)</f>
        <v>0</v>
      </c>
      <c r="W277">
        <f>J277*IFERROR(VLOOKUP(A277,[1]Tørstofindhold!A$2:B$24,2,FALSE),0)</f>
        <v>0</v>
      </c>
      <c r="X277" s="170">
        <f t="shared" si="65"/>
        <v>0</v>
      </c>
      <c r="Y277">
        <f t="shared" ref="Y277:Y290" si="90">IF(SUMIFS($N$3:$N$290,$A$3:$A$290,A277,$D$3:$D$290,D277)&lt;0,1,0)</f>
        <v>0</v>
      </c>
      <c r="Z277">
        <f t="shared" ref="Z277:Z290" si="91">IF(SUMIFS($N$3:$N$290,$A$3:$A$290,A277,$D$3:$D$290,D277)&gt;0,1,0)</f>
        <v>1</v>
      </c>
    </row>
    <row r="278" spans="1:26" x14ac:dyDescent="0.55000000000000004">
      <c r="A278" s="171" t="str">
        <f t="shared" si="87"/>
        <v>Raps</v>
      </c>
      <c r="B278" s="171" t="str">
        <f t="shared" si="88"/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74"/>
        <v>2050</v>
      </c>
      <c r="E278" t="s">
        <v>24</v>
      </c>
      <c r="F278" s="94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200042.64483548011</v>
      </c>
      <c r="G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94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94">
        <f>SUMIFS('Forbrug af biomasse'!E:E,'Forbrug af biomasse'!C:C,'Resultat-Produktion &amp; forbrug'!$A278,'Forbrug af biomasse'!D:D,'Resultat-Produktion &amp; forbrug'!$D278,'Forbrug af biomasse'!G:G,1,'Forbrug af biomasse'!B:B,$E278)</f>
        <v>200042.64483548011</v>
      </c>
      <c r="N278" s="179">
        <f t="shared" si="62"/>
        <v>0</v>
      </c>
      <c r="O278" s="94">
        <f t="shared" si="89"/>
        <v>0</v>
      </c>
      <c r="P278" s="180">
        <f t="shared" si="63"/>
        <v>0</v>
      </c>
      <c r="Q278">
        <f>IFERROR(VLOOKUP(A278,[1]Energiindhold!$A$2:$C$11,3,FALSE),IFERROR(VLOOKUP(A278,[1]Biogasudbytte!$A$2:$B$18,2,FALSE)*[1]Energiindhold!$C$10,0))*O278</f>
        <v>0</v>
      </c>
      <c r="R27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>
        <f>IFERROR(VLOOKUP(A278,[1]Biogasudbytte!$A$2:$B$18,2,FALSE)*[1]Energiindhold!$C$10,0)*J278*IFERROR(VLOOKUP(A278,Biogasanlæg!$F$3:$G$8,2,FALSE),1)</f>
        <v>0</v>
      </c>
      <c r="T278" s="170">
        <f t="shared" si="64"/>
        <v>0</v>
      </c>
      <c r="U278" s="169">
        <f>O278*IFERROR(VLOOKUP(A278,[1]Tørstofindhold!A$2:B$24,2,FALSE),0)</f>
        <v>0</v>
      </c>
      <c r="V278">
        <f>IF(D278=År1,P278,SUM(O278,P278))*IFERROR(VLOOKUP(A278,[1]Tørstofindhold!A$2:B$24,2,FALSE),0)</f>
        <v>0</v>
      </c>
      <c r="W278">
        <f>J278*IFERROR(VLOOKUP(A278,[1]Tørstofindhold!A$2:B$24,2,FALSE),0)</f>
        <v>0</v>
      </c>
      <c r="X278" s="170">
        <f t="shared" si="65"/>
        <v>0</v>
      </c>
      <c r="Y278">
        <f t="shared" si="90"/>
        <v>0</v>
      </c>
      <c r="Z278">
        <f t="shared" si="91"/>
        <v>0</v>
      </c>
    </row>
    <row r="279" spans="1:26" x14ac:dyDescent="0.55000000000000004">
      <c r="A279" s="171" t="str">
        <f t="shared" si="87"/>
        <v>Rapskage</v>
      </c>
      <c r="B279" s="171" t="str">
        <f t="shared" si="88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74"/>
        <v>2050</v>
      </c>
      <c r="E279" t="s">
        <v>24</v>
      </c>
      <c r="F279" s="94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100021.32241774006</v>
      </c>
      <c r="G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24123.640819434757</v>
      </c>
      <c r="H279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94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9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79">
        <f t="shared" si="62"/>
        <v>75897.681598305295</v>
      </c>
      <c r="O279" s="94">
        <f t="shared" si="89"/>
        <v>0</v>
      </c>
      <c r="P279" s="180">
        <f t="shared" si="63"/>
        <v>0</v>
      </c>
      <c r="Q279">
        <f>IFERROR(VLOOKUP(A279,[1]Energiindhold!$A$2:$C$11,3,FALSE),IFERROR(VLOOKUP(A279,[1]Biogasudbytte!$A$2:$B$18,2,FALSE)*[1]Energiindhold!$C$10,0))*O279</f>
        <v>0</v>
      </c>
      <c r="R279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>
        <f>IFERROR(VLOOKUP(A279,[1]Biogasudbytte!$A$2:$B$18,2,FALSE)*[1]Energiindhold!$C$10,0)*J279*IFERROR(VLOOKUP(A279,Biogasanlæg!$F$3:$G$8,2,FALSE),1)</f>
        <v>0</v>
      </c>
      <c r="T279" s="170">
        <f t="shared" si="64"/>
        <v>0</v>
      </c>
      <c r="U279" s="169">
        <f>O279*IFERROR(VLOOKUP(A279,[1]Tørstofindhold!A$2:B$24,2,FALSE),0)</f>
        <v>0</v>
      </c>
      <c r="V279">
        <f>IF(D279=År1,P279,SUM(O279,P279))*IFERROR(VLOOKUP(A279,[1]Tørstofindhold!A$2:B$24,2,FALSE),0)</f>
        <v>0</v>
      </c>
      <c r="W279">
        <f>J279*IFERROR(VLOOKUP(A279,[1]Tørstofindhold!A$2:B$24,2,FALSE),0)</f>
        <v>0</v>
      </c>
      <c r="X279" s="170">
        <f t="shared" si="65"/>
        <v>0</v>
      </c>
      <c r="Y279">
        <f t="shared" si="90"/>
        <v>0</v>
      </c>
      <c r="Z279">
        <f t="shared" si="91"/>
        <v>1</v>
      </c>
    </row>
    <row r="280" spans="1:26" x14ac:dyDescent="0.55000000000000004">
      <c r="A280" s="171" t="str">
        <f t="shared" si="87"/>
        <v>Rapsolie</v>
      </c>
      <c r="B280" s="171" t="str">
        <f t="shared" si="88"/>
        <v>Rapsolie</v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71">
        <f t="shared" si="74"/>
        <v>2050</v>
      </c>
      <c r="E280" t="s">
        <v>24</v>
      </c>
      <c r="F280" s="94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64013.646347353635</v>
      </c>
      <c r="G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94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64013.646347353635</v>
      </c>
      <c r="M280" s="9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79">
        <f t="shared" si="62"/>
        <v>0</v>
      </c>
      <c r="O280" s="94">
        <f t="shared" si="89"/>
        <v>0</v>
      </c>
      <c r="P280" s="180">
        <f t="shared" si="63"/>
        <v>64013.646347353635</v>
      </c>
      <c r="Q280">
        <f>IFERROR(VLOOKUP(A280,[1]Energiindhold!$A$2:$C$11,3,FALSE),IFERROR(VLOOKUP(A280,[1]Biogasudbytte!$A$2:$B$18,2,FALSE)*[1]Energiindhold!$C$10,0))*O280</f>
        <v>0</v>
      </c>
      <c r="R28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2.240477622157377</v>
      </c>
      <c r="S280">
        <f>IFERROR(VLOOKUP(A280,[1]Biogasudbytte!$A$2:$B$18,2,FALSE)*[1]Energiindhold!$C$10,0)*J280*IFERROR(VLOOKUP(A280,Biogasanlæg!$F$3:$G$8,2,FALSE),1)</f>
        <v>0</v>
      </c>
      <c r="T280" s="170">
        <f t="shared" si="64"/>
        <v>2.240477622157377</v>
      </c>
      <c r="U280" s="169">
        <f>O280*IFERROR(VLOOKUP(A280,[1]Tørstofindhold!A$2:B$24,2,FALSE),0)</f>
        <v>0</v>
      </c>
      <c r="V280">
        <f>IF(D280=År1,P280,SUM(O280,P280))*IFERROR(VLOOKUP(A280,[1]Tørstofindhold!A$2:B$24,2,FALSE),0)</f>
        <v>0</v>
      </c>
      <c r="W280">
        <f>J280*IFERROR(VLOOKUP(A280,[1]Tørstofindhold!A$2:B$24,2,FALSE),0)</f>
        <v>0</v>
      </c>
      <c r="X280" s="170">
        <f t="shared" si="65"/>
        <v>0</v>
      </c>
      <c r="Y280">
        <f t="shared" si="90"/>
        <v>0</v>
      </c>
      <c r="Z280">
        <f t="shared" si="91"/>
        <v>0</v>
      </c>
    </row>
    <row r="281" spans="1:26" x14ac:dyDescent="0.55000000000000004">
      <c r="A281" s="171" t="str">
        <f t="shared" si="87"/>
        <v>Roer</v>
      </c>
      <c r="B281" s="171" t="str">
        <f t="shared" si="88"/>
        <v>Græs og urter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74"/>
        <v>2050</v>
      </c>
      <c r="E281" t="s">
        <v>24</v>
      </c>
      <c r="F281" s="94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2337477.1247217245</v>
      </c>
      <c r="G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94778.655771754129</v>
      </c>
      <c r="H281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94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9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79">
        <f t="shared" si="62"/>
        <v>2242698.4689499703</v>
      </c>
      <c r="O281" s="94">
        <f t="shared" si="89"/>
        <v>1830597.0172306281</v>
      </c>
      <c r="P281" s="180">
        <f t="shared" si="63"/>
        <v>0</v>
      </c>
      <c r="Q281">
        <f>IFERROR(VLOOKUP(A281,[1]Energiindhold!$A$2:$C$11,3,FALSE),IFERROR(VLOOKUP(A281,[1]Biogasudbytte!$A$2:$B$18,2,FALSE)*[1]Energiindhold!$C$10,0))*O281</f>
        <v>4.9683135286446136</v>
      </c>
      <c r="R281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4.9683135286446136</v>
      </c>
      <c r="S281">
        <f>IFERROR(VLOOKUP(A281,[1]Biogasudbytte!$A$2:$B$18,2,FALSE)*[1]Energiindhold!$C$10,0)*J281*IFERROR(VLOOKUP(A281,Biogasanlæg!$F$3:$G$8,2,FALSE),1)</f>
        <v>0</v>
      </c>
      <c r="T281" s="170">
        <f t="shared" si="64"/>
        <v>4.9683135286446136</v>
      </c>
      <c r="U281" s="169">
        <f>O281*IFERROR(VLOOKUP(A281,[1]Tørstofindhold!A$2:B$24,2,FALSE),0)</f>
        <v>366119.40344612562</v>
      </c>
      <c r="V281">
        <f>IF(D281=År1,P281,SUM(O281,P281))*IFERROR(VLOOKUP(A281,[1]Tørstofindhold!A$2:B$24,2,FALSE),0)</f>
        <v>366119.40344612562</v>
      </c>
      <c r="W281">
        <f>J281*IFERROR(VLOOKUP(A281,[1]Tørstofindhold!A$2:B$24,2,FALSE),0)</f>
        <v>0</v>
      </c>
      <c r="X281" s="170">
        <f t="shared" si="65"/>
        <v>366119.40344612562</v>
      </c>
      <c r="Y281">
        <f t="shared" si="90"/>
        <v>0</v>
      </c>
      <c r="Z281">
        <f t="shared" si="91"/>
        <v>1</v>
      </c>
    </row>
    <row r="282" spans="1:26" hidden="1" x14ac:dyDescent="0.55000000000000004">
      <c r="A282" s="171" t="str">
        <f t="shared" si="87"/>
        <v>Slagteriaffald til andet</v>
      </c>
      <c r="B282" s="171" t="str">
        <f t="shared" si="88"/>
        <v/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71">
        <f t="shared" ref="D282:D290" si="92">År3</f>
        <v>2050</v>
      </c>
      <c r="E282" t="s">
        <v>24</v>
      </c>
      <c r="F282" s="94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20186.20419193256</v>
      </c>
      <c r="G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94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9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79">
        <f t="shared" ref="N282:N290" si="93">F282-SUM(G282:M282)</f>
        <v>20186.20419193256</v>
      </c>
      <c r="O282" s="94">
        <f t="shared" si="89"/>
        <v>0</v>
      </c>
      <c r="P282" s="180">
        <f t="shared" ref="P282:P290" si="94">SUM(J282,L282)</f>
        <v>0</v>
      </c>
      <c r="Q282">
        <f>IFERROR(VLOOKUP(A282,[1]Energiindhold!$A$2:$C$11,3,FALSE),IFERROR(VLOOKUP(A282,[1]Biogasudbytte!$A$2:$B$18,2,FALSE)*[1]Energiindhold!$C$10,0))*O282</f>
        <v>0</v>
      </c>
      <c r="R28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>
        <f>IFERROR(VLOOKUP(A282,[1]Biogasudbytte!$A$2:$B$18,2,FALSE)*[1]Energiindhold!$C$10,0)*J282*IFERROR(VLOOKUP(A282,Biogasanlæg!$F$3:$G$8,2,FALSE),1)</f>
        <v>0</v>
      </c>
      <c r="T282" s="170">
        <f t="shared" ref="T282:T290" si="95">R282-S282</f>
        <v>0</v>
      </c>
      <c r="U282" s="169">
        <f>O282*IFERROR(VLOOKUP(A282,[1]Tørstofindhold!A$2:B$24,2,FALSE),0)</f>
        <v>0</v>
      </c>
      <c r="V282">
        <f>IF(D282=År1,P282,SUM(O282,P282))*IFERROR(VLOOKUP(A282,[1]Tørstofindhold!A$2:B$24,2,FALSE),0)</f>
        <v>0</v>
      </c>
      <c r="W282">
        <f>J282*IFERROR(VLOOKUP(A282,[1]Tørstofindhold!A$2:B$24,2,FALSE),0)</f>
        <v>0</v>
      </c>
      <c r="X282" s="170">
        <f t="shared" ref="X282:X290" si="96">V282-W282</f>
        <v>0</v>
      </c>
      <c r="Y282">
        <f t="shared" si="90"/>
        <v>0</v>
      </c>
      <c r="Z282">
        <f t="shared" si="91"/>
        <v>1</v>
      </c>
    </row>
    <row r="283" spans="1:26" hidden="1" x14ac:dyDescent="0.55000000000000004">
      <c r="A283" s="171" t="str">
        <f t="shared" si="87"/>
        <v>Slagteriaffald til foder</v>
      </c>
      <c r="B283" s="171" t="str">
        <f t="shared" si="88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92"/>
        <v>2050</v>
      </c>
      <c r="E283" t="s">
        <v>24</v>
      </c>
      <c r="F283" s="94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16053.966219959522</v>
      </c>
      <c r="G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4441.1723684315039</v>
      </c>
      <c r="H283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94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9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79">
        <f t="shared" si="93"/>
        <v>11612.793851528018</v>
      </c>
      <c r="O283" s="94">
        <f t="shared" si="89"/>
        <v>0</v>
      </c>
      <c r="P283" s="180">
        <f t="shared" si="94"/>
        <v>0</v>
      </c>
      <c r="Q283">
        <f>IFERROR(VLOOKUP(A283,[1]Energiindhold!$A$2:$C$11,3,FALSE),IFERROR(VLOOKUP(A283,[1]Biogasudbytte!$A$2:$B$18,2,FALSE)*[1]Energiindhold!$C$10,0))*O283</f>
        <v>0</v>
      </c>
      <c r="R283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>
        <f>IFERROR(VLOOKUP(A283,[1]Biogasudbytte!$A$2:$B$18,2,FALSE)*[1]Energiindhold!$C$10,0)*J283*IFERROR(VLOOKUP(A283,Biogasanlæg!$F$3:$G$8,2,FALSE),1)</f>
        <v>0</v>
      </c>
      <c r="T283" s="170">
        <f t="shared" si="95"/>
        <v>0</v>
      </c>
      <c r="U283" s="169">
        <f>O283*IFERROR(VLOOKUP(A283,[1]Tørstofindhold!A$2:B$24,2,FALSE),0)</f>
        <v>0</v>
      </c>
      <c r="V283">
        <f>IF(D283=År1,P283,SUM(O283,P283))*IFERROR(VLOOKUP(A283,[1]Tørstofindhold!A$2:B$24,2,FALSE),0)</f>
        <v>0</v>
      </c>
      <c r="W283">
        <f>J283*IFERROR(VLOOKUP(A283,[1]Tørstofindhold!A$2:B$24,2,FALSE),0)</f>
        <v>0</v>
      </c>
      <c r="X283" s="170">
        <f t="shared" si="96"/>
        <v>0</v>
      </c>
      <c r="Y283">
        <f t="shared" si="90"/>
        <v>0</v>
      </c>
      <c r="Z283">
        <f t="shared" si="91"/>
        <v>1</v>
      </c>
    </row>
    <row r="284" spans="1:26" hidden="1" x14ac:dyDescent="0.55000000000000004">
      <c r="A284" s="171" t="str">
        <f t="shared" si="87"/>
        <v>Spildevandsslam</v>
      </c>
      <c r="B284" s="171" t="str">
        <f t="shared" si="88"/>
        <v>Bionedbrydeligt affald</v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71">
        <f t="shared" si="92"/>
        <v>2050</v>
      </c>
      <c r="E284" t="s">
        <v>24</v>
      </c>
      <c r="F284" s="94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3150253.3426541099</v>
      </c>
      <c r="K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94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9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79">
        <f t="shared" si="93"/>
        <v>350028.14918378973</v>
      </c>
      <c r="O284" s="94">
        <f t="shared" si="89"/>
        <v>350028.14918378973</v>
      </c>
      <c r="P284" s="180">
        <f t="shared" si="94"/>
        <v>3150253.3426541099</v>
      </c>
      <c r="Q284">
        <f>IFERROR(VLOOKUP(A284,[1]Energiindhold!$A$2:$C$11,3,FALSE),IFERROR(VLOOKUP(A284,[1]Biogasudbytte!$A$2:$B$18,2,FALSE)*[1]Energiindhold!$C$10,0))*O284</f>
        <v>0.17466754672420293</v>
      </c>
      <c r="R284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>
        <f>IFERROR(VLOOKUP(A284,[1]Biogasudbytte!$A$2:$B$18,2,FALSE)*[1]Energiindhold!$C$10,0)*J284*IFERROR(VLOOKUP(A284,Biogasanlæg!$F$3:$G$8,2,FALSE),1)</f>
        <v>1.5720079205178277</v>
      </c>
      <c r="T284" s="170">
        <f t="shared" si="95"/>
        <v>0.17466754672420293</v>
      </c>
      <c r="U284" s="169">
        <f>O284*IFERROR(VLOOKUP(A284,[1]Tørstofindhold!A$2:B$24,2,FALSE),0)</f>
        <v>21001.688951027383</v>
      </c>
      <c r="V284">
        <f>IF(D284=År1,P284,SUM(O284,P284))*IFERROR(VLOOKUP(A284,[1]Tørstofindhold!A$2:B$24,2,FALSE),0)</f>
        <v>210016.88951027396</v>
      </c>
      <c r="W284">
        <f>J284*IFERROR(VLOOKUP(A284,[1]Tørstofindhold!A$2:B$24,2,FALSE),0)</f>
        <v>189015.20055924659</v>
      </c>
      <c r="X284" s="170">
        <f t="shared" si="96"/>
        <v>21001.688951027376</v>
      </c>
      <c r="Y284">
        <f t="shared" si="90"/>
        <v>0</v>
      </c>
      <c r="Z284">
        <f t="shared" si="91"/>
        <v>1</v>
      </c>
    </row>
    <row r="285" spans="1:26" hidden="1" x14ac:dyDescent="0.55000000000000004">
      <c r="A285" s="171" t="str">
        <f t="shared" si="87"/>
        <v>Svinegylle</v>
      </c>
      <c r="B285" s="171" t="str">
        <f t="shared" si="88"/>
        <v>Husdyrgødning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92"/>
        <v>2050</v>
      </c>
      <c r="E285" t="s">
        <v>24</v>
      </c>
      <c r="F285" s="94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1882077.697473543</v>
      </c>
      <c r="G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1693869.9277261887</v>
      </c>
      <c r="K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188207.76974735426</v>
      </c>
      <c r="L285" s="94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9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79">
        <f t="shared" si="93"/>
        <v>0</v>
      </c>
      <c r="O285" s="94">
        <f t="shared" si="89"/>
        <v>0</v>
      </c>
      <c r="P285" s="180">
        <f t="shared" si="94"/>
        <v>1693869.9277261887</v>
      </c>
      <c r="Q285">
        <f>IFERROR(VLOOKUP(A285,[1]Energiindhold!$A$2:$C$11,3,FALSE),IFERROR(VLOOKUP(A285,[1]Biogasudbytte!$A$2:$B$18,2,FALSE)*[1]Energiindhold!$C$10,0))*O285</f>
        <v>0</v>
      </c>
      <c r="R285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0.72971916486444222</v>
      </c>
      <c r="S285">
        <f>IFERROR(VLOOKUP(A285,[1]Biogasudbytte!$A$2:$B$18,2,FALSE)*[1]Energiindhold!$C$10,0)*J285*IFERROR(VLOOKUP(A285,Biogasanlæg!$F$3:$G$8,2,FALSE),1)</f>
        <v>0.72971916486444222</v>
      </c>
      <c r="T285" s="170">
        <f t="shared" si="95"/>
        <v>0</v>
      </c>
      <c r="U285" s="169">
        <f>O285*IFERROR(VLOOKUP(A285,[1]Tørstofindhold!A$2:B$24,2,FALSE),0)</f>
        <v>0</v>
      </c>
      <c r="V285">
        <f>IF(D285=År1,P285,SUM(O285,P285))*IFERROR(VLOOKUP(A285,[1]Tørstofindhold!A$2:B$24,2,FALSE),0)</f>
        <v>84693.496386309445</v>
      </c>
      <c r="W285">
        <f>J285*IFERROR(VLOOKUP(A285,[1]Tørstofindhold!A$2:B$24,2,FALSE),0)</f>
        <v>84693.496386309445</v>
      </c>
      <c r="X285" s="170">
        <f t="shared" si="96"/>
        <v>0</v>
      </c>
      <c r="Y285">
        <f t="shared" si="90"/>
        <v>0</v>
      </c>
      <c r="Z285">
        <f t="shared" si="91"/>
        <v>0</v>
      </c>
    </row>
    <row r="286" spans="1:26" x14ac:dyDescent="0.55000000000000004">
      <c r="A286" s="171" t="str">
        <f t="shared" si="87"/>
        <v>Svinekød</v>
      </c>
      <c r="B286" s="171" t="str">
        <f t="shared" si="88"/>
        <v/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71">
        <f t="shared" si="92"/>
        <v>2050</v>
      </c>
      <c r="E286" t="s">
        <v>24</v>
      </c>
      <c r="F286" s="94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174765.59603194657</v>
      </c>
      <c r="G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94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9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79">
        <f t="shared" si="93"/>
        <v>108481.01749782774</v>
      </c>
      <c r="O286" s="94">
        <f t="shared" si="89"/>
        <v>0</v>
      </c>
      <c r="P286" s="180">
        <f t="shared" si="94"/>
        <v>0</v>
      </c>
      <c r="Q286">
        <f>IFERROR(VLOOKUP(A286,[1]Energiindhold!$A$2:$C$11,3,FALSE),IFERROR(VLOOKUP(A286,[1]Biogasudbytte!$A$2:$B$18,2,FALSE)*[1]Energiindhold!$C$10,0))*O286</f>
        <v>0</v>
      </c>
      <c r="R286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>
        <f>IFERROR(VLOOKUP(A286,[1]Biogasudbytte!$A$2:$B$18,2,FALSE)*[1]Energiindhold!$C$10,0)*J286*IFERROR(VLOOKUP(A286,Biogasanlæg!$F$3:$G$8,2,FALSE),1)</f>
        <v>0</v>
      </c>
      <c r="T286" s="170">
        <f t="shared" si="95"/>
        <v>0</v>
      </c>
      <c r="U286" s="169">
        <f>O286*IFERROR(VLOOKUP(A286,[1]Tørstofindhold!A$2:B$24,2,FALSE),0)</f>
        <v>0</v>
      </c>
      <c r="V286">
        <f>IF(D286=År1,P286,SUM(O286,P286))*IFERROR(VLOOKUP(A286,[1]Tørstofindhold!A$2:B$24,2,FALSE),0)</f>
        <v>0</v>
      </c>
      <c r="W286">
        <f>J286*IFERROR(VLOOKUP(A286,[1]Tørstofindhold!A$2:B$24,2,FALSE),0)</f>
        <v>0</v>
      </c>
      <c r="X286" s="170">
        <f t="shared" si="96"/>
        <v>0</v>
      </c>
      <c r="Y286">
        <f t="shared" si="90"/>
        <v>0</v>
      </c>
      <c r="Z286">
        <f t="shared" si="91"/>
        <v>1</v>
      </c>
    </row>
    <row r="287" spans="1:26" x14ac:dyDescent="0.55000000000000004">
      <c r="A287" s="171" t="str">
        <f t="shared" si="87"/>
        <v>Tang</v>
      </c>
      <c r="B287" s="171" t="str">
        <f t="shared" si="88"/>
        <v>Havbiomasse</v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71">
        <f t="shared" si="92"/>
        <v>2050</v>
      </c>
      <c r="E287" t="s">
        <v>24</v>
      </c>
      <c r="F287" s="94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94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9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79">
        <f t="shared" si="93"/>
        <v>0</v>
      </c>
      <c r="O287" s="94">
        <f t="shared" si="89"/>
        <v>0</v>
      </c>
      <c r="P287" s="180">
        <f t="shared" si="94"/>
        <v>0</v>
      </c>
      <c r="Q287">
        <f>IFERROR(VLOOKUP(A287,[1]Energiindhold!$A$2:$C$11,3,FALSE),IFERROR(VLOOKUP(A287,[1]Biogasudbytte!$A$2:$B$18,2,FALSE)*[1]Energiindhold!$C$10,0))*O287</f>
        <v>0</v>
      </c>
      <c r="R2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>
        <f>IFERROR(VLOOKUP(A287,[1]Biogasudbytte!$A$2:$B$18,2,FALSE)*[1]Energiindhold!$C$10,0)*J287*IFERROR(VLOOKUP(A287,Biogasanlæg!$F$3:$G$8,2,FALSE),1)</f>
        <v>0</v>
      </c>
      <c r="T287" s="170">
        <f t="shared" si="95"/>
        <v>0</v>
      </c>
      <c r="U287" s="169">
        <f>O287*IFERROR(VLOOKUP(A287,[1]Tørstofindhold!A$2:B$24,2,FALSE),0)</f>
        <v>0</v>
      </c>
      <c r="V287">
        <f>IF(D287=År1,P287,SUM(O287,P287))*IFERROR(VLOOKUP(A287,[1]Tørstofindhold!A$2:B$24,2,FALSE),0)</f>
        <v>0</v>
      </c>
      <c r="W287">
        <f>J287*IFERROR(VLOOKUP(A287,[1]Tørstofindhold!A$2:B$24,2,FALSE),0)</f>
        <v>0</v>
      </c>
      <c r="X287" s="170">
        <f t="shared" si="96"/>
        <v>0</v>
      </c>
      <c r="Y287">
        <f t="shared" si="90"/>
        <v>0</v>
      </c>
      <c r="Z287">
        <f t="shared" si="91"/>
        <v>1</v>
      </c>
    </row>
    <row r="288" spans="1:26" hidden="1" x14ac:dyDescent="0.55000000000000004">
      <c r="A288" s="171" t="str">
        <f t="shared" si="87"/>
        <v>Total til biogas</v>
      </c>
      <c r="B288" s="171" t="str">
        <f t="shared" si="88"/>
        <v/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92"/>
        <v>2050</v>
      </c>
      <c r="E288" t="s">
        <v>24</v>
      </c>
      <c r="F288" s="94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94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9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79">
        <f t="shared" si="93"/>
        <v>0</v>
      </c>
      <c r="O288" s="94">
        <f t="shared" si="89"/>
        <v>0</v>
      </c>
      <c r="P288" s="180">
        <f t="shared" si="94"/>
        <v>0</v>
      </c>
      <c r="Q288">
        <f>IFERROR(VLOOKUP(A288,[1]Energiindhold!$A$2:$C$11,3,FALSE),IFERROR(VLOOKUP(A288,[1]Biogasudbytte!$A$2:$B$18,2,FALSE)*[1]Energiindhold!$C$10,0))*O288</f>
        <v>0</v>
      </c>
      <c r="R2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>
        <f>IFERROR(VLOOKUP(A288,[1]Biogasudbytte!$A$2:$B$18,2,FALSE)*[1]Energiindhold!$C$10,0)*J288*IFERROR(VLOOKUP(A288,Biogasanlæg!$F$3:$G$8,2,FALSE),1)</f>
        <v>0</v>
      </c>
      <c r="T288" s="170">
        <f t="shared" si="95"/>
        <v>0</v>
      </c>
      <c r="U288" s="169">
        <f>O288*IFERROR(VLOOKUP(A288,[1]Tørstofindhold!A$2:B$24,2,FALSE),0)</f>
        <v>0</v>
      </c>
      <c r="V288">
        <f>IF(D288=År1,P288,SUM(O288,P288))*IFERROR(VLOOKUP(A288,[1]Tørstofindhold!A$2:B$24,2,FALSE),0)</f>
        <v>0</v>
      </c>
      <c r="W288">
        <f>J288*IFERROR(VLOOKUP(A288,[1]Tørstofindhold!A$2:B$24,2,FALSE),0)</f>
        <v>0</v>
      </c>
      <c r="X288" s="170">
        <f t="shared" si="96"/>
        <v>0</v>
      </c>
      <c r="Y288">
        <f t="shared" si="90"/>
        <v>0</v>
      </c>
      <c r="Z288">
        <f t="shared" si="91"/>
        <v>0</v>
      </c>
    </row>
    <row r="289" spans="1:26" x14ac:dyDescent="0.55000000000000004">
      <c r="A289" s="171" t="str">
        <f t="shared" si="87"/>
        <v>Træ til energi</v>
      </c>
      <c r="B289" s="171" t="str">
        <f t="shared" si="88"/>
        <v>Vedmasse</v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92"/>
        <v>2050</v>
      </c>
      <c r="E289" t="s">
        <v>24</v>
      </c>
      <c r="F289" s="94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637918.49942824384</v>
      </c>
      <c r="G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94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637918.49942824384</v>
      </c>
      <c r="M289" s="9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79">
        <f t="shared" ca="1" si="93"/>
        <v>0</v>
      </c>
      <c r="O289" s="94">
        <f t="shared" ca="1" si="89"/>
        <v>0</v>
      </c>
      <c r="P289" s="180">
        <f t="shared" ca="1" si="94"/>
        <v>637918.49942824384</v>
      </c>
      <c r="Q289">
        <f ca="1">IFERROR(VLOOKUP(A289,[1]Energiindhold!$A$2:$C$11,3,FALSE),IFERROR(VLOOKUP(A289,[1]Biogasudbytte!$A$2:$B$18,2,FALSE)*[1]Energiindhold!$C$10,0))*O289</f>
        <v>0</v>
      </c>
      <c r="R289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9.2457157245424533</v>
      </c>
      <c r="S289">
        <f>IFERROR(VLOOKUP(A289,[1]Biogasudbytte!$A$2:$B$18,2,FALSE)*[1]Energiindhold!$C$10,0)*J289*IFERROR(VLOOKUP(A289,Biogasanlæg!$F$3:$G$8,2,FALSE),1)</f>
        <v>0</v>
      </c>
      <c r="T289" s="170">
        <f t="shared" ca="1" si="95"/>
        <v>9.2457157245424533</v>
      </c>
      <c r="U289" s="169">
        <f ca="1">O289*IFERROR(VLOOKUP(A289,[1]Tørstofindhold!A$2:B$24,2,FALSE),0)</f>
        <v>0</v>
      </c>
      <c r="V289">
        <f ca="1">IF(D289=År1,P289,SUM(O289,P289))*IFERROR(VLOOKUP(A289,[1]Tørstofindhold!A$2:B$24,2,FALSE),0)</f>
        <v>315503.85784221895</v>
      </c>
      <c r="W289">
        <f>J289*IFERROR(VLOOKUP(A289,[1]Tørstofindhold!A$2:B$24,2,FALSE),0)</f>
        <v>0</v>
      </c>
      <c r="X289" s="170">
        <f t="shared" ca="1" si="96"/>
        <v>315503.85784221895</v>
      </c>
      <c r="Y289">
        <f t="shared" ca="1" si="90"/>
        <v>0</v>
      </c>
      <c r="Z289">
        <f t="shared" ca="1" si="91"/>
        <v>0</v>
      </c>
    </row>
    <row r="290" spans="1:26" ht="14.7" thickBot="1" x14ac:dyDescent="0.6">
      <c r="A290" s="171" t="str">
        <f t="shared" si="87"/>
        <v>Træmaterialer</v>
      </c>
      <c r="B290" s="171" t="str">
        <f t="shared" si="88"/>
        <v/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71">
        <f t="shared" si="92"/>
        <v>2050</v>
      </c>
      <c r="E290" t="s">
        <v>24</v>
      </c>
      <c r="F290" s="94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181156.38422629872</v>
      </c>
      <c r="G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94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94">
        <f ca="1">SUMIFS('Forbrug af biomasse'!E:E,'Forbrug af biomasse'!C:C,'Resultat-Produktion &amp; forbrug'!$A290,'Forbrug af biomasse'!D:D,'Resultat-Produktion &amp; forbrug'!$D290,'Forbrug af biomasse'!G:G,1,'Forbrug af biomasse'!B:B,$E290)</f>
        <v>181156.38422629872</v>
      </c>
      <c r="N290" s="181">
        <f t="shared" ca="1" si="93"/>
        <v>0</v>
      </c>
      <c r="O290" s="182">
        <f t="shared" si="89"/>
        <v>0</v>
      </c>
      <c r="P290" s="183">
        <f t="shared" si="94"/>
        <v>0</v>
      </c>
      <c r="Q290" s="173">
        <f>IFERROR(VLOOKUP(A290,[1]Energiindhold!$A$2:$C$11,3,FALSE),IFERROR(VLOOKUP(A290,[1]Biogasudbytte!$A$2:$B$18,2,FALSE)*[1]Energiindhold!$C$10,0))*O290</f>
        <v>0</v>
      </c>
      <c r="R290" s="17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73">
        <f>IFERROR(VLOOKUP(A290,[1]Biogasudbytte!$A$2:$B$18,2,FALSE)*[1]Energiindhold!$C$10,0)*J290*IFERROR(VLOOKUP(A290,Biogasanlæg!$F$3:$G$8,2,FALSE),1)</f>
        <v>0</v>
      </c>
      <c r="T290" s="174">
        <f t="shared" si="95"/>
        <v>0</v>
      </c>
      <c r="U290" s="172">
        <f>O290*IFERROR(VLOOKUP(A290,[1]Tørstofindhold!A$2:B$24,2,FALSE),0)</f>
        <v>0</v>
      </c>
      <c r="V290" s="173">
        <f>IF(D290=År1,P290,SUM(O290,P290))*IFERROR(VLOOKUP(A290,[1]Tørstofindhold!A$2:B$24,2,FALSE),0)</f>
        <v>0</v>
      </c>
      <c r="W290" s="173">
        <f>J290*IFERROR(VLOOKUP(A290,[1]Tørstofindhold!A$2:B$24,2,FALSE),0)</f>
        <v>0</v>
      </c>
      <c r="X290" s="174">
        <f t="shared" si="96"/>
        <v>0</v>
      </c>
      <c r="Y290">
        <f t="shared" ca="1" si="90"/>
        <v>0</v>
      </c>
      <c r="Z290">
        <f t="shared" ca="1" si="91"/>
        <v>0</v>
      </c>
    </row>
  </sheetData>
  <autoFilter ref="A2:Z290" xr:uid="{E8FEB0F6-BC35-420D-A381-2F9B028DCC93}">
    <filterColumn colId="0">
      <filters>
        <filter val="Æg"/>
        <filter val="Bælgsæd"/>
        <filter val="Fjerkrækød"/>
        <filter val="Frugt"/>
        <filter val="Græs"/>
        <filter val="Græsprotein"/>
        <filter val="Grøntsager"/>
        <filter val="Halm"/>
        <filter val="Kartofler"/>
        <filter val="Korn"/>
        <filter val="Majs"/>
        <filter val="Mejeriprodukter"/>
        <filter val="Muslinger"/>
        <filter val="Oksekød"/>
        <filter val="Pil &amp; poppel"/>
        <filter val="Raps"/>
        <filter val="Rapskage"/>
        <filter val="Rapsolie"/>
        <filter val="Roer"/>
        <filter val="Svinekød"/>
        <filter val="Tang"/>
        <filter val="Træ til energi"/>
        <filter val="Træmaterialer"/>
      </filters>
    </filterColumn>
    <filterColumn colId="3">
      <filters>
        <filter val="2019"/>
        <filter val="2050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25" t="s">
        <v>23</v>
      </c>
      <c r="B2" s="426"/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  <c r="U2" s="427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55000000000000004">
      <c r="A3" s="60"/>
      <c r="B3" s="61"/>
      <c r="C3" s="421" t="s">
        <v>7</v>
      </c>
      <c r="D3" s="422"/>
      <c r="E3" s="422"/>
      <c r="F3" s="422"/>
      <c r="G3" s="422"/>
      <c r="H3" s="422"/>
      <c r="I3" s="422"/>
      <c r="J3" s="422"/>
      <c r="K3" s="423"/>
      <c r="L3" s="421" t="s">
        <v>8</v>
      </c>
      <c r="M3" s="422"/>
      <c r="N3" s="422"/>
      <c r="O3" s="422"/>
      <c r="P3" s="422"/>
      <c r="Q3" s="422"/>
      <c r="R3" s="422"/>
      <c r="S3" s="422"/>
      <c r="T3" s="423"/>
      <c r="U3" s="70"/>
      <c r="W3" s="30" t="s">
        <v>272</v>
      </c>
      <c r="X3" s="34">
        <f>C24+C51</f>
        <v>11808068</v>
      </c>
      <c r="Y3" s="11">
        <f>D24+D51</f>
        <v>11256259.526140403</v>
      </c>
      <c r="Z3" s="22">
        <f>E24+E51</f>
        <v>10203648.676884217</v>
      </c>
    </row>
    <row r="4" spans="1:26" ht="14.7" thickBot="1" x14ac:dyDescent="0.6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1232959.2457426467</v>
      </c>
      <c r="Z4" s="22">
        <f t="shared" si="0"/>
        <v>1172869.6474243198</v>
      </c>
    </row>
    <row r="5" spans="1:26" ht="14.7" thickBot="1" x14ac:dyDescent="0.6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19328402.782654595</v>
      </c>
      <c r="Z5" s="23">
        <f t="shared" si="0"/>
        <v>18416921.146918636</v>
      </c>
    </row>
    <row r="6" spans="1:26" x14ac:dyDescent="0.55000000000000004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809789.15928333369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20843.531266124886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8269.0161200631464</v>
      </c>
      <c r="I6" s="11">
        <f>IF(Landbrug!$E$47&gt;0,SUMIF(Landbrug!$B$32:$B$45,$B6,IF($I$4=År2,Landbrug!$D$32:$D$45,Landbrug!$E$32:$E$45)),'[1]Afgrødefordeling - jordtype'!$G4)*(1-Landbrug!$E$5)*Arealanvendelse!P$26</f>
        <v>703268.18873094791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16500.437390404819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126383.27919450874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3253.0366715917453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1290.5400881023411</v>
      </c>
      <c r="R6" s="11">
        <f>IF(Landbrug!$E$47&gt;0,SUMIF(Landbrug!$B$32:$B$45,$B6,IF($R$4=År2,Landbrug!$D$32:$D$45,Landbrug!$E$32:$E$45)),'[1]Afgrødefordeling - jordtype'!$G4)*(Landbrug!$E$5)*Arealanvendelse!P$26</f>
        <v>149178.10063989804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3500.0927797828404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661549.01256927487</v>
      </c>
      <c r="Z6" s="22">
        <f t="shared" si="1"/>
        <v>1021099.0231157838</v>
      </c>
    </row>
    <row r="7" spans="1:26" x14ac:dyDescent="0.55000000000000004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55949.560086021185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1786.7951054397183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476.12351737499114</v>
      </c>
      <c r="I7" s="11">
        <f>IF(Landbrug!$E$47&gt;0,SUMIF(Landbrug!$B$32:$B$45,$B7,IF($I$4=År2,Landbrug!$D$32:$D$45,Landbrug!$E$32:$E$45)),'[1]Afgrødefordeling - jordtype'!$G5)*(1-Landbrug!$E$5)*Arealanvendelse!P$26</f>
        <v>48589.864819642906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1414.4868444007736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8732.0122677605341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278.86397599348209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74.308294619218273</v>
      </c>
      <c r="R7" s="11">
        <f>IF(Landbrug!$E$47&gt;0,SUMIF(Landbrug!$B$32:$B$45,$B7,IF($R$4=År2,Landbrug!$D$32:$D$45,Landbrug!$E$32:$E$45)),'[1]Afgrødefordeling - jordtype'!$G5)*(Landbrug!$E$5)*Arealanvendelse!P$26</f>
        <v>10306.941022348496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300.04266396380046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258472.75425735323</v>
      </c>
      <c r="Z7" s="22">
        <f t="shared" si="1"/>
        <v>318562.35257568007</v>
      </c>
    </row>
    <row r="8" spans="1:26" ht="14.7" thickBot="1" x14ac:dyDescent="0.6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94087.082412375472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1913.2698208119741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616.55839503976472</v>
      </c>
      <c r="I8" s="11">
        <f>IF(Landbrug!$E$47&gt;0,SUMIF(Landbrug!$B$32:$B$45,$B8,IF($I$4=År2,Landbrug!$D$32:$D$45,Landbrug!$E$32:$E$45)),'[1]Afgrødefordeling - jordtype'!$G6)*(1-Landbrug!$E$5)*Arealanvendelse!P$26</f>
        <v>81710.716021056694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1514.6084646686793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14684.111127942995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298.60280440418097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96.225876682506637</v>
      </c>
      <c r="R8" s="11">
        <f>IF(Landbrug!$E$47&gt;0,SUMIF(Landbrug!$B$32:$B$45,$B8,IF($R$4=År2,Landbrug!$D$32:$D$45,Landbrug!$E$32:$E$45)),'[1]Afgrødefordeling - jordtype'!$G6)*(Landbrug!$E$5)*Arealanvendelse!P$26</f>
        <v>17332.576125678694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321.28058341456835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3731478.2173454049</v>
      </c>
      <c r="Z8" s="23">
        <f t="shared" si="1"/>
        <v>4642959.853081366</v>
      </c>
    </row>
    <row r="9" spans="1:26" x14ac:dyDescent="0.55000000000000004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179394.47433816589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17656.329249729286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14219.782896462779</v>
      </c>
      <c r="I9" s="11">
        <f>IF(Landbrug!$E$47&gt;0,SUMIF(Landbrug!$B$32:$B$45,$B9,IF($I$4=År2,Landbrug!$D$32:$D$45,Landbrug!$E$32:$E$45)),'[1]Afgrødefordeling - jordtype'!$G7)*(1-Landbrug!$E$5)*Arealanvendelse!P$26</f>
        <v>155796.63618588899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13977.341536317093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27997.981544106817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2755.6120794375188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2219.2724751704914</v>
      </c>
      <c r="R9" s="11">
        <f>IF(Landbrug!$E$47&gt;0,SUMIF(Landbrug!$B$32:$B$45,$B9,IF($R$4=År2,Landbrug!$D$32:$D$45,Landbrug!$E$32:$E$45)),'[1]Afgrødefordeling - jordtype'!$G7)*(Landbrug!$E$5)*Arealanvendelse!P$26</f>
        <v>33047.771312158278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2964.8906289157476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55000000000000004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6942.1581713830101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82.579316026090069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16.527831515094178</v>
      </c>
      <c r="I10" s="11">
        <f>IF(Landbrug!$E$47&gt;0,SUMIF(Landbrug!$B$32:$B$45,$B10,IF($I$4=År2,Landbrug!$D$32:$D$45,Landbrug!$E$32:$E$45)),'[1]Afgrødefordeling - jordtype'!$G8)*(1-Landbrug!$E$5)*Arealanvendelse!P$26</f>
        <v>6028.9755019603408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65.372552109030366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1083.4582117187358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12.888101345112323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2.5794881555349294</v>
      </c>
      <c r="R10" s="11">
        <f>IF(Landbrug!$E$47&gt;0,SUMIF(Landbrug!$B$32:$B$45,$B10,IF($R$4=År2,Landbrug!$D$32:$D$45,Landbrug!$E$32:$E$45)),'[1]Afgrødefordeling - jordtype'!$G8)*(Landbrug!$E$5)*Arealanvendelse!P$26</f>
        <v>1278.8735913249209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13.866904992824622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55000000000000004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41355.317643651651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1303.7133622629699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874.82296878583463</v>
      </c>
      <c r="I11" s="11">
        <f>IF(Landbrug!$E$47&gt;0,SUMIF(Landbrug!$B$32:$B$45,$B11,IF($I$4=År2,Landbrug!$D$32:$D$45,Landbrug!$E$32:$E$45)),'[1]Afgrødefordeling - jordtype'!$G9)*(1-Landbrug!$E$5)*Arealanvendelse!P$26</f>
        <v>35915.372538925141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1032.0631583197971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6454.2981293560397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203.46971549768895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136.5330644925869</v>
      </c>
      <c r="R11" s="11">
        <f>IF(Landbrug!$E$47&gt;0,SUMIF(Landbrug!$B$32:$B$45,$B11,IF($R$4=År2,Landbrug!$D$32:$D$45,Landbrug!$E$32:$E$45)),'[1]Afgrødefordeling - jordtype'!$G9)*(Landbrug!$E$5)*Arealanvendelse!P$26</f>
        <v>7618.4123567416955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218.92248812844184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55000000000000004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4037.1409759488074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34.203336491457428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9.4603904307598334</v>
      </c>
      <c r="I12" s="11">
        <f>IF(Landbrug!$E$47&gt;0,SUMIF(Landbrug!$B$32:$B$45,$B12,IF($I$4=År2,Landbrug!$D$32:$D$45,Landbrug!$E$32:$E$45)),'[1]Afgrødefordeling - jordtype'!$G10)*(1-Landbrug!$E$5)*Arealanvendelse!P$26</f>
        <v>3506.0889482883485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27.076506620423842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630.07402514807984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5.3380929784355526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1.4764771192515349</v>
      </c>
      <c r="R12" s="11">
        <f>IF(Landbrug!$E$47&gt;0,SUMIF(Landbrug!$B$32:$B$45,$B12,IF($R$4=År2,Landbrug!$D$32:$D$45,Landbrug!$E$32:$E$45)),'[1]Afgrødefordeling - jordtype'!$G10)*(Landbrug!$E$5)*Arealanvendelse!P$26</f>
        <v>743.71583751571029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5.7435014043323305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55000000000000004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138250.29972976272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4415.1367500105207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1176.4921633749784</v>
      </c>
      <c r="I13" s="11">
        <f>IF(Landbrug!$E$47&gt;0,SUMIF(Landbrug!$B$32:$B$45,$B13,IF($I$4=År2,Landbrug!$D$32:$D$45,Landbrug!$E$32:$E$45)),'[1]Afgrødefordeling - jordtype'!$G11)*(1-Landbrug!$E$5)*Arealanvendelse!P$26</f>
        <v>120064.63258721215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3495.1701121787992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21576.636374009206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689.0675852617577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183.61438387933188</v>
      </c>
      <c r="R13" s="11">
        <f>IF(Landbrug!$E$47&gt;0,SUMIF(Landbrug!$B$32:$B$45,$B13,IF($R$4=År2,Landbrug!$D$32:$D$45,Landbrug!$E$32:$E$45)),'[1]Afgrødefordeling - jordtype'!$G11)*(Landbrug!$E$5)*Arealanvendelse!P$26</f>
        <v>25468.255397287427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741.39972076519973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55000000000000004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2540.3874452133937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75.215650030725556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33.714690278143649</v>
      </c>
      <c r="I14" s="11">
        <f>IF(Landbrug!$E$47&gt;0,SUMIF(Landbrug!$B$32:$B$45,$B14,IF($I$4=År2,Landbrug!$D$32:$D$45,Landbrug!$E$32:$E$45)),'[1]Afgrødefordeling - jordtype'!$G12)*(1-Landbrug!$E$5)*Arealanvendelse!P$26</f>
        <v>2206.2207882002126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59.54322750136015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396.47665329920017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11.73885867531555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5.2618302746235761</v>
      </c>
      <c r="R14" s="11">
        <f>IF(Landbrug!$E$47&gt;0,SUMIF(Landbrug!$B$32:$B$45,$B14,IF($R$4=År2,Landbrug!$D$32:$D$45,Landbrug!$E$32:$E$45)),'[1]Afgrødefordeling - jordtype'!$G12)*(Landbrug!$E$5)*Arealanvendelse!P$26</f>
        <v>467.98622780004507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12.630381591197606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55000000000000004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44929.041857570082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1330.2565696985414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596.27468777483512</v>
      </c>
      <c r="I15" s="11">
        <f>IF(Landbrug!$E$47&gt;0,SUMIF(Landbrug!$B$32:$B$45,$B15,IF($I$4=År2,Landbrug!$D$32:$D$45,Landbrug!$E$32:$E$45)),'[1]Afgrødefordeling - jordtype'!$G13)*(1-Landbrug!$E$5)*Arealanvendelse!P$26</f>
        <v>39019.003312607769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1053.0756502454326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7012.0469951120949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207.61229700497469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93.060211386823994</v>
      </c>
      <c r="R15" s="11">
        <f>IF(Landbrug!$E$47&gt;0,SUMIF(Landbrug!$B$32:$B$45,$B15,IF($R$4=År2,Landbrug!$D$32:$D$45,Landbrug!$E$32:$E$45)),'[1]Afgrødefordeling - jordtype'!$G13)*(Landbrug!$E$5)*Arealanvendelse!P$26</f>
        <v>8276.7582784319511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223.3796833853948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55000000000000004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47261.400630257056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3283.4655055701205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1897.1467002204627</v>
      </c>
      <c r="I16" s="11">
        <f>IF(Landbrug!$E$47&gt;0,SUMIF(Landbrug!$B$32:$B$45,$B16,IF($I$4=År2,Landbrug!$D$32:$D$45,Landbrug!$E$32:$E$45)),'[1]Afgrødefordeling - jordtype'!$G14)*(1-Landbrug!$E$5)*Arealanvendelse!P$26</f>
        <v>41044.559854992149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2599.3012559376307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7376.0567457626612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512.44837370169512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296.08647922515894</v>
      </c>
      <c r="R16" s="11">
        <f>IF(Landbrug!$E$47&gt;0,SUMIF(Landbrug!$B$32:$B$45,$B16,IF($R$4=År2,Landbrug!$D$32:$D$45,Landbrug!$E$32:$E$45)),'[1]Afgrødefordeling - jordtype'!$G14)*(Landbrug!$E$5)*Arealanvendelse!P$26</f>
        <v>8706.4217874225778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551.36693307767916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55000000000000004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12741.4251138164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377.24740533545247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169.09751393390181</v>
      </c>
      <c r="I17" s="11">
        <f>IF(Landbrug!$E$47&gt;0,SUMIF(Landbrug!$B$32:$B$45,$B17,IF($I$4=År2,Landbrug!$D$32:$D$45,Landbrug!$E$32:$E$45)),'[1]Afgrødefordeling - jordtype'!$G15)*(1-Landbrug!$E$5)*Arealanvendelse!P$26</f>
        <v>11065.397528382413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298.64167990319493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1988.5461160291493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58.876762682411666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26.390941481013577</v>
      </c>
      <c r="R17" s="11">
        <f>IF(Landbrug!$E$47&gt;0,SUMIF(Landbrug!$B$32:$B$45,$B17,IF($R$4=År2,Landbrug!$D$32:$D$45,Landbrug!$E$32:$E$45)),'[1]Afgrødefordeling - jordtype'!$G15)*(Landbrug!$E$5)*Arealanvendelse!P$26</f>
        <v>2347.2055363235422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63.34823513098074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55000000000000004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4686.7049638673298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619.57934642519353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399.1587138370042</v>
      </c>
      <c r="I18" s="11">
        <f>IF(Landbrug!$E$47&gt;0,SUMIF(Landbrug!$B$32:$B$45,$B18,IF($I$4=År2,Landbrug!$D$32:$D$45,Landbrug!$E$32:$E$45)),'[1]Afgrødefordeling - jordtype'!$G16)*(1-Landbrug!$E$5)*Arealanvendelse!P$26</f>
        <v>4070.2082428126114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490.4797600535137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731.451063724959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96.697354644394366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62.296446668202975</v>
      </c>
      <c r="R18" s="11">
        <f>IF(Landbrug!$E$47&gt;0,SUMIF(Landbrug!$B$32:$B$45,$B18,IF($R$4=År2,Landbrug!$D$32:$D$45,Landbrug!$E$32:$E$45)),'[1]Afgrødefordeling - jordtype'!$G16)*(Landbrug!$E$5)*Arealanvendelse!P$26</f>
        <v>863.37750605116003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104.0411612234726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55000000000000004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112966.14252431852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17512.450507812609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14762.990467149724</v>
      </c>
      <c r="I19" s="11">
        <f>IF(Landbrug!$E$47&gt;0,SUMIF(Landbrug!$B$32:$B$45,$B19,IF($I$4=År2,Landbrug!$D$32:$D$45,Landbrug!$E$32:$E$45)),'[1]Afgrødefordeling - jordtype'!$G17)*(1-Landbrug!$E$5)*Arealanvendelse!P$26</f>
        <v>98106.394152410197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13863.442305783894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17630.554035587287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2733.1570156701764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2304.0505353355065</v>
      </c>
      <c r="R19" s="11">
        <f>IF(Landbrug!$E$47&gt;0,SUMIF(Landbrug!$B$32:$B$45,$B19,IF($R$4=År2,Landbrug!$D$32:$D$45,Landbrug!$E$32:$E$45)),'[1]Afgrødefordeling - jordtype'!$G17)*(Landbrug!$E$5)*Arealanvendelse!P$26</f>
        <v>20810.447244450646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2940.7301860753714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4.7" thickBot="1" x14ac:dyDescent="0.6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1554930.2951756858</v>
      </c>
      <c r="G20" s="37">
        <f t="shared" si="2"/>
        <v>71233.773191769549</v>
      </c>
      <c r="H20" s="37">
        <f t="shared" si="2"/>
        <v>43517.167056241422</v>
      </c>
      <c r="I20" s="37">
        <f t="shared" si="2"/>
        <v>1350392.2592133279</v>
      </c>
      <c r="J20" s="37">
        <f t="shared" si="2"/>
        <v>56391.040444444443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242676.98248406654</v>
      </c>
      <c r="P20" s="37">
        <f t="shared" si="2"/>
        <v>11117.409688888891</v>
      </c>
      <c r="Q20" s="37">
        <f t="shared" si="2"/>
        <v>6791.6965925925924</v>
      </c>
      <c r="R20" s="37">
        <f t="shared" si="2"/>
        <v>286446.84286343318</v>
      </c>
      <c r="S20" s="37">
        <f t="shared" si="2"/>
        <v>11961.735851851852</v>
      </c>
      <c r="T20" s="38">
        <f t="shared" si="2"/>
        <v>0</v>
      </c>
      <c r="U20" s="90"/>
    </row>
    <row r="21" spans="1:21" ht="14.7" thickBot="1" x14ac:dyDescent="0.6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55000000000000004">
      <c r="A22" s="60"/>
      <c r="B22" s="44"/>
      <c r="C22" s="421" t="s">
        <v>7</v>
      </c>
      <c r="D22" s="422"/>
      <c r="E22" s="423"/>
      <c r="F22" s="424" t="s">
        <v>8</v>
      </c>
      <c r="G22" s="422"/>
      <c r="H22" s="423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55000000000000004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55000000000000004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9723529.5356878359</v>
      </c>
      <c r="E24" s="22">
        <f>($F24+$C24)*Landbrug!E11*(1-Landbrug!E6)</f>
        <v>8686398.2742639016</v>
      </c>
      <c r="F24" s="33">
        <f>SUM([1]Dyrehold!E58:G61)</f>
        <v>475477</v>
      </c>
      <c r="G24" s="11">
        <f>($F24+$C24)*Landbrug!D11*Landbrug!D6</f>
        <v>637730.00302184175</v>
      </c>
      <c r="H24" s="22">
        <f>($F24+$C24)*Landbrug!E11*Landbrug!E6</f>
        <v>981800.42573609971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55000000000000004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1152879.1032080106</v>
      </c>
      <c r="E25" s="22">
        <f>($F25+$C25)*Landbrug!E12*(1-Landbrug!E7)</f>
        <v>1097180.5432080105</v>
      </c>
      <c r="F25" s="33">
        <f>SUM([1]Dyrehold!E36:G51)</f>
        <v>207835</v>
      </c>
      <c r="G25" s="11">
        <f>($F25+$C25)*Landbrug!D12*Landbrug!D7</f>
        <v>239584.89679198936</v>
      </c>
      <c r="H25" s="22">
        <f>($F25+$C25)*Landbrug!E12*Landbrug!E7</f>
        <v>295283.45679198933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4.7" thickBot="1" x14ac:dyDescent="0.6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17790568.192894831</v>
      </c>
      <c r="E26" s="23">
        <f>($F26+$C26)*Landbrug!E13*(1-Landbrug!E8)</f>
        <v>16939594.832894832</v>
      </c>
      <c r="F26" s="46">
        <f>SUM([1]Dyrehold!E65:G78)</f>
        <v>3062300</v>
      </c>
      <c r="G26" s="15">
        <f>($F26+$C26)*Landbrug!D13*Landbrug!D8</f>
        <v>3483765.8071051692</v>
      </c>
      <c r="H26" s="23">
        <f>($F26+$C26)*Landbrug!E13*Landbrug!E8</f>
        <v>4334739.167105169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4.7" thickBot="1" x14ac:dyDescent="0.6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4.7" thickBot="1" x14ac:dyDescent="0.6">
      <c r="B28" s="6"/>
      <c r="F28" s="83"/>
      <c r="G28" s="83"/>
      <c r="H28" s="83"/>
    </row>
    <row r="29" spans="1:21" ht="20.7" thickBot="1" x14ac:dyDescent="0.8">
      <c r="A29" s="428" t="s">
        <v>24</v>
      </c>
      <c r="B29" s="429"/>
      <c r="C29" s="429"/>
      <c r="D29" s="429"/>
      <c r="E29" s="429"/>
      <c r="F29" s="429"/>
      <c r="G29" s="429"/>
      <c r="H29" s="429"/>
      <c r="I29" s="429"/>
      <c r="J29" s="429"/>
      <c r="K29" s="429"/>
      <c r="L29" s="429"/>
      <c r="M29" s="429"/>
      <c r="N29" s="429"/>
      <c r="O29" s="429"/>
      <c r="P29" s="429"/>
      <c r="Q29" s="429"/>
      <c r="R29" s="429"/>
      <c r="S29" s="429"/>
      <c r="T29" s="429"/>
      <c r="U29" s="430"/>
    </row>
    <row r="30" spans="1:21" x14ac:dyDescent="0.55000000000000004">
      <c r="A30" s="55"/>
      <c r="B30" s="52"/>
      <c r="C30" s="431" t="s">
        <v>7</v>
      </c>
      <c r="D30" s="432"/>
      <c r="E30" s="432"/>
      <c r="F30" s="432"/>
      <c r="G30" s="432"/>
      <c r="H30" s="432"/>
      <c r="I30" s="432"/>
      <c r="J30" s="432"/>
      <c r="K30" s="433"/>
      <c r="L30" s="431" t="s">
        <v>8</v>
      </c>
      <c r="M30" s="432"/>
      <c r="N30" s="432"/>
      <c r="O30" s="432"/>
      <c r="P30" s="432"/>
      <c r="Q30" s="432"/>
      <c r="R30" s="432"/>
      <c r="S30" s="432"/>
      <c r="T30" s="433"/>
      <c r="U30" s="52"/>
    </row>
    <row r="31" spans="1:21" ht="14.7" thickBot="1" x14ac:dyDescent="0.6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55000000000000004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55000000000000004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277847.44549518183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4153.0281200981244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1796.6458108942293</v>
      </c>
      <c r="I33" s="11">
        <f>IF(Landbrug!$E$47&gt;0,SUMIF(Landbrug!$B$32:$B$45,$B33,IF($I$31=År2,Landbrug!$D$32:$D$45,Landbrug!$E$32:$E$45)),'[1]Afgrødefordeling - jordtype'!$P4)*(1-Landbrug!$E$5)*Arealanvendelse!P$36</f>
        <v>252961.21164089115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3287.676142844382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43363.474152427225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648.16045804999635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280.40136933031323</v>
      </c>
      <c r="R33" s="11">
        <f>IF(Landbrug!$E$47&gt;0,SUMIF(Landbrug!$B$32:$B$45,$B33,IF($R$31=År2,Landbrug!$D$32:$D$45,Landbrug!$E$32:$E$45)),'[1]Afgrødefordeling - jordtype'!$P4)*(Landbrug!$E$5)*Arealanvendelse!P$36</f>
        <v>53658.438832916305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697.38584848214157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55000000000000004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6055.6397331754633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112.30451890716081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32.633012539823845</v>
      </c>
      <c r="I34" s="11">
        <f>IF(Landbrug!$E$47&gt;0,SUMIF(Landbrug!$B$32:$B$45,$B34,IF($I$31=År2,Landbrug!$D$32:$D$45,Landbrug!$E$32:$E$45)),'[1]Afgrødefordeling - jordtype'!$P5)*(1-Landbrug!$E$5)*Arealanvendelse!P$36</f>
        <v>5513.2483274579954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88.904018192866161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945.0998427499278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17.527294858343019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5.0930135177759759</v>
      </c>
      <c r="R34" s="11">
        <f>IF(Landbrug!$E$47&gt;0,SUMIF(Landbrug!$B$32:$B$45,$B34,IF($R$31=År2,Landbrug!$D$32:$D$45,Landbrug!$E$32:$E$45)),'[1]Afgrødefordeling - jordtype'!$P5)*(Landbrug!$E$5)*Arealanvendelse!P$36</f>
        <v>1169.4769179456355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18.858428101517063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55000000000000004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38413.381365538749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453.61549532985964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159.40463041598321</v>
      </c>
      <c r="I35" s="11">
        <f>IF(Landbrug!$E$47&gt;0,SUMIF(Landbrug!$B$32:$B$45,$B35,IF($I$31=År2,Landbrug!$D$32:$D$45,Landbrug!$E$32:$E$45)),'[1]Afgrødefordeling - jordtype'!$P6)*(1-Landbrug!$E$5)*Arealanvendelse!P$36</f>
        <v>34972.772472795026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359.09721747448225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5995.1520050262798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70.795481930093715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24.878179313477148</v>
      </c>
      <c r="R35" s="11">
        <f>IF(Landbrug!$E$47&gt;0,SUMIF(Landbrug!$B$32:$B$45,$B35,IF($R$31=År2,Landbrug!$D$32:$D$45,Landbrug!$E$32:$E$45)),'[1]Afgrødefordeling - jordtype'!$P6)*(Landbrug!$E$5)*Arealanvendelse!P$36</f>
        <v>7418.4668881686412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76.17213704004169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55000000000000004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23337.085725305184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1333.8196227610581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1171.3986150504631</v>
      </c>
      <c r="I36" s="11">
        <f>IF(Landbrug!$E$47&gt;0,SUMIF(Landbrug!$B$32:$B$45,$B36,IF($I$31=År2,Landbrug!$D$32:$D$45,Landbrug!$E$32:$E$45)),'[1]Afgrødefordeling - jordtype'!$P7)*(1-Landbrug!$E$5)*Arealanvendelse!P$36</f>
        <v>21246.830147095647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1055.8962823747061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3642.2041305389598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208.16838043091659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182.81943703099714</v>
      </c>
      <c r="R36" s="11">
        <f>IF(Landbrug!$E$47&gt;0,SUMIF(Landbrug!$B$32:$B$45,$B36,IF($R$31=År2,Landbrug!$D$32:$D$45,Landbrug!$E$32:$E$45)),'[1]Afgrødefordeling - jordtype'!$P7)*(Landbrug!$E$5)*Arealanvendelse!P$36</f>
        <v>4506.9033645354402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223.97799929160431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55000000000000004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3656.9274374465294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25.261099168726226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5.5133034466362671</v>
      </c>
      <c r="I37" s="11">
        <f>IF(Landbrug!$E$47&gt;0,SUMIF(Landbrug!$B$32:$B$45,$B37,IF($I$31=År2,Landbrug!$D$32:$D$45,Landbrug!$E$32:$E$45)),'[1]Afgrødefordeling - jordtype'!$P8)*(1-Landbrug!$E$5)*Arealanvendelse!P$36</f>
        <v>3329.3838415920754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19.997532084392677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570.73433994830236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3.9424836852925322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0.86045776334785684</v>
      </c>
      <c r="R37" s="11">
        <f>IF(Landbrug!$E$47&gt;0,SUMIF(Landbrug!$B$32:$B$45,$B37,IF($R$31=År2,Landbrug!$D$32:$D$45,Landbrug!$E$32:$E$45)),'[1]Afgrødefordeling - jordtype'!$P8)*(Landbrug!$E$5)*Arealanvendelse!P$36</f>
        <v>706.23293609528866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4.2419007451742043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55000000000000004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2345.9279292965525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42.946180543416538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31.425171951535479</v>
      </c>
      <c r="I38" s="11">
        <f>IF(Landbrug!$E$47&gt;0,SUMIF(Landbrug!$B$32:$B$45,$B38,IF($I$31=År2,Landbrug!$D$32:$D$45,Landbrug!$E$32:$E$45)),'[1]Afgrødefordeling - jordtype'!$P9)*(1-Landbrug!$E$5)*Arealanvendelse!P$36</f>
        <v>2135.807908398976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33.997634765724179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366.12748029483765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6.7025830905910215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4.9045066051529362</v>
      </c>
      <c r="R38" s="11">
        <f>IF(Landbrug!$E$47&gt;0,SUMIF(Landbrug!$B$32:$B$45,$B38,IF($R$31=År2,Landbrug!$D$32:$D$45,Landbrug!$E$32:$E$45)),'[1]Afgrødefordeling - jordtype'!$P9)*(Landbrug!$E$5)*Arealanvendelse!P$36</f>
        <v>453.05016238766149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7.211619495759674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55000000000000004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24387.347223432687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119.98259301094923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36.188775432258431</v>
      </c>
      <c r="I39" s="11">
        <f>IF(Landbrug!$E$47&gt;0,SUMIF(Landbrug!$B$32:$B$45,$B39,IF($I$31=År2,Landbrug!$D$32:$D$45,Landbrug!$E$32:$E$45)),'[1]Afgrødefordeling - jordtype'!$P10)*(1-Landbrug!$E$5)*Arealanvendelse!P$36</f>
        <v>22203.021846582469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94.982238788545629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3806.1177747553907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18.725607001708841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5.6479591715085418</v>
      </c>
      <c r="R39" s="11">
        <f>IF(Landbrug!$E$47&gt;0,SUMIF(Landbrug!$B$32:$B$45,$B39,IF($R$31=År2,Landbrug!$D$32:$D$45,Landbrug!$E$32:$E$45)),'[1]Afgrødefordeling - jordtype'!$P10)*(Landbrug!$E$5)*Arealanvendelse!P$36</f>
        <v>4709.7319068508268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20.147747621812712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55000000000000004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6897.6493288624933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127.91995950888544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37.170486845663731</v>
      </c>
      <c r="I40" s="11">
        <f>IF(Landbrug!$E$47&gt;0,SUMIF(Landbrug!$B$32:$B$45,$B40,IF($I$31=År2,Landbrug!$D$32:$D$45,Landbrug!$E$32:$E$45)),'[1]Afgrødefordeling - jordtype'!$P11)*(1-Landbrug!$E$5)*Arealanvendelse!P$36</f>
        <v>6279.8408262972243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101.26572392701387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1076.511744966979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19.964386744161317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5.8011742475891381</v>
      </c>
      <c r="R40" s="11">
        <f>IF(Landbrug!$E$47&gt;0,SUMIF(Landbrug!$B$32:$B$45,$B40,IF($R$31=År2,Landbrug!$D$32:$D$45,Landbrug!$E$32:$E$45)),'[1]Afgrødefordeling - jordtype'!$P11)*(Landbrug!$E$5)*Arealanvendelse!P$36</f>
        <v>1332.0874480024415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21.480608105730209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55000000000000004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1604.9535438553075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27.594964857400839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13.488257970641145</v>
      </c>
      <c r="I41" s="11">
        <f>IF(Landbrug!$E$47&gt;0,SUMIF(Landbrug!$B$32:$B$45,$B41,IF($I$31=År2,Landbrug!$D$32:$D$45,Landbrug!$E$32:$E$45)),'[1]Afgrødefordeling - jordtype'!$P12)*(1-Landbrug!$E$5)*Arealanvendelse!P$36</f>
        <v>1461.2011003283492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21.845098323620871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250.48407909880524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4.3067286193631373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2.1051038451289652</v>
      </c>
      <c r="R41" s="11">
        <f>IF(Landbrug!$E$47&gt;0,SUMIF(Landbrug!$B$32:$B$45,$B41,IF($R$31=År2,Landbrug!$D$32:$D$45,Landbrug!$E$32:$E$45)),'[1]Afgrødefordeling - jordtype'!$P12)*(Landbrug!$E$5)*Arealanvendelse!P$36</f>
        <v>309.95174855449835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4.6338087353135169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55000000000000004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11460.146724373322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197.0414329626538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96.312703873303633</v>
      </c>
      <c r="I42" s="11">
        <f>IF(Landbrug!$E$47&gt;0,SUMIF(Landbrug!$B$32:$B$45,$B42,IF($I$31=År2,Landbrug!$D$32:$D$45,Landbrug!$E$32:$E$45)),'[1]Afgrødefordeling - jordtype'!$P13)*(1-Landbrug!$E$5)*Arealanvendelse!P$36</f>
        <v>10433.684555973852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155.98459715892352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1788.5778124744493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30.752131156021115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15.031462454215021</v>
      </c>
      <c r="R42" s="11">
        <f>IF(Landbrug!$E$47&gt;0,SUMIF(Landbrug!$B$32:$B$45,$B42,IF($R$31=År2,Landbrug!$D$32:$D$45,Landbrug!$E$32:$E$45)),'[1]Afgrødefordeling - jordtype'!$P13)*(Landbrug!$E$5)*Arealanvendelse!P$36</f>
        <v>2213.2058149035443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33.087641821589841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55000000000000004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35457.355952106635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1430.5114592593595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901.3113802822603</v>
      </c>
      <c r="I43" s="11">
        <f>IF(Landbrug!$E$47&gt;0,SUMIF(Landbrug!$B$32:$B$45,$B43,IF($I$31=År2,Landbrug!$D$32:$D$45,Landbrug!$E$32:$E$45)),'[1]Afgrødefordeling - jordtype'!$P14)*(1-Landbrug!$E$5)*Arealanvendelse!P$36</f>
        <v>32281.512278228936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1132.4407783112672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5533.8069983056603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223.25901387284802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140.66709403249149</v>
      </c>
      <c r="R43" s="11">
        <f>IF(Landbrug!$E$47&gt;0,SUMIF(Landbrug!$B$32:$B$45,$B43,IF($R$31=År2,Landbrug!$D$32:$D$45,Landbrug!$E$32:$E$45)),'[1]Afgrødefordeling - jordtype'!$P14)*(Landbrug!$E$5)*Arealanvendelse!P$36</f>
        <v>6847.5935135637137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240.21471055087486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55000000000000004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2514.9530700143437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43.241152898637949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21.136023483224019</v>
      </c>
      <c r="I44" s="11">
        <f>IF(Landbrug!$E$47&gt;0,SUMIF(Landbrug!$B$32:$B$45,$B44,IF($I$31=År2,Landbrug!$D$32:$D$45,Landbrug!$E$32:$E$45)),'[1]Afgrødefordeling - jordtype'!$P15)*(1-Landbrug!$E$5)*Arealanvendelse!P$36</f>
        <v>2289.6938090504755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34.231144760604046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392.50712653403053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6.74861923851575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3.2986857459366963</v>
      </c>
      <c r="R44" s="11">
        <f>IF(Landbrug!$E$47&gt;0,SUMIF(Landbrug!$B$32:$B$45,$B44,IF($R$31=År2,Landbrug!$D$32:$D$45,Landbrug!$E$32:$E$45)),'[1]Afgrødefordeling - jordtype'!$P15)*(Landbrug!$E$5)*Arealanvendelse!P$36</f>
        <v>485.6926261622221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7.261151918916009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55000000000000004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1195.4478510811762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91.773876584838561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64.473732983194068</v>
      </c>
      <c r="I45" s="11">
        <f>IF(Landbrug!$E$47&gt;0,SUMIF(Landbrug!$B$32:$B$45,$B45,IF($I$31=År2,Landbrug!$D$32:$D$45,Landbrug!$E$32:$E$45)),'[1]Afgrødefordeling - jordtype'!$P16)*(1-Landbrug!$E$5)*Arealanvendelse!P$36</f>
        <v>1088.3740043895341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72.651274168880292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186.57278600688875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14.323090565263824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10.062374511827977</v>
      </c>
      <c r="R45" s="11">
        <f>IF(Landbrug!$E$47&gt;0,SUMIF(Landbrug!$B$32:$B$45,$B45,IF($R$31=År2,Landbrug!$D$32:$D$45,Landbrug!$E$32:$E$45)),'[1]Afgrødefordeling - jordtype'!$P16)*(Landbrug!$E$5)*Arealanvendelse!P$36</f>
        <v>230.86721305232541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15.410876338853395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55000000000000004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29775.268629829476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2659.7407767838267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2242.1606682189854</v>
      </c>
      <c r="I46" s="11">
        <f>IF(Landbrug!$E$47&gt;0,SUMIF(Landbrug!$B$32:$B$45,$B46,IF($I$31=År2,Landbrug!$D$32:$D$45,Landbrug!$E$32:$E$45)),'[1]Afgrødefordeling - jordtype'!$P17)*(1-Landbrug!$E$5)*Arealanvendelse!P$36</f>
        <v>27108.358027589973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2105.5398723801477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4647.0072428057565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415.10405186799608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349.9325898376452</v>
      </c>
      <c r="R46" s="11">
        <f>IF(Landbrug!$E$47&gt;0,SUMIF(Landbrug!$B$32:$B$45,$B46,IF($R$31=År2,Landbrug!$D$32:$D$45,Landbrug!$E$32:$E$45)),'[1]Afgrødefordeling - jordtype'!$P17)*(Landbrug!$E$5)*Arealanvendelse!P$36</f>
        <v>5750.2577634281761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446.6296698988192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4.7" thickBot="1" x14ac:dyDescent="0.6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464949.53000949981</v>
      </c>
      <c r="G47" s="37">
        <f t="shared" si="3"/>
        <v>10818.781252674898</v>
      </c>
      <c r="H47" s="37">
        <f t="shared" si="3"/>
        <v>6609.2625733882014</v>
      </c>
      <c r="I47" s="37">
        <f t="shared" si="3"/>
        <v>423304.94078667171</v>
      </c>
      <c r="J47" s="37">
        <f t="shared" si="3"/>
        <v>8564.5095555555563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72564.377515933491</v>
      </c>
      <c r="P47" s="37">
        <f t="shared" si="3"/>
        <v>1688.4803111111114</v>
      </c>
      <c r="Q47" s="37">
        <f t="shared" si="3"/>
        <v>1031.5034074074074</v>
      </c>
      <c r="R47" s="37">
        <f t="shared" si="3"/>
        <v>89791.957136566692</v>
      </c>
      <c r="S47" s="37">
        <f t="shared" si="3"/>
        <v>1816.7141481481481</v>
      </c>
      <c r="T47" s="38">
        <f t="shared" si="3"/>
        <v>0</v>
      </c>
      <c r="U47" s="52"/>
    </row>
    <row r="48" spans="1:21" ht="14.7" thickBot="1" x14ac:dyDescent="0.6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55000000000000004">
      <c r="A49" s="55"/>
      <c r="B49" s="48"/>
      <c r="C49" s="421" t="s">
        <v>7</v>
      </c>
      <c r="D49" s="422"/>
      <c r="E49" s="423"/>
      <c r="F49" s="424" t="s">
        <v>8</v>
      </c>
      <c r="G49" s="422"/>
      <c r="H49" s="423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55000000000000004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55000000000000004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1532729.9904525669</v>
      </c>
      <c r="E51" s="22">
        <f>SUM([1]Dyrehold!$E$22:$E$23)-H51</f>
        <v>1517250.402620316</v>
      </c>
      <c r="F51" s="49">
        <f>SUM([1]Dyrehold!C58:D61)</f>
        <v>15447</v>
      </c>
      <c r="G51" s="11">
        <f>$F51/Landbrug!$C6*Landbrug!D6</f>
        <v>23819.009547433063</v>
      </c>
      <c r="H51" s="22">
        <f>$F51/Landbrug!$C6*Landbrug!E6</f>
        <v>39298.597379684077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55000000000000004">
      <c r="A52" s="55"/>
      <c r="B52" s="30" t="s">
        <v>3</v>
      </c>
      <c r="C52" s="34">
        <f>SUM([1]Dyrehold!$D$22:$D$23)-F52</f>
        <v>82455</v>
      </c>
      <c r="D52" s="11">
        <f>SUM([1]Dyrehold!$D$22:$D$23)-G52</f>
        <v>80080.142534636136</v>
      </c>
      <c r="E52" s="22">
        <f>SUM([1]Dyrehold!$D$22:$D$23)-H52</f>
        <v>75689.10421630925</v>
      </c>
      <c r="F52" s="49">
        <f>SUM([1]Dyrehold!C36:D51)</f>
        <v>16513</v>
      </c>
      <c r="G52" s="11">
        <f>$F52/Landbrug!$C7*Landbrug!D7</f>
        <v>18887.857465363868</v>
      </c>
      <c r="H52" s="22">
        <f>$F52/Landbrug!$C7*Landbrug!E7</f>
        <v>23278.89578369075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4.7" thickBot="1" x14ac:dyDescent="0.6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1537834.5897597643</v>
      </c>
      <c r="E53" s="23">
        <f>SUM([1]Dyrehold!$F$22:$F$23)-H53</f>
        <v>1477326.3140238035</v>
      </c>
      <c r="F53" s="50">
        <f>SUM([1]Dyrehold!C65:D78)</f>
        <v>214987</v>
      </c>
      <c r="G53" s="15">
        <f>$F53/Landbrug!$C8*Landbrug!D8</f>
        <v>247712.41024023574</v>
      </c>
      <c r="H53" s="23">
        <f>$F53/Landbrug!$C8*Landbrug!E8</f>
        <v>308220.6859761966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4.7" thickBot="1" x14ac:dyDescent="0.6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8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2.3125" bestFit="1" customWidth="1"/>
    <col min="37" max="37" width="10.20703125" bestFit="1" customWidth="1"/>
    <col min="38" max="38" width="7.578125" bestFit="1" customWidth="1"/>
    <col min="39" max="39" width="9.83984375" bestFit="1" customWidth="1"/>
    <col min="40" max="40" width="11.89453125" bestFit="1" customWidth="1"/>
    <col min="41" max="41" width="10.3125" bestFit="1" customWidth="1"/>
    <col min="42" max="42" width="10.62890625" bestFit="1" customWidth="1"/>
    <col min="43" max="43" width="12.3125" bestFit="1" customWidth="1"/>
    <col min="44" max="44" width="10.20703125" bestFit="1" customWidth="1"/>
    <col min="45" max="45" width="15" bestFit="1" customWidth="1"/>
    <col min="46" max="46" width="12" bestFit="1" customWidth="1"/>
  </cols>
  <sheetData>
    <row r="3" spans="1:37" x14ac:dyDescent="0.55000000000000004">
      <c r="A3" s="75" t="s">
        <v>174</v>
      </c>
      <c r="B3" s="75" t="s">
        <v>62</v>
      </c>
    </row>
    <row r="4" spans="1:37" x14ac:dyDescent="0.55000000000000004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55000000000000004">
      <c r="A5" s="76" t="s">
        <v>109</v>
      </c>
      <c r="B5" s="216"/>
      <c r="C5" s="216"/>
      <c r="D5" s="216">
        <v>729134</v>
      </c>
      <c r="E5" s="216">
        <v>5537430.4584002011</v>
      </c>
      <c r="F5" s="216"/>
      <c r="G5" s="216">
        <v>19628.463153389632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27059730.698022246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15017210.496861221</v>
      </c>
      <c r="AB5" s="216">
        <v>28783929.716581032</v>
      </c>
      <c r="AC5" s="216"/>
      <c r="AD5" s="216"/>
      <c r="AE5" s="216"/>
      <c r="AF5" s="216"/>
      <c r="AG5" s="216"/>
      <c r="AH5" s="216"/>
      <c r="AI5" s="216"/>
      <c r="AJ5" s="216"/>
      <c r="AK5" s="216">
        <v>80825089.833018094</v>
      </c>
    </row>
    <row r="6" spans="1:37" x14ac:dyDescent="0.55000000000000004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55000000000000004">
      <c r="A7" s="77">
        <v>2030</v>
      </c>
      <c r="B7" s="216"/>
      <c r="C7" s="216"/>
      <c r="D7" s="216">
        <v>0</v>
      </c>
      <c r="E7" s="216">
        <v>2189034.0302520012</v>
      </c>
      <c r="F7" s="216"/>
      <c r="G7" s="216">
        <v>6782.1960455237531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10429714.413001494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5488473.8162016999</v>
      </c>
      <c r="AB7" s="216">
        <v>12485034.123782061</v>
      </c>
      <c r="AC7" s="216"/>
      <c r="AD7" s="216"/>
      <c r="AE7" s="216"/>
      <c r="AF7" s="216"/>
      <c r="AG7" s="216"/>
      <c r="AH7" s="216"/>
      <c r="AI7" s="216"/>
      <c r="AJ7" s="216"/>
      <c r="AK7" s="216">
        <v>31491780.579282783</v>
      </c>
    </row>
    <row r="8" spans="1:37" x14ac:dyDescent="0.55000000000000004">
      <c r="A8" s="77">
        <v>2050</v>
      </c>
      <c r="B8" s="216"/>
      <c r="C8" s="216"/>
      <c r="D8" s="216">
        <v>0</v>
      </c>
      <c r="E8" s="216">
        <v>2591309.4281482003</v>
      </c>
      <c r="F8" s="216"/>
      <c r="G8" s="216">
        <v>8404.7671078658768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12276506.618354084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6859902.6806595214</v>
      </c>
      <c r="AB8" s="216">
        <v>13384026.259465635</v>
      </c>
      <c r="AC8" s="216"/>
      <c r="AD8" s="216"/>
      <c r="AE8" s="216"/>
      <c r="AF8" s="216"/>
      <c r="AG8" s="216"/>
      <c r="AH8" s="216"/>
      <c r="AI8" s="216"/>
      <c r="AJ8" s="216"/>
      <c r="AK8" s="216">
        <v>36242891.753735304</v>
      </c>
    </row>
    <row r="9" spans="1:37" x14ac:dyDescent="0.55000000000000004">
      <c r="A9" s="76" t="s">
        <v>112</v>
      </c>
      <c r="B9" s="216"/>
      <c r="C9" s="216">
        <v>210294.99956339563</v>
      </c>
      <c r="D9" s="216"/>
      <c r="E9" s="216"/>
      <c r="F9" s="216"/>
      <c r="G9" s="216"/>
      <c r="H9" s="216"/>
      <c r="I9" s="216"/>
      <c r="J9" s="216"/>
      <c r="K9" s="216">
        <v>39900555.403271481</v>
      </c>
      <c r="L9" s="216"/>
      <c r="M9" s="216">
        <v>2520619.2308779224</v>
      </c>
      <c r="N9" s="216"/>
      <c r="O9" s="216">
        <v>15742917.328426423</v>
      </c>
      <c r="P9" s="216"/>
      <c r="Q9" s="216">
        <v>0</v>
      </c>
      <c r="R9" s="216">
        <v>19168973.362980071</v>
      </c>
      <c r="S9" s="216"/>
      <c r="T9" s="216">
        <v>4941932.4897397971</v>
      </c>
      <c r="U9" s="216">
        <v>18444623.92003949</v>
      </c>
      <c r="V9" s="216"/>
      <c r="W9" s="216"/>
      <c r="X9" s="216"/>
      <c r="Y9" s="216">
        <v>2742597.2859726176</v>
      </c>
      <c r="Z9" s="216">
        <v>128513.61084429733</v>
      </c>
      <c r="AA9" s="216"/>
      <c r="AB9" s="216"/>
      <c r="AC9" s="216"/>
      <c r="AD9" s="216"/>
      <c r="AE9" s="216"/>
      <c r="AF9" s="216">
        <v>698062.56799516035</v>
      </c>
      <c r="AG9" s="216"/>
      <c r="AH9" s="216"/>
      <c r="AI9" s="216"/>
      <c r="AJ9" s="216"/>
      <c r="AK9" s="216">
        <v>104499090.19971065</v>
      </c>
    </row>
    <row r="10" spans="1:37" x14ac:dyDescent="0.55000000000000004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55000000000000004">
      <c r="A11" s="77">
        <v>2030</v>
      </c>
      <c r="B11" s="216"/>
      <c r="C11" s="216">
        <v>70594.781553755733</v>
      </c>
      <c r="D11" s="216"/>
      <c r="E11" s="216"/>
      <c r="F11" s="216"/>
      <c r="G11" s="216"/>
      <c r="H11" s="216"/>
      <c r="I11" s="216"/>
      <c r="J11" s="216"/>
      <c r="K11" s="216">
        <v>13394379.31674801</v>
      </c>
      <c r="L11" s="216"/>
      <c r="M11" s="216">
        <v>846156.89556793321</v>
      </c>
      <c r="N11" s="216"/>
      <c r="O11" s="216">
        <v>5284803.7857603254</v>
      </c>
      <c r="P11" s="216"/>
      <c r="Q11" s="216">
        <v>0</v>
      </c>
      <c r="R11" s="216">
        <v>6434910.4352402603</v>
      </c>
      <c r="S11" s="216"/>
      <c r="T11" s="216">
        <v>1658977.3665132597</v>
      </c>
      <c r="U11" s="216">
        <v>6191750.632110659</v>
      </c>
      <c r="V11" s="216"/>
      <c r="W11" s="216"/>
      <c r="X11" s="216"/>
      <c r="Y11" s="216">
        <v>920673.60943023092</v>
      </c>
      <c r="Z11" s="216">
        <v>43141.255393961845</v>
      </c>
      <c r="AA11" s="216"/>
      <c r="AB11" s="216"/>
      <c r="AC11" s="216"/>
      <c r="AD11" s="216"/>
      <c r="AE11" s="216"/>
      <c r="AF11" s="216">
        <v>234335.4554353836</v>
      </c>
      <c r="AG11" s="216"/>
      <c r="AH11" s="216"/>
      <c r="AI11" s="216"/>
      <c r="AJ11" s="216"/>
      <c r="AK11" s="216">
        <v>35079723.533753775</v>
      </c>
    </row>
    <row r="12" spans="1:37" x14ac:dyDescent="0.55000000000000004">
      <c r="A12" s="77">
        <v>2050</v>
      </c>
      <c r="B12" s="216"/>
      <c r="C12" s="216">
        <v>67285.125780707793</v>
      </c>
      <c r="D12" s="216"/>
      <c r="E12" s="216"/>
      <c r="F12" s="216"/>
      <c r="G12" s="216"/>
      <c r="H12" s="216"/>
      <c r="I12" s="216"/>
      <c r="J12" s="216"/>
      <c r="K12" s="216">
        <v>12766418.101253457</v>
      </c>
      <c r="L12" s="216"/>
      <c r="M12" s="216">
        <v>806486.99373265042</v>
      </c>
      <c r="N12" s="216"/>
      <c r="O12" s="216">
        <v>5037039.2771946527</v>
      </c>
      <c r="P12" s="216"/>
      <c r="Q12" s="216">
        <v>0</v>
      </c>
      <c r="R12" s="216">
        <v>6133226.1180386841</v>
      </c>
      <c r="S12" s="216"/>
      <c r="T12" s="216">
        <v>1581200.4558466333</v>
      </c>
      <c r="U12" s="216">
        <v>5901466.2403495796</v>
      </c>
      <c r="V12" s="216"/>
      <c r="W12" s="216"/>
      <c r="X12" s="216"/>
      <c r="Y12" s="216">
        <v>877510.18205673085</v>
      </c>
      <c r="Z12" s="216">
        <v>41118.687977099209</v>
      </c>
      <c r="AA12" s="216"/>
      <c r="AB12" s="216"/>
      <c r="AC12" s="216"/>
      <c r="AD12" s="216"/>
      <c r="AE12" s="216"/>
      <c r="AF12" s="216">
        <v>223349.23696651615</v>
      </c>
      <c r="AG12" s="216"/>
      <c r="AH12" s="216"/>
      <c r="AI12" s="216"/>
      <c r="AJ12" s="216"/>
      <c r="AK12" s="216">
        <v>33435100.419196714</v>
      </c>
    </row>
    <row r="13" spans="1:37" x14ac:dyDescent="0.55000000000000004">
      <c r="A13" s="76" t="s">
        <v>127</v>
      </c>
      <c r="B13" s="216">
        <v>182574.19618217932</v>
      </c>
      <c r="C13" s="216">
        <v>250070.75532096261</v>
      </c>
      <c r="D13" s="216"/>
      <c r="E13" s="216"/>
      <c r="F13" s="216">
        <v>281468.55244752642</v>
      </c>
      <c r="G13" s="216"/>
      <c r="H13" s="216">
        <v>157152.21479103784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267279.65146383434</v>
      </c>
      <c r="X13" s="216"/>
      <c r="Y13" s="216"/>
      <c r="Z13" s="216"/>
      <c r="AA13" s="216"/>
      <c r="AB13" s="216"/>
      <c r="AC13" s="216">
        <v>542658.68630536064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55000000000000004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55000000000000004">
      <c r="A15" s="77">
        <v>2030</v>
      </c>
      <c r="B15" s="216">
        <v>60789.12467762841</v>
      </c>
      <c r="C15" s="216">
        <v>81052.166236837889</v>
      </c>
      <c r="D15" s="216"/>
      <c r="E15" s="216"/>
      <c r="F15" s="216">
        <v>93716.56721134379</v>
      </c>
      <c r="G15" s="216"/>
      <c r="H15" s="216">
        <v>52683.90805394463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89603.169774824273</v>
      </c>
      <c r="X15" s="216"/>
      <c r="Y15" s="216"/>
      <c r="Z15" s="216"/>
      <c r="AA15" s="216"/>
      <c r="AB15" s="216"/>
      <c r="AC15" s="216">
        <v>181921.58711858263</v>
      </c>
      <c r="AD15" s="216"/>
      <c r="AE15" s="216"/>
      <c r="AF15" s="216"/>
      <c r="AG15" s="216"/>
      <c r="AH15" s="216"/>
      <c r="AI15" s="216"/>
      <c r="AJ15" s="216"/>
      <c r="AK15" s="216">
        <v>3209159.2069398002</v>
      </c>
    </row>
    <row r="16" spans="1:37" x14ac:dyDescent="0.55000000000000004">
      <c r="A16" s="77">
        <v>2050</v>
      </c>
      <c r="B16" s="216">
        <v>63381.970906546776</v>
      </c>
      <c r="C16" s="216">
        <v>169018.58908412472</v>
      </c>
      <c r="D16" s="216"/>
      <c r="E16" s="216"/>
      <c r="F16" s="216">
        <v>97713.871814259604</v>
      </c>
      <c r="G16" s="216"/>
      <c r="H16" s="216">
        <v>41198.281089255397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70068.768837187454</v>
      </c>
      <c r="X16" s="216"/>
      <c r="Y16" s="216"/>
      <c r="Z16" s="216"/>
      <c r="AA16" s="216"/>
      <c r="AB16" s="216"/>
      <c r="AC16" s="216">
        <v>142260.83369974422</v>
      </c>
      <c r="AD16" s="216"/>
      <c r="AE16" s="216"/>
      <c r="AF16" s="216"/>
      <c r="AG16" s="216"/>
      <c r="AH16" s="216"/>
      <c r="AI16" s="216"/>
      <c r="AJ16" s="216"/>
      <c r="AK16" s="216">
        <v>3346039.880774782</v>
      </c>
    </row>
    <row r="17" spans="1:37" x14ac:dyDescent="0.55000000000000004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9279345.319846848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603171.33247569925</v>
      </c>
      <c r="AE17" s="216">
        <v>8800578.9441841338</v>
      </c>
      <c r="AF17" s="216"/>
      <c r="AG17" s="216">
        <v>551093.3097614923</v>
      </c>
      <c r="AH17" s="216"/>
      <c r="AI17" s="216"/>
      <c r="AJ17" s="216"/>
      <c r="AK17" s="216">
        <v>21186309.693120517</v>
      </c>
    </row>
    <row r="18" spans="1:37" x14ac:dyDescent="0.55000000000000004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55000000000000004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3440673.5939957332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209871.78410050535</v>
      </c>
      <c r="AE19" s="216">
        <v>2864790.7596825948</v>
      </c>
      <c r="AF19" s="216"/>
      <c r="AG19" s="216">
        <v>223178.36661925918</v>
      </c>
      <c r="AH19" s="216"/>
      <c r="AI19" s="216"/>
      <c r="AJ19" s="216"/>
      <c r="AK19" s="216">
        <v>7335318.4761408363</v>
      </c>
    </row>
    <row r="20" spans="1:37" x14ac:dyDescent="0.55000000000000004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3943177.206576285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183432.40969824954</v>
      </c>
      <c r="AE20" s="216">
        <v>2925496.1196818841</v>
      </c>
      <c r="AF20" s="216"/>
      <c r="AG20" s="216">
        <v>215041.6251179617</v>
      </c>
      <c r="AH20" s="216"/>
      <c r="AI20" s="216"/>
      <c r="AJ20" s="216"/>
      <c r="AK20" s="216">
        <v>7639733.17618398</v>
      </c>
    </row>
    <row r="21" spans="1:37" x14ac:dyDescent="0.55000000000000004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55000000000000004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55000000000000004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55000000000000004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55000000000000004">
      <c r="A25" s="76" t="s">
        <v>114</v>
      </c>
      <c r="B25" s="216"/>
      <c r="C25" s="216"/>
      <c r="D25" s="216"/>
      <c r="E25" s="216">
        <v>1208999.7630967645</v>
      </c>
      <c r="F25" s="216"/>
      <c r="G25" s="216">
        <v>7636.0950271596812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14537118.095262064</v>
      </c>
      <c r="T25" s="216"/>
      <c r="U25" s="216"/>
      <c r="V25" s="216"/>
      <c r="W25" s="216"/>
      <c r="X25" s="216"/>
      <c r="Y25" s="216"/>
      <c r="Z25" s="216"/>
      <c r="AA25" s="216"/>
      <c r="AB25" s="216">
        <v>20390922.736756865</v>
      </c>
      <c r="AC25" s="216"/>
      <c r="AD25" s="216"/>
      <c r="AE25" s="216"/>
      <c r="AF25" s="216"/>
      <c r="AG25" s="216"/>
      <c r="AH25" s="216">
        <v>58452760.332225777</v>
      </c>
      <c r="AI25" s="216">
        <v>2635036.3492985531</v>
      </c>
      <c r="AJ25" s="216"/>
      <c r="AK25" s="216">
        <v>97232473.371667176</v>
      </c>
    </row>
    <row r="26" spans="1:37" x14ac:dyDescent="0.55000000000000004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55000000000000004">
      <c r="A27" s="77">
        <v>2030</v>
      </c>
      <c r="B27" s="216"/>
      <c r="C27" s="216"/>
      <c r="D27" s="216"/>
      <c r="E27" s="216">
        <v>276235.24667465733</v>
      </c>
      <c r="F27" s="216"/>
      <c r="G27" s="216">
        <v>2260.7320151745844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3476571.4710004977</v>
      </c>
      <c r="T27" s="216"/>
      <c r="U27" s="216"/>
      <c r="V27" s="216"/>
      <c r="W27" s="216"/>
      <c r="X27" s="216"/>
      <c r="Y27" s="216"/>
      <c r="Z27" s="216"/>
      <c r="AA27" s="216"/>
      <c r="AB27" s="216">
        <v>4161678.0412606872</v>
      </c>
      <c r="AC27" s="216"/>
      <c r="AD27" s="216"/>
      <c r="AE27" s="216"/>
      <c r="AF27" s="216"/>
      <c r="AG27" s="216"/>
      <c r="AH27" s="216">
        <v>23357523.299669795</v>
      </c>
      <c r="AI27" s="216">
        <v>925665.22791706468</v>
      </c>
      <c r="AJ27" s="216"/>
      <c r="AK27" s="216">
        <v>32199934.018537875</v>
      </c>
    </row>
    <row r="28" spans="1:37" x14ac:dyDescent="0.55000000000000004">
      <c r="A28" s="77">
        <v>2050</v>
      </c>
      <c r="B28" s="216"/>
      <c r="C28" s="216"/>
      <c r="D28" s="216"/>
      <c r="E28" s="216">
        <v>108999.52356496397</v>
      </c>
      <c r="F28" s="216"/>
      <c r="G28" s="216">
        <v>933.86301198509727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1364056.2909282311</v>
      </c>
      <c r="T28" s="216"/>
      <c r="U28" s="216"/>
      <c r="V28" s="216"/>
      <c r="W28" s="216"/>
      <c r="X28" s="216"/>
      <c r="Y28" s="216"/>
      <c r="Z28" s="216"/>
      <c r="AA28" s="216"/>
      <c r="AB28" s="216">
        <v>1487114.0288295147</v>
      </c>
      <c r="AC28" s="216"/>
      <c r="AD28" s="216"/>
      <c r="AE28" s="216"/>
      <c r="AF28" s="216"/>
      <c r="AG28" s="216"/>
      <c r="AH28" s="216">
        <v>26291745.297047496</v>
      </c>
      <c r="AI28" s="216">
        <v>764553.83032718813</v>
      </c>
      <c r="AJ28" s="216"/>
      <c r="AK28" s="216">
        <v>30017402.833709378</v>
      </c>
    </row>
    <row r="29" spans="1:37" x14ac:dyDescent="0.55000000000000004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2047762.7026900621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2047762.7026900621</v>
      </c>
    </row>
    <row r="30" spans="1:37" x14ac:dyDescent="0.55000000000000004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55000000000000004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697432.39568518498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697432.39568518498</v>
      </c>
    </row>
    <row r="32" spans="1:37" x14ac:dyDescent="0.55000000000000004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672005.07849363028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672005.07849363028</v>
      </c>
    </row>
    <row r="33" spans="1:37" x14ac:dyDescent="0.55000000000000004">
      <c r="A33" s="76" t="s">
        <v>61</v>
      </c>
      <c r="B33" s="216">
        <v>182574.19618217932</v>
      </c>
      <c r="C33" s="216">
        <v>460365.7548843582</v>
      </c>
      <c r="D33" s="216">
        <v>1462905.7868523435</v>
      </c>
      <c r="E33" s="216">
        <v>6746430.2214969648</v>
      </c>
      <c r="F33" s="216">
        <v>281468.55244752642</v>
      </c>
      <c r="G33" s="216">
        <v>27264.558180549313</v>
      </c>
      <c r="H33" s="216">
        <v>157152.21479103784</v>
      </c>
      <c r="I33" s="216">
        <v>1445379.0531089196</v>
      </c>
      <c r="J33" s="216">
        <v>428226</v>
      </c>
      <c r="K33" s="216">
        <v>39986232.403271481</v>
      </c>
      <c r="L33" s="216">
        <v>1513844.376677237</v>
      </c>
      <c r="M33" s="216">
        <v>11875898.550724771</v>
      </c>
      <c r="N33" s="216">
        <v>2948427</v>
      </c>
      <c r="O33" s="216">
        <v>15742917.328426423</v>
      </c>
      <c r="P33" s="216">
        <v>995654</v>
      </c>
      <c r="Q33" s="216">
        <v>692260.49385742994</v>
      </c>
      <c r="R33" s="216">
        <v>20831141.6449682</v>
      </c>
      <c r="S33" s="216">
        <v>41596848.793284312</v>
      </c>
      <c r="T33" s="216">
        <v>4941932.4897397971</v>
      </c>
      <c r="U33" s="216">
        <v>18774649.92003949</v>
      </c>
      <c r="V33" s="216">
        <v>2647325.8446415998</v>
      </c>
      <c r="W33" s="216">
        <v>267279.65146383434</v>
      </c>
      <c r="X33" s="216">
        <v>2047762.7026900621</v>
      </c>
      <c r="Y33" s="216">
        <v>2771242.2859726176</v>
      </c>
      <c r="Z33" s="216">
        <v>128513.61084429733</v>
      </c>
      <c r="AA33" s="216">
        <v>15017210.496861221</v>
      </c>
      <c r="AB33" s="216">
        <v>49174852.4533379</v>
      </c>
      <c r="AC33" s="216">
        <v>542658.68630536064</v>
      </c>
      <c r="AD33" s="216">
        <v>603171.33247569925</v>
      </c>
      <c r="AE33" s="216">
        <v>8800578.9441841338</v>
      </c>
      <c r="AF33" s="216">
        <v>698062.56799516035</v>
      </c>
      <c r="AG33" s="216">
        <v>655284.06486081984</v>
      </c>
      <c r="AH33" s="216">
        <v>58452760.332225777</v>
      </c>
      <c r="AI33" s="216">
        <v>2635036.3492985531</v>
      </c>
      <c r="AJ33" s="216">
        <v>2457092.6309540803</v>
      </c>
      <c r="AK33" s="216">
        <v>317990405.29304415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41796875" bestFit="1" customWidth="1"/>
    <col min="7" max="7" width="7.734375" bestFit="1" customWidth="1"/>
    <col min="8" max="8" width="13.15625" bestFit="1" customWidth="1"/>
    <col min="9" max="9" width="10.20703125" bestFit="1" customWidth="1"/>
    <col min="10" max="10" width="7.734375" bestFit="1" customWidth="1"/>
    <col min="11" max="11" width="13.15625" bestFit="1" customWidth="1"/>
    <col min="12" max="12" width="10.20703125" bestFit="1" customWidth="1"/>
    <col min="13" max="13" width="8.83984375" bestFit="1" customWidth="1"/>
    <col min="14" max="14" width="14.578125" bestFit="1" customWidth="1"/>
    <col min="15" max="15" width="9.26171875" bestFit="1" customWidth="1"/>
    <col min="16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9" x14ac:dyDescent="0.55000000000000004">
      <c r="A2" s="75" t="s">
        <v>278</v>
      </c>
      <c r="B2" s="76">
        <v>1</v>
      </c>
    </row>
    <row r="4" spans="1:9" x14ac:dyDescent="0.55000000000000004">
      <c r="A4" s="75" t="s">
        <v>305</v>
      </c>
      <c r="B4" s="75" t="s">
        <v>62</v>
      </c>
    </row>
    <row r="5" spans="1:9" x14ac:dyDescent="0.55000000000000004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158</v>
      </c>
      <c r="G5" t="s">
        <v>54</v>
      </c>
      <c r="H5" t="s">
        <v>159</v>
      </c>
      <c r="I5" t="s">
        <v>61</v>
      </c>
    </row>
    <row r="6" spans="1:9" x14ac:dyDescent="0.55000000000000004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142742</v>
      </c>
      <c r="G6" s="74">
        <v>420628.93071698514</v>
      </c>
      <c r="H6" s="74">
        <v>5421074.2654714445</v>
      </c>
      <c r="I6" s="74">
        <v>7785990.7977644643</v>
      </c>
    </row>
    <row r="7" spans="1:9" x14ac:dyDescent="0.55000000000000004">
      <c r="A7" s="76">
        <v>2030</v>
      </c>
      <c r="B7" s="74">
        <v>0</v>
      </c>
      <c r="C7" s="74">
        <v>214730.89604157759</v>
      </c>
      <c r="D7" s="74">
        <v>0</v>
      </c>
      <c r="E7" s="74">
        <v>925665.22791706468</v>
      </c>
      <c r="F7" s="74">
        <v>142742</v>
      </c>
      <c r="G7" s="74">
        <v>438365.53046636889</v>
      </c>
      <c r="H7" s="74">
        <v>5284803.7857603254</v>
      </c>
      <c r="I7" s="74">
        <v>7006307.4401853364</v>
      </c>
    </row>
    <row r="8" spans="1:9" x14ac:dyDescent="0.55000000000000004">
      <c r="A8" s="76">
        <v>2050</v>
      </c>
      <c r="B8" s="74">
        <v>0</v>
      </c>
      <c r="C8" s="74">
        <v>242414.90437786453</v>
      </c>
      <c r="D8" s="74">
        <v>0</v>
      </c>
      <c r="E8" s="74">
        <v>764553.83032718813</v>
      </c>
      <c r="F8" s="74">
        <v>142742</v>
      </c>
      <c r="G8" s="74">
        <v>460568.82999267662</v>
      </c>
      <c r="H8" s="74">
        <v>5037039.2771946527</v>
      </c>
      <c r="I8" s="74">
        <v>6647318.8418923821</v>
      </c>
    </row>
    <row r="9" spans="1:9" x14ac:dyDescent="0.55000000000000004">
      <c r="A9" s="76" t="s">
        <v>61</v>
      </c>
      <c r="B9" s="74">
        <v>370459.67448149773</v>
      </c>
      <c r="C9" s="74">
        <v>661082.40611857676</v>
      </c>
      <c r="D9" s="74">
        <v>282332.03034110228</v>
      </c>
      <c r="E9" s="74">
        <v>2635036.3492985531</v>
      </c>
      <c r="F9" s="74">
        <v>428226</v>
      </c>
      <c r="G9" s="74">
        <v>1319563.2911760306</v>
      </c>
      <c r="H9" s="74">
        <v>15742917.328426423</v>
      </c>
      <c r="I9" s="74">
        <v>21439617.07984218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A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bestFit="1" customWidth="1"/>
    <col min="2" max="2" width="14.83984375" bestFit="1" customWidth="1"/>
    <col min="3" max="3" width="8.1015625" bestFit="1" customWidth="1"/>
    <col min="4" max="4" width="9.83984375" bestFit="1" customWidth="1"/>
    <col min="5" max="5" width="10.3671875" bestFit="1" customWidth="1"/>
    <col min="6" max="6" width="10" bestFit="1" customWidth="1"/>
    <col min="7" max="7" width="8.7890625" bestFit="1" customWidth="1"/>
    <col min="8" max="8" width="9.734375" bestFit="1" customWidth="1"/>
    <col min="9" max="9" width="11.68359375" bestFit="1" customWidth="1"/>
    <col min="10" max="11" width="8.7890625" bestFit="1" customWidth="1"/>
    <col min="12" max="12" width="12.20703125" bestFit="1" customWidth="1"/>
    <col min="13" max="13" width="8.7890625" bestFit="1" customWidth="1"/>
    <col min="14" max="14" width="14.3125" bestFit="1" customWidth="1"/>
    <col min="15" max="15" width="8.89453125" bestFit="1" customWidth="1"/>
    <col min="16" max="16" width="7.7890625" bestFit="1" customWidth="1"/>
    <col min="17" max="17" width="9.734375" bestFit="1" customWidth="1"/>
    <col min="18" max="18" width="8.7890625" bestFit="1" customWidth="1"/>
    <col min="19" max="19" width="18.7890625" bestFit="1" customWidth="1"/>
    <col min="20" max="20" width="18.47265625" bestFit="1" customWidth="1"/>
    <col min="21" max="21" width="8.7890625" bestFit="1" customWidth="1"/>
    <col min="22" max="22" width="4.62890625" bestFit="1" customWidth="1"/>
    <col min="23" max="23" width="14.26171875" bestFit="1" customWidth="1"/>
    <col min="24" max="25" width="8.7890625" bestFit="1" customWidth="1"/>
    <col min="26" max="26" width="8.41796875" bestFit="1" customWidth="1"/>
    <col min="27" max="27" width="10.734375" bestFit="1" customWidth="1"/>
    <col min="28" max="28" width="10.20703125" bestFit="1" customWidth="1"/>
    <col min="29" max="31" width="11.26171875" bestFit="1" customWidth="1"/>
    <col min="32" max="32" width="10.15625" bestFit="1" customWidth="1"/>
    <col min="33" max="33" width="12.15625" bestFit="1" customWidth="1"/>
    <col min="34" max="34" width="8.839843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10.41796875" bestFit="1" customWidth="1"/>
    <col min="40" max="40" width="12.26171875" bestFit="1" customWidth="1"/>
    <col min="41" max="41" width="14.578125" bestFit="1" customWidth="1"/>
    <col min="42" max="43" width="9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2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7" x14ac:dyDescent="0.55000000000000004">
      <c r="A2" s="75" t="s">
        <v>300</v>
      </c>
      <c r="B2" s="76">
        <v>1</v>
      </c>
    </row>
    <row r="4" spans="1:27" x14ac:dyDescent="0.55000000000000004">
      <c r="A4" s="75" t="s">
        <v>252</v>
      </c>
      <c r="B4" s="75" t="s">
        <v>62</v>
      </c>
    </row>
    <row r="5" spans="1:27" x14ac:dyDescent="0.55000000000000004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56</v>
      </c>
      <c r="Y5" t="s">
        <v>55</v>
      </c>
      <c r="Z5" t="s">
        <v>238</v>
      </c>
      <c r="AA5" t="s">
        <v>61</v>
      </c>
    </row>
    <row r="6" spans="1:27" x14ac:dyDescent="0.55000000000000004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>
        <v>912099.45136908058</v>
      </c>
      <c r="Y6" s="94">
        <v>2006067.2488276002</v>
      </c>
      <c r="Z6" s="94">
        <v>98784.738662362797</v>
      </c>
      <c r="AA6" s="94">
        <v>34594970.783268616</v>
      </c>
    </row>
    <row r="7" spans="1:27" x14ac:dyDescent="0.55000000000000004">
      <c r="A7" s="76">
        <v>2030</v>
      </c>
      <c r="B7" s="94">
        <v>170946.30461315686</v>
      </c>
      <c r="C7" s="94">
        <v>140682.1084576633</v>
      </c>
      <c r="D7" s="94">
        <v>5592870.5868648645</v>
      </c>
      <c r="E7" s="94">
        <v>453442.76340934308</v>
      </c>
      <c r="F7" s="94">
        <v>144189.02716916322</v>
      </c>
      <c r="G7" s="94">
        <v>1536609.9114825001</v>
      </c>
      <c r="H7" s="94">
        <v>4574065.475491859</v>
      </c>
      <c r="I7" s="94">
        <v>718058.01774869044</v>
      </c>
      <c r="J7" s="94">
        <v>2074886.4977874923</v>
      </c>
      <c r="K7" s="94">
        <v>2389282.9756574854</v>
      </c>
      <c r="L7" s="94">
        <v>77227.032746996076</v>
      </c>
      <c r="M7" s="94">
        <v>2001163.0190917293</v>
      </c>
      <c r="N7" s="94">
        <v>2468531.1111667752</v>
      </c>
      <c r="O7" s="94">
        <v>880.09999999999991</v>
      </c>
      <c r="P7" s="94">
        <v>24110.764087167023</v>
      </c>
      <c r="Q7" s="94">
        <v>5216592.6341052745</v>
      </c>
      <c r="R7" s="94">
        <v>1794004.4501021868</v>
      </c>
      <c r="S7" s="94">
        <v>208732.58409629596</v>
      </c>
      <c r="T7" s="94">
        <v>99849.781295313049</v>
      </c>
      <c r="U7" s="94">
        <v>1339779.2458014791</v>
      </c>
      <c r="V7" s="94">
        <v>382.5</v>
      </c>
      <c r="W7" s="94">
        <v>1829491.2720672335</v>
      </c>
      <c r="X7" s="94">
        <v>933739.34333929513</v>
      </c>
      <c r="Y7" s="94">
        <v>2055003.2426024945</v>
      </c>
      <c r="Z7" s="94">
        <v>114380.74240720889</v>
      </c>
      <c r="AA7" s="94">
        <v>35958901.491591677</v>
      </c>
    </row>
    <row r="8" spans="1:27" x14ac:dyDescent="0.55000000000000004">
      <c r="A8" s="76">
        <v>2050</v>
      </c>
      <c r="B8" s="94">
        <v>162317.36767727343</v>
      </c>
      <c r="C8" s="94">
        <v>41874.515539294342</v>
      </c>
      <c r="D8" s="94">
        <v>7026345.0921613742</v>
      </c>
      <c r="E8" s="94">
        <v>178923.74622928078</v>
      </c>
      <c r="F8" s="94">
        <v>147035.58505348547</v>
      </c>
      <c r="G8" s="94">
        <v>1433074.1712037951</v>
      </c>
      <c r="H8" s="94">
        <v>2982756.1787720933</v>
      </c>
      <c r="I8" s="94">
        <v>700822.02997791977</v>
      </c>
      <c r="J8" s="94">
        <v>1912897.876041021</v>
      </c>
      <c r="K8" s="94">
        <v>2313891.3389375592</v>
      </c>
      <c r="L8" s="94">
        <v>122753.48159481354</v>
      </c>
      <c r="M8" s="94">
        <v>1964071.9525106091</v>
      </c>
      <c r="N8" s="94">
        <v>2368708.1871831375</v>
      </c>
      <c r="O8" s="94">
        <v>880.09999999999991</v>
      </c>
      <c r="P8" s="94">
        <v>40024.910447075745</v>
      </c>
      <c r="Q8" s="94">
        <v>5119693.0284815514</v>
      </c>
      <c r="R8" s="94">
        <v>1830597.0172306281</v>
      </c>
      <c r="S8" s="94">
        <v>193960.34098460112</v>
      </c>
      <c r="T8" s="94">
        <v>89083.545536354475</v>
      </c>
      <c r="U8" s="94">
        <v>1238640.5497274031</v>
      </c>
      <c r="V8" s="94">
        <v>382.5</v>
      </c>
      <c r="W8" s="94">
        <v>762211.40896216873</v>
      </c>
      <c r="X8" s="94">
        <v>886511.28127233672</v>
      </c>
      <c r="Y8" s="94">
        <v>1955120.5101390816</v>
      </c>
      <c r="Z8" s="94">
        <v>112653.30228029896</v>
      </c>
      <c r="AA8" s="94">
        <v>33585230.017943159</v>
      </c>
    </row>
    <row r="9" spans="1:27" x14ac:dyDescent="0.55000000000000004">
      <c r="A9" s="76" t="s">
        <v>61</v>
      </c>
      <c r="B9" s="94">
        <v>509860.57169242611</v>
      </c>
      <c r="C9" s="94">
        <v>395511.38853114424</v>
      </c>
      <c r="D9" s="94">
        <v>15849744.751267752</v>
      </c>
      <c r="E9" s="94">
        <v>1984584.5167814812</v>
      </c>
      <c r="F9" s="94">
        <v>429499.89225154783</v>
      </c>
      <c r="G9" s="94">
        <v>4477966.7519370578</v>
      </c>
      <c r="H9" s="94">
        <v>11644393.207827253</v>
      </c>
      <c r="I9" s="94">
        <v>1418880.0477266102</v>
      </c>
      <c r="J9" s="94">
        <v>6029515.4414380258</v>
      </c>
      <c r="K9" s="94">
        <v>6680142.5236204183</v>
      </c>
      <c r="L9" s="94">
        <v>251872.64696190594</v>
      </c>
      <c r="M9" s="94">
        <v>5239723.0536418883</v>
      </c>
      <c r="N9" s="94">
        <v>7374022.539678853</v>
      </c>
      <c r="O9" s="94">
        <v>2640.2999999999997</v>
      </c>
      <c r="P9" s="94">
        <v>72199.880874339331</v>
      </c>
      <c r="Q9" s="94">
        <v>15605285.662586827</v>
      </c>
      <c r="R9" s="94">
        <v>5262377.0147502627</v>
      </c>
      <c r="S9" s="94">
        <v>619703.29251642036</v>
      </c>
      <c r="T9" s="94">
        <v>294879.63840362278</v>
      </c>
      <c r="U9" s="94">
        <v>3961071.2267077886</v>
      </c>
      <c r="V9" s="94">
        <v>841.5</v>
      </c>
      <c r="W9" s="94">
        <v>6960026.5827080617</v>
      </c>
      <c r="X9" s="94">
        <v>2732350.0759807127</v>
      </c>
      <c r="Y9" s="94">
        <v>6016191.0015691761</v>
      </c>
      <c r="Z9" s="94">
        <v>325818.78334987065</v>
      </c>
      <c r="AA9" s="94">
        <v>104139102.29280345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5" t="s">
        <v>62</v>
      </c>
    </row>
    <row r="4" spans="1:11" x14ac:dyDescent="0.55000000000000004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55000000000000004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55000000000000004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55000000000000004">
      <c r="A7" s="77">
        <v>2030</v>
      </c>
      <c r="B7" s="214">
        <v>14.678649289287103</v>
      </c>
      <c r="C7" s="214">
        <v>0</v>
      </c>
      <c r="D7" s="214">
        <v>20.46888379301523</v>
      </c>
      <c r="E7" s="214">
        <v>43.745095635723615</v>
      </c>
      <c r="F7" s="214">
        <v>1.1331835E-3</v>
      </c>
      <c r="G7" s="214">
        <v>0.9767157123837249</v>
      </c>
      <c r="H7" s="214">
        <v>0</v>
      </c>
      <c r="I7" s="214">
        <v>7.8112428316740701</v>
      </c>
      <c r="J7" s="214">
        <v>45.382683089213458</v>
      </c>
      <c r="K7" s="214">
        <v>133.06440353479718</v>
      </c>
    </row>
    <row r="8" spans="1:11" x14ac:dyDescent="0.55000000000000004">
      <c r="A8" s="77">
        <v>2050</v>
      </c>
      <c r="B8" s="214">
        <v>10.068588212156007</v>
      </c>
      <c r="C8" s="214">
        <v>0</v>
      </c>
      <c r="D8" s="214">
        <v>17.507230362576006</v>
      </c>
      <c r="E8" s="214">
        <v>48.680669859134994</v>
      </c>
      <c r="F8" s="214">
        <v>1.1331835E-3</v>
      </c>
      <c r="G8" s="214">
        <v>0.38540174937787086</v>
      </c>
      <c r="H8" s="214">
        <v>0</v>
      </c>
      <c r="I8" s="214">
        <v>7.5264568791286592</v>
      </c>
      <c r="J8" s="214">
        <v>45.77603591800802</v>
      </c>
      <c r="K8" s="214">
        <v>129.94551616388156</v>
      </c>
    </row>
    <row r="9" spans="1:11" x14ac:dyDescent="0.55000000000000004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55000000000000004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55000000000000004">
      <c r="A11" s="77">
        <v>2030</v>
      </c>
      <c r="B11" s="214">
        <v>4.0123558190228108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15.376338739383602</v>
      </c>
      <c r="H11" s="214">
        <v>0</v>
      </c>
      <c r="I11" s="214">
        <v>0</v>
      </c>
      <c r="J11" s="214">
        <v>0</v>
      </c>
      <c r="K11" s="214">
        <v>21.558176545414412</v>
      </c>
    </row>
    <row r="12" spans="1:11" x14ac:dyDescent="0.55000000000000004">
      <c r="A12" s="77">
        <v>2050</v>
      </c>
      <c r="B12" s="214">
        <v>5.0872686366759083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17.565716583876835</v>
      </c>
      <c r="H12" s="214">
        <v>0</v>
      </c>
      <c r="I12" s="214">
        <v>0</v>
      </c>
      <c r="J12" s="214">
        <v>0</v>
      </c>
      <c r="K12" s="214">
        <v>24.822467207560742</v>
      </c>
    </row>
    <row r="13" spans="1:11" x14ac:dyDescent="0.55000000000000004">
      <c r="A13" s="76" t="s">
        <v>286</v>
      </c>
      <c r="B13" s="214">
        <v>42.29116802594541</v>
      </c>
      <c r="C13" s="214">
        <v>0</v>
      </c>
      <c r="D13" s="214">
        <v>37.976114155591233</v>
      </c>
      <c r="E13" s="214">
        <v>112.01722976297384</v>
      </c>
      <c r="F13" s="214">
        <v>2.266367E-3</v>
      </c>
      <c r="G13" s="214">
        <v>1.3621174617615956</v>
      </c>
      <c r="H13" s="214">
        <v>0</v>
      </c>
      <c r="I13" s="214">
        <v>19.288265841652233</v>
      </c>
      <c r="J13" s="214">
        <v>138.65014981179814</v>
      </c>
      <c r="K13" s="214">
        <v>351.58731142672241</v>
      </c>
    </row>
    <row r="14" spans="1:11" x14ac:dyDescent="0.55000000000000004">
      <c r="A14" s="76" t="s">
        <v>244</v>
      </c>
      <c r="B14" s="214">
        <v>16.582779159905719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38.034338281265441</v>
      </c>
      <c r="H14" s="214">
        <v>0</v>
      </c>
      <c r="I14" s="214">
        <v>0</v>
      </c>
      <c r="J14" s="214">
        <v>0</v>
      </c>
      <c r="K14" s="214">
        <v>62.996502422690156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5" t="s">
        <v>239</v>
      </c>
      <c r="B1" s="75" t="s">
        <v>62</v>
      </c>
    </row>
    <row r="2" spans="1:9" x14ac:dyDescent="0.55000000000000004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55000000000000004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55000000000000004">
      <c r="A4" s="76">
        <v>2030</v>
      </c>
      <c r="B4" s="215">
        <v>1137423.5648385542</v>
      </c>
      <c r="C4" s="215">
        <v>128467.8</v>
      </c>
      <c r="D4" s="215">
        <v>2239888.1288856766</v>
      </c>
      <c r="E4" s="215">
        <v>3665250.2773501943</v>
      </c>
      <c r="F4" s="215">
        <v>189.39</v>
      </c>
      <c r="G4" s="215">
        <v>2210080.3180264877</v>
      </c>
      <c r="H4" s="215">
        <v>1503974.5536280596</v>
      </c>
      <c r="I4" s="215">
        <v>10885274.032728972</v>
      </c>
    </row>
    <row r="5" spans="1:9" x14ac:dyDescent="0.55000000000000004">
      <c r="A5" s="76">
        <v>2050</v>
      </c>
      <c r="B5" s="215">
        <v>1150052.3061987155</v>
      </c>
      <c r="C5" s="215">
        <v>128467.8</v>
      </c>
      <c r="D5" s="215">
        <v>1790512.7192554944</v>
      </c>
      <c r="E5" s="215">
        <v>4069006.9406604851</v>
      </c>
      <c r="F5" s="215">
        <v>189.39</v>
      </c>
      <c r="G5" s="215">
        <v>2433815.2686092323</v>
      </c>
      <c r="H5" s="215">
        <v>1523026.0725507722</v>
      </c>
      <c r="I5" s="215">
        <v>11095070.497274699</v>
      </c>
    </row>
    <row r="6" spans="1:9" x14ac:dyDescent="0.55000000000000004">
      <c r="A6" s="76" t="s">
        <v>61</v>
      </c>
      <c r="B6" s="215">
        <v>3364780.8110372694</v>
      </c>
      <c r="C6" s="215">
        <v>385403.4</v>
      </c>
      <c r="D6" s="215">
        <v>4159127.2081411709</v>
      </c>
      <c r="E6" s="215">
        <v>9411145.1193942837</v>
      </c>
      <c r="F6" s="215">
        <v>378.78</v>
      </c>
      <c r="G6" s="215">
        <v>5347911.7024690537</v>
      </c>
      <c r="H6" s="215">
        <v>4602935.7724551503</v>
      </c>
      <c r="I6" s="215">
        <v>27271682.793496929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4.2617187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5" t="s">
        <v>198</v>
      </c>
      <c r="B1" s="75" t="s">
        <v>62</v>
      </c>
    </row>
    <row r="2" spans="1:10" x14ac:dyDescent="0.55000000000000004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55000000000000004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55000000000000004">
      <c r="A4" s="76">
        <v>2030</v>
      </c>
      <c r="B4" s="94">
        <v>11635959.929105373</v>
      </c>
      <c r="C4" s="94">
        <v>-158.43719999999996</v>
      </c>
      <c r="D4" s="94">
        <v>5458126.7080017729</v>
      </c>
      <c r="E4" s="94">
        <v>8758493.8205350302</v>
      </c>
      <c r="F4" s="94">
        <v>-1506235.598111971</v>
      </c>
      <c r="G4" s="94">
        <v>-465812.99708206637</v>
      </c>
      <c r="H4" s="94">
        <v>0</v>
      </c>
      <c r="I4" s="94">
        <v>-608453.5670373945</v>
      </c>
      <c r="J4" s="94">
        <v>23271919.858210742</v>
      </c>
    </row>
    <row r="5" spans="1:10" x14ac:dyDescent="0.55000000000000004">
      <c r="A5" s="76">
        <v>2050</v>
      </c>
      <c r="B5" s="94">
        <v>5982305.027657412</v>
      </c>
      <c r="C5" s="94">
        <v>-158.43719999999996</v>
      </c>
      <c r="D5" s="94">
        <v>5346052.9408816844</v>
      </c>
      <c r="E5" s="94">
        <v>5988081.1767114392</v>
      </c>
      <c r="F5" s="94">
        <v>-3453383.6897283746</v>
      </c>
      <c r="G5" s="94">
        <v>-531599.37200353772</v>
      </c>
      <c r="H5" s="94">
        <v>0</v>
      </c>
      <c r="I5" s="94">
        <v>-1366687.5910038012</v>
      </c>
      <c r="J5" s="94">
        <v>11964610.055314822</v>
      </c>
    </row>
    <row r="6" spans="1:10" x14ac:dyDescent="0.55000000000000004">
      <c r="A6" s="76" t="s">
        <v>61</v>
      </c>
      <c r="B6" s="94">
        <v>31528644.975529604</v>
      </c>
      <c r="C6" s="94">
        <v>-475.31159999999988</v>
      </c>
      <c r="D6" s="94">
        <v>16323441.549620174</v>
      </c>
      <c r="E6" s="94">
        <v>24471919.023695737</v>
      </c>
      <c r="F6" s="94">
        <v>-5522029.2878403459</v>
      </c>
      <c r="G6" s="94">
        <v>-1162619.579980664</v>
      </c>
      <c r="H6" s="94">
        <v>0</v>
      </c>
      <c r="I6" s="94">
        <v>-2581591.4183652941</v>
      </c>
      <c r="J6" s="94">
        <v>63057289.951059207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55000000000000004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55000000000000004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55000000000000004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55000000000000004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55000000000000004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9973918.4318741746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55000000000000004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5015258.8213962922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55000000000000004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4043577.2436277913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55000000000000004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1202420.0951645882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55000000000000004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1839084.3419425203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55000000000000004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55000000000000004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-1228033.747647149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55000000000000004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-472893.63203247666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55000000000000004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-425336.4474026151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55000000000000004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5105512.731170225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4915706.8925452614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3681930.3741319757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998027.58022386348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-2887651.1003491962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55000000000000004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-1116274.2073436431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55000000000000004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-486068.56486325985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55000000000000004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55000000000000004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55000000000000004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55000000000000004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55000000000000004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55000000000000004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55000000000000004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55000000000000004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55000000000000004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55000000000000004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55000000000000004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55000000000000004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1662041.497231198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55000000000000004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442867.88660548098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55000000000000004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1211586.3086878173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55000000000000004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182621.40301891766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55000000000000004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55000000000000004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55000000000000004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-278201.85046482197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55000000000000004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-135559.93500491785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55000000000000004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-40476.549679451244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55000000000000004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55000000000000004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876792.29648718657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55000000000000004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430346.04833642254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55000000000000004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1156544.5871639531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55000000000000004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151578.63519164603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55000000000000004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55000000000000004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55000000000000004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-565732.58937917813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55000000000000004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-250413.3836601582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55000000000000004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-45530.807140277917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55000000000000004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5" t="s">
        <v>64</v>
      </c>
      <c r="B1" t="s">
        <v>80</v>
      </c>
    </row>
    <row r="3" spans="1:15" x14ac:dyDescent="0.55000000000000004">
      <c r="A3" s="75" t="s">
        <v>126</v>
      </c>
      <c r="B3" s="75" t="s">
        <v>62</v>
      </c>
    </row>
    <row r="4" spans="1:15" x14ac:dyDescent="0.55000000000000004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55000000000000004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55000000000000004">
      <c r="A6" s="76">
        <v>2030</v>
      </c>
      <c r="B6" s="94">
        <v>292329.05624825694</v>
      </c>
      <c r="C6" s="94">
        <v>1536609.9114825001</v>
      </c>
      <c r="D6" s="94">
        <v>42881.706564856053</v>
      </c>
      <c r="E6" s="94">
        <v>17968444.792239871</v>
      </c>
      <c r="F6" s="94">
        <v>289312.26274375798</v>
      </c>
      <c r="G6" s="94">
        <v>933739.34333929513</v>
      </c>
      <c r="H6" s="94">
        <v>2305378.5955234999</v>
      </c>
      <c r="I6" s="94">
        <v>9376361.2933862042</v>
      </c>
      <c r="J6" s="94">
        <v>8192913.6512023881</v>
      </c>
      <c r="K6" s="94">
        <v>2055003.2426024945</v>
      </c>
      <c r="L6" s="94">
        <v>209871.78410050535</v>
      </c>
      <c r="M6" s="94">
        <v>697432.39568518498</v>
      </c>
      <c r="N6" s="94">
        <v>2714678.0595324179</v>
      </c>
      <c r="O6" s="94">
        <v>46614956.09465123</v>
      </c>
    </row>
    <row r="7" spans="1:15" x14ac:dyDescent="0.55000000000000004">
      <c r="A7" s="76">
        <v>2050</v>
      </c>
      <c r="B7" s="94">
        <v>278178.23040412681</v>
      </c>
      <c r="C7" s="94">
        <v>1433074.1712037951</v>
      </c>
      <c r="D7" s="94">
        <v>41205.106350818656</v>
      </c>
      <c r="E7" s="94">
        <v>15749174.280025551</v>
      </c>
      <c r="F7" s="94">
        <v>283127.27105558576</v>
      </c>
      <c r="G7" s="94">
        <v>886511.28127233672</v>
      </c>
      <c r="H7" s="94">
        <v>2153221.1823950112</v>
      </c>
      <c r="I7" s="94">
        <v>9022837.0260440428</v>
      </c>
      <c r="J7" s="94">
        <v>7865538.192860188</v>
      </c>
      <c r="K7" s="94">
        <v>1955120.5101390816</v>
      </c>
      <c r="L7" s="94">
        <v>183432.40969824954</v>
      </c>
      <c r="M7" s="94">
        <v>672005.07849363028</v>
      </c>
      <c r="N7" s="94">
        <v>2708107.1992873591</v>
      </c>
      <c r="O7" s="94">
        <v>43231531.939229786</v>
      </c>
    </row>
    <row r="8" spans="1:15" x14ac:dyDescent="0.55000000000000004">
      <c r="A8" s="76" t="s">
        <v>61</v>
      </c>
      <c r="B8" s="94">
        <v>855877.14341550239</v>
      </c>
      <c r="C8" s="94">
        <v>4477966.7519370578</v>
      </c>
      <c r="D8" s="94">
        <v>125815.761932889</v>
      </c>
      <c r="E8" s="94">
        <v>51630625.611098729</v>
      </c>
      <c r="F8" s="94">
        <v>852761.9705586601</v>
      </c>
      <c r="G8" s="94">
        <v>2732350.0759807127</v>
      </c>
      <c r="H8" s="94">
        <v>6721775.9352954561</v>
      </c>
      <c r="I8" s="94">
        <v>27511284.168588616</v>
      </c>
      <c r="J8" s="94">
        <v>24014372.973681375</v>
      </c>
      <c r="K8" s="94">
        <v>6016191.0015691761</v>
      </c>
      <c r="L8" s="94">
        <v>603171.33247569925</v>
      </c>
      <c r="M8" s="94">
        <v>2047762.7026900621</v>
      </c>
      <c r="N8" s="94">
        <v>8033619.3007228803</v>
      </c>
      <c r="O8" s="94">
        <v>135623574.72994682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7012260.3004318569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264281.48271181755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497134.76694638823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15769668.337175274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189947.9283403279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2184559.2882253225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387359.23061650008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7810797.3149183672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26490.425666789368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1644241.434656535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896684.85799615958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782472.88933192089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170203.15251490066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6657445.6000957079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250215.04217969507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471962.43365815014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13682245.34995167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182765.86123576926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2034058.7589381256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370630.07456563454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7480186.4136029035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24926.840286441191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1547190.8284741363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813451.18685438076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736287.78133601486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146472.78733520172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2364100.9929543477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28047.573536439377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200297.62873879672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2198776.4550645952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99364.334403430083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120819.30729817749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2327318.8289159178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382116.33628402097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16391.280898066685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410761.8079459595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639925.05348634056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151266.45400737421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39668.631585604686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2365391.4259483349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27963.188224431749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200042.64483548011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2066928.9300738815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100361.40981981652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119162.42345688539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2337477.1247217245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385351.77925728471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16278.266064377463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407929.68166494544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619622.98434941436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150223.49993632184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36959.622363047813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119</v>
      </c>
      <c r="C5" t="s">
        <v>118</v>
      </c>
      <c r="D5" t="s">
        <v>61</v>
      </c>
    </row>
    <row r="6" spans="1:4" x14ac:dyDescent="0.55000000000000004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55000000000000004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55000000000000004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55000000000000004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4.94531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106</v>
      </c>
      <c r="C5" t="s">
        <v>99</v>
      </c>
      <c r="D5" t="s">
        <v>61</v>
      </c>
    </row>
    <row r="6" spans="1:4" x14ac:dyDescent="0.55000000000000004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55000000000000004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55000000000000004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55000000000000004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5" t="s">
        <v>64</v>
      </c>
      <c r="B1" t="s">
        <v>80</v>
      </c>
    </row>
    <row r="3" spans="1:7" x14ac:dyDescent="0.55000000000000004">
      <c r="A3" s="75" t="s">
        <v>79</v>
      </c>
      <c r="B3" s="75" t="s">
        <v>62</v>
      </c>
    </row>
    <row r="4" spans="1:7" x14ac:dyDescent="0.55000000000000004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55000000000000004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55000000000000004">
      <c r="A6" s="76">
        <v>2030</v>
      </c>
      <c r="B6" s="215">
        <v>66640</v>
      </c>
      <c r="C6" s="215">
        <v>592120</v>
      </c>
      <c r="D6" s="215">
        <v>2487929.2592592589</v>
      </c>
      <c r="E6" s="215">
        <v>531515.92592592596</v>
      </c>
      <c r="F6" s="215">
        <v>627224.81481481483</v>
      </c>
      <c r="G6" s="215">
        <v>4305430</v>
      </c>
    </row>
    <row r="7" spans="1:7" x14ac:dyDescent="0.55000000000000004">
      <c r="A7" s="76">
        <v>2050</v>
      </c>
      <c r="B7" s="215">
        <v>66640</v>
      </c>
      <c r="C7" s="215">
        <v>592120</v>
      </c>
      <c r="D7" s="215">
        <v>2228670</v>
      </c>
      <c r="E7" s="215">
        <v>605590</v>
      </c>
      <c r="F7" s="215">
        <v>812410</v>
      </c>
      <c r="G7" s="215">
        <v>4305430</v>
      </c>
    </row>
    <row r="8" spans="1:7" x14ac:dyDescent="0.55000000000000004">
      <c r="A8" s="76" t="s">
        <v>61</v>
      </c>
      <c r="B8" s="215">
        <v>199920</v>
      </c>
      <c r="C8" s="215">
        <v>1776360</v>
      </c>
      <c r="D8" s="215">
        <v>7295269.2592592584</v>
      </c>
      <c r="E8" s="215">
        <v>1642695.9259259261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1" width="8.47265625" bestFit="1" customWidth="1"/>
    <col min="12" max="12" width="7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5" t="s">
        <v>63</v>
      </c>
      <c r="B1" t="s">
        <v>80</v>
      </c>
    </row>
    <row r="2" spans="1:16" x14ac:dyDescent="0.55000000000000004">
      <c r="A2" s="75" t="s">
        <v>64</v>
      </c>
      <c r="B2" t="s">
        <v>80</v>
      </c>
    </row>
    <row r="4" spans="1:16" x14ac:dyDescent="0.55000000000000004">
      <c r="A4" s="75" t="s">
        <v>87</v>
      </c>
      <c r="B4" s="75" t="s">
        <v>62</v>
      </c>
    </row>
    <row r="5" spans="1:16" x14ac:dyDescent="0.55000000000000004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55000000000000004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55000000000000004">
      <c r="A7" s="76">
        <v>2030</v>
      </c>
      <c r="B7" s="215">
        <v>74465.960662957616</v>
      </c>
      <c r="C7" s="215">
        <v>4965.7278060180488</v>
      </c>
      <c r="D7" s="215">
        <v>274118.94849419035</v>
      </c>
      <c r="E7" s="215">
        <v>12403.430241602413</v>
      </c>
      <c r="F7" s="215">
        <v>18343.468531193015</v>
      </c>
      <c r="G7" s="215">
        <v>53126.188735828859</v>
      </c>
      <c r="H7" s="215">
        <v>1297917.718029706</v>
      </c>
      <c r="I7" s="215">
        <v>174456.26406747426</v>
      </c>
      <c r="J7" s="215">
        <v>67756.15488584133</v>
      </c>
      <c r="K7" s="215">
        <v>156813.07759481133</v>
      </c>
      <c r="L7" s="215">
        <v>33091.703230921303</v>
      </c>
      <c r="M7" s="215">
        <v>207998.55904521749</v>
      </c>
      <c r="N7" s="215">
        <v>8158.5416009002738</v>
      </c>
      <c r="O7" s="215">
        <v>104313.51633259642</v>
      </c>
      <c r="P7" s="215">
        <v>2487929.2592592584</v>
      </c>
    </row>
    <row r="8" spans="1:16" x14ac:dyDescent="0.55000000000000004">
      <c r="A8" s="76">
        <v>2050</v>
      </c>
      <c r="B8" s="215">
        <v>67401.823042054006</v>
      </c>
      <c r="C8" s="215">
        <v>4544.0123810345967</v>
      </c>
      <c r="D8" s="215">
        <v>232820.24745657752</v>
      </c>
      <c r="E8" s="215">
        <v>11446.944760904047</v>
      </c>
      <c r="F8" s="215">
        <v>16591.471711632348</v>
      </c>
      <c r="G8" s="215">
        <v>47414.837867163187</v>
      </c>
      <c r="H8" s="215">
        <v>1183051.5320061678</v>
      </c>
      <c r="I8" s="215">
        <v>157504.132423776</v>
      </c>
      <c r="J8" s="215">
        <v>61408.179534528455</v>
      </c>
      <c r="K8" s="215">
        <v>143705.68991029685</v>
      </c>
      <c r="L8" s="215">
        <v>31310.50853367247</v>
      </c>
      <c r="M8" s="215">
        <v>171131.79922201723</v>
      </c>
      <c r="N8" s="215">
        <v>6935.410038090351</v>
      </c>
      <c r="O8" s="215">
        <v>93403.411112084825</v>
      </c>
      <c r="P8" s="215">
        <v>2228669.9999999995</v>
      </c>
    </row>
    <row r="9" spans="1:16" x14ac:dyDescent="0.55000000000000004">
      <c r="A9" s="76" t="s">
        <v>61</v>
      </c>
      <c r="B9" s="215">
        <v>218804.27470892528</v>
      </c>
      <c r="C9" s="215">
        <v>14622.319818895321</v>
      </c>
      <c r="D9" s="215">
        <v>795450.17043702863</v>
      </c>
      <c r="E9" s="215">
        <v>36588.236409871199</v>
      </c>
      <c r="F9" s="215">
        <v>53890.434651359479</v>
      </c>
      <c r="G9" s="215">
        <v>155664.49413990299</v>
      </c>
      <c r="H9" s="215">
        <v>3818989.3037374332</v>
      </c>
      <c r="I9" s="215">
        <v>512347.72214248881</v>
      </c>
      <c r="J9" s="215">
        <v>199136.93550545818</v>
      </c>
      <c r="K9" s="215">
        <v>461910.28526591288</v>
      </c>
      <c r="L9" s="215">
        <v>98115.217029170701</v>
      </c>
      <c r="M9" s="215">
        <v>600272.83156984206</v>
      </c>
      <c r="N9" s="215">
        <v>23677.105184325515</v>
      </c>
      <c r="O9" s="215">
        <v>305799.92865864362</v>
      </c>
      <c r="P9" s="215">
        <v>7295269.2592592575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1797607.2776597517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491333.38307711121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537513.90752543334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135891.43173770356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9723529.5356878359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8686398.2742639016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637730.00302184175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809789.15928333369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5676622.0065761693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2672553.6406960608</v>
      </c>
      <c r="J16" s="74">
        <f t="shared" si="2"/>
        <v>2672553.6406960608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55949.560086021185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215965.30193204177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92481.042050347532</v>
      </c>
      <c r="J17" s="74">
        <f t="shared" si="2"/>
        <v>92481.042050347532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981800.42573609971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94087.082412375472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413983.16261445213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318932.62847817392</v>
      </c>
      <c r="J18" s="74">
        <f t="shared" si="2"/>
        <v>318932.62847817392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179394.47433816589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8901553.8166597914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8901553.8166597914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6942.1581713830101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144049.78205619747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144049.78205619747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41355.317643651651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1756397.5382306445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1756397.5382306445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4037.1409759488074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328032.76825470605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328032.76825470605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138250.29972976272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6153520.840971739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6153520.840971739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2540.3874452133937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21567.889409861717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21567.889409861717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44929.041857570082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1338703.1930650962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1338703.1930650962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47261.400630257056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675311.57290438947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161823.03575800019</v>
      </c>
      <c r="J26" s="74">
        <f t="shared" si="2"/>
        <v>161823.03575800019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12741.4251138164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637071.25569082005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637071.25569082005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4686.7049638673298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114309.87716749586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114309.87716749586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112966.14252431852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1557803.1054103526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1557803.1054103526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703268.18873094791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4929910.0030039446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2806351.2692099959</v>
      </c>
      <c r="J30" s="74">
        <f t="shared" si="2"/>
        <v>2806351.2692099959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48589.864819642906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187556.87820382163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97110.97498056601</v>
      </c>
      <c r="J31" s="74">
        <f t="shared" si="2"/>
        <v>97110.97498056601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81710.716021056694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359527.15049264947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334899.54068390297</v>
      </c>
      <c r="J32" s="74">
        <f t="shared" si="2"/>
        <v>334899.54068390297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155796.63618588899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7730629.0875438116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7730629.0875438116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6028.9755019603408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125101.24166567708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125101.24166567708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35915.372538925141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1525358.1765605931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1525358.1765605931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3506.0889482883485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284882.80946987716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284882.80946987716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120064.63258721215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5344076.7964568138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5344076.7964568138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2206.2207882002126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18730.814491819805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18730.814491819805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39019.003312607769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1162608.0184481952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1162608.0184481952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41044.559854992149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586480.00070268649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169924.47779966751</v>
      </c>
      <c r="J40" s="74">
        <f t="shared" si="2"/>
        <v>169924.47779966751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11065.397528382413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553269.8764191207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553269.8764191207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4070.2082428126114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99273.37177591736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99273.37177591736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98106.394152410197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1352887.1753617367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1352887.1753617367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126383.27919450874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593584.34739284916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279459.51075255353</v>
      </c>
      <c r="J58" s="74">
        <f t="shared" si="2"/>
        <v>279459.51075255353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8732.0122677605341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19212.173391526729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8227.0707349991262</v>
      </c>
      <c r="J59" s="74">
        <f t="shared" si="2"/>
        <v>8227.0707349991262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14684.111127942995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35535.548929622055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27376.586895380835</v>
      </c>
      <c r="J60" s="74">
        <f t="shared" si="2"/>
        <v>27376.586895380835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27997.981544106817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1083622.6784904927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1083622.6784904927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1083.4582117187358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12814.601999103348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12814.601999103348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6454.2981293560397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156248.31279404403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156248.31279404403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630.07402514807984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29181.643372485123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29181.643372485123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21576.636374009206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797112.15055593429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797112.15055593429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396.47665329920017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1918.6694683108196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1918.6694683108196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7012.0469951120949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119090.41700157127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119090.41700157127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7376.0567457626612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60075.405242766195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14395.702429570072</v>
      </c>
      <c r="J68" s="74">
        <f t="shared" si="2"/>
        <v>14395.702429570072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1988.5461160291493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56673.564306830755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56673.564306830755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731.451063724959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10168.953812761625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10168.953812761625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17630.554035587287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243125.34015074873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243125.34015074873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149178.10063989804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700644.78527540923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398842.04401802667</v>
      </c>
      <c r="J72" s="74">
        <f t="shared" ref="J72:J139" si="15">IF(I72&lt;&gt;0,I72,H72)</f>
        <v>398842.04401802667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10306.941022348496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22677.33163737116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11741.599702195708</v>
      </c>
      <c r="J73" s="74">
        <f t="shared" si="15"/>
        <v>11741.599702195708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17332.576125678694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41944.834224142447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39071.61307978868</v>
      </c>
      <c r="J74" s="74">
        <f t="shared" si="15"/>
        <v>39071.61307978868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33047.771312158278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1279067.7217572492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1279067.7217572492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1278.8735913249209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15125.877401395501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15125.877401395501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7618.4123567416955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184429.67043868985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184429.67043868985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743.71583751571029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34444.921508630599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34444.921508630599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25468.255397287427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940881.39961860876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940881.39961860876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467.98622780004507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2264.7257521927581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2264.7257521927581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8276.7582784319511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140569.8785941909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140569.8785941909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8706.4217874225778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70910.763721324838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20545.414133959799</v>
      </c>
      <c r="J82" s="74">
        <f t="shared" si="15"/>
        <v>20545.414133959799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2347.2055363235422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66895.357785220942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66895.357785220942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863.37750605116003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12003.053132906372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12003.053132906372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20810.447244450646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286976.06750097446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286976.06750097446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20843.531266124886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175335.78501064255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82548.087583010521</v>
      </c>
      <c r="J100" s="74">
        <f t="shared" si="15"/>
        <v>82548.087583010521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1786.7951054397183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8276.4349283967749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3544.1495452861272</v>
      </c>
      <c r="J101" s="74">
        <f t="shared" si="15"/>
        <v>3544.1495452861272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1913.2698208119741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10102.064653887224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7782.6306093547173</v>
      </c>
      <c r="J102" s="74">
        <f t="shared" si="15"/>
        <v>7782.6306093547173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17656.329249729286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1051328.4688458806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1051328.4688458806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82.579316026090069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2056.2249690496424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2056.2249690496424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1303.7133622629699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66443.854977046722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66443.854977046722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34.203336491457428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3334.9784571849705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3334.9784571849705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4415.1367500105207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235821.28409156195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235821.28409156195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75.215650030725556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766.29704251303201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766.29704251303201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1330.2565696985414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47563.499522557722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47563.499522557722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3283.4655055701205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56300.377701230325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13491.103069286512</v>
      </c>
      <c r="J110" s="74">
        <f t="shared" si="15"/>
        <v>13491.103069286512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377.24740533545247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22634.844320127148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22634.844320127148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619.57934642519353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18134.029651469082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18134.029651469082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17512.450507812609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289796.03100328305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289796.03100328305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16500.437390404819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138801.67932808533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79012.855957512569</v>
      </c>
      <c r="J114" s="74">
        <f t="shared" si="15"/>
        <v>79012.855957512569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1414.4868444007736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6551.9030632643844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3392.366627900064</v>
      </c>
      <c r="J115" s="74">
        <f t="shared" si="15"/>
        <v>3392.366627900064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1514.6084646686793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7997.132693450626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7449.3291039492588</v>
      </c>
      <c r="J116" s="74">
        <f t="shared" si="15"/>
        <v>7449.3291039492588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13977.341536317093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832266.82443846506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832266.82443846506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65.372552109030366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1627.7765475148562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1627.7765475148562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1032.0631583197971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52599.180773542932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52599.180773542932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27.076506620423842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2640.0806335806697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2640.0806335806697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3495.1701121787992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186684.02603169403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186684.02603169403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59.54322750136015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606.62640178385732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606.62640178385732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1053.0756502454326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37652.859101471367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37652.859101471367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2599.3012559376307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44569.264461683793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12913.328639498148</v>
      </c>
      <c r="J124" s="74">
        <f t="shared" si="15"/>
        <v>12913.328639498148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298.64167990319493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17918.500794191696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17918.500794191696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490.4797600535137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14355.505172297962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14355.505172297962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13863.442305783894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229412.2432761119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229412.2432761119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3253.0366715917453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18334.24480255794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8631.7624530442808</v>
      </c>
      <c r="J142" s="74">
        <f t="shared" si="29"/>
        <v>8631.7624530442808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278.86397599348209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736.26782397703118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315.28590463556941</v>
      </c>
      <c r="J143" s="74">
        <f t="shared" si="29"/>
        <v>315.28590463556941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298.60280440418097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867.14254398974163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668.04661588969702</v>
      </c>
      <c r="J144" s="74">
        <f t="shared" si="29"/>
        <v>668.04661588969702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2755.6120794375188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127982.52921326154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127982.52921326154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12.888101345112323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182.92082239117917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182.92082239117917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203.46971549768895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5910.8146132760057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5910.8146132760057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5.3380929784355526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296.67814136460527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296.67814136460527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689.0675852617577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30547.716627120833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30547.716627120833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11.73885867531555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68.169430544945442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68.169430544945442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207.61229700497469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4231.2269228448749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4231.2269228448749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512.44837370169512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5008.4555654447104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1200.1622903833493</v>
      </c>
      <c r="J152" s="74">
        <f t="shared" si="29"/>
        <v>1200.1622903833493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58.876762682411666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2013.5852837384791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2013.5852837384791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96.697354644394366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1613.1948921162375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1613.1948921162375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2733.1570156701764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45228.282295310084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45228.282295310084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3500.0927797828404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19726.66291056728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11229.402861840425</v>
      </c>
      <c r="J156" s="74">
        <f t="shared" si="29"/>
        <v>11229.402861840425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300.04266396380046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792.18464310378454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410.16796500973498</v>
      </c>
      <c r="J157" s="74">
        <f t="shared" si="29"/>
        <v>410.16796500973498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321.28058341456835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932.99881423590659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869.08839546074694</v>
      </c>
      <c r="J158" s="74">
        <f t="shared" si="29"/>
        <v>869.08839546074694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2964.8906289157476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137702.32913436423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137702.32913436423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13.866904992824622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196.81298256315984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196.81298256315984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218.92248812844184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6359.7191298920079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6359.7191298920079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5.7435014043323305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319.20974933293547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319.20974933293547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741.39972076519973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32867.702764973998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32867.702764973998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12.630381591197606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73.346646761139084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73.346646761139084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223.3796833853948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4552.5729640869913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4552.5729640869913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551.36693307767916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5388.8292485490392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1561.3388264120485</v>
      </c>
      <c r="J166" s="74">
        <f t="shared" si="29"/>
        <v>1561.3388264120485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63.34823513098074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2166.5096414795412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2166.5096414795412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104.0411612234726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1735.7110799232989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1735.7110799232989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2940.7301860753714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48663.203119175247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48663.203119175247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8269.0161200631464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81152.124202299703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38206.420074442714</v>
      </c>
      <c r="J184" s="74">
        <f t="shared" si="29"/>
        <v>38206.420074442714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476.12351737499114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2572.9714878944524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1101.8023832420477</v>
      </c>
      <c r="J185" s="74">
        <f t="shared" si="29"/>
        <v>1101.8023832420477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616.55839503976472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3797.9997134449509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2925.9789792379906</v>
      </c>
      <c r="J186" s="74">
        <f t="shared" si="29"/>
        <v>2925.9789792379906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14219.782896462779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987819.87825147621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987819.87825147621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16.527831515094178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480.13350551348589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480.13350551348589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874.82296878583463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52016.325706991804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52016.325706991804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9.4603904307598334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1076.1688314489425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1076.1688314489425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1176.4921633749784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73311.932668548412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73311.932668548412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33.714690278143649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400.73280864601543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400.73280864601543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596.27468777483512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24873.193677220581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24873.193677220581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1897.1467002204627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37951.291055696296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9094.1624221768125</v>
      </c>
      <c r="J194" s="74">
        <f t="shared" si="29"/>
        <v>9094.1624221768125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169.09751393390181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11836.825975373127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11836.825975373127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399.1587138370042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13629.809740775754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13629.809740775754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14762.990467149724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285014.29395879258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285014.29395879258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1290.5400881023411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8485.7914845063697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3995.1106309056008</v>
      </c>
      <c r="J226" s="74">
        <f t="shared" si="42"/>
        <v>3995.1106309056008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74.308294619218273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228.89035374968569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98.015830509220322</v>
      </c>
      <c r="J227" s="74">
        <f t="shared" si="42"/>
        <v>98.015830509220322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96.225876682506637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326.01327020033256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251.1606233623362</v>
      </c>
      <c r="J228" s="74">
        <f t="shared" si="42"/>
        <v>251.1606233623362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2219.2724751704914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120251.36783801208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120251.36783801208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2.5794881555349294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42.712454623425124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42.712454623425124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136.5330644925869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4627.3482811017566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4627.3482811017566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1.4764771192515349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95.73548159537124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95.73548159537124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183.61438387933188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9496.6497751570496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9496.6497751570496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5.2618302746235761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35.649005347180221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35.649005347180221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93.060211386823994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2212.7078074706633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2212.7078074706633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296.08647922515894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3376.1293025847745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809.01248368382142</v>
      </c>
      <c r="J236" s="74">
        <f t="shared" si="42"/>
        <v>809.01248368382142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26.390941481013577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1052.9985650924416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1052.9985650924416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62.296446668202975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1212.5015717372187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1212.5015717372187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2304.0505353355065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44481.999635187291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44481.999635187291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277847.44549518183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1947710.5929212247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916982.14714731264</v>
      </c>
      <c r="J268" s="74">
        <f t="shared" si="42"/>
        <v>916982.14714731264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6055.6397331754633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23374.769370057289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10009.584917996119</v>
      </c>
      <c r="J269" s="74">
        <f t="shared" si="42"/>
        <v>10009.584917996119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38413.381365538749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169018.87800837052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130212.14361764863</v>
      </c>
      <c r="J270" s="74">
        <f t="shared" si="42"/>
        <v>130212.14361764863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23337.085725305184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1157986.1936896432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1157986.1936896432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3656.9274374465294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75881.244327015491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75881.244327015491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2345.9279292965525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99633.669251129249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99633.669251129249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24387.347223432687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1981562.9594681722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1981562.9594681722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6897.6493288624933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307014.37162766961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307014.37162766961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1604.9535438553075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13626.055587331561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13626.055587331561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11460.146724373322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341465.88439495384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341465.88439495384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35457.355952106635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506645.22209945583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121405.98678001313</v>
      </c>
      <c r="J278" s="74">
        <f t="shared" si="55"/>
        <v>121405.98678001313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2514.9530700143437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125747.65350071719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125747.65350071719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1195.4478510811762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29157.264660516492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29157.264660516492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29775.268629829476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410600.95440534852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410600.95440534852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252961.21164089115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1773258.0936026471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1009427.1697833068</v>
      </c>
      <c r="J282" s="74">
        <f t="shared" si="55"/>
        <v>1009427.1697833068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5513.2483274579954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21281.138543987865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11018.695408532636</v>
      </c>
      <c r="J283" s="74">
        <f t="shared" si="55"/>
        <v>11018.695408532636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34972.772472795026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153880.19888029812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143339.40525699768</v>
      </c>
      <c r="J284" s="74">
        <f t="shared" si="55"/>
        <v>143339.40525699768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21246.830147095647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1054267.7118988861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1054267.7118988861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3329.3838415920754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69084.714713035573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69084.714713035573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2135.807908398976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90709.682966764973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90709.682966764973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22203.021846582469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1804078.372131268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1804078.372131268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6279.8408262972243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279515.71517848945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279515.71517848945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1461.2011003283492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12405.597341787687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12405.597341787687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10433.684555973852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310881.47561203281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310881.47561203281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32281.512278228936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461266.03404949862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133645.46083186779</v>
      </c>
      <c r="J292" s="74">
        <f t="shared" si="55"/>
        <v>133645.46083186779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2289.6938090504755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114484.69045252376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114484.69045252376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1088.3740043895341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26545.707424134976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26545.707424134976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27108.358027589973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373824.25720046577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373824.25720046577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43363.474152427225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203665.22905170496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95885.589837542706</v>
      </c>
      <c r="J310" s="74">
        <f t="shared" si="55"/>
        <v>95885.589837542706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945.0998427499278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2079.4086740183911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890.4480455951458</v>
      </c>
      <c r="J311" s="74">
        <f t="shared" si="55"/>
        <v>890.4480455951458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5995.1520050262798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14508.267852163597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11177.169553306838</v>
      </c>
      <c r="J312" s="74">
        <f t="shared" si="55"/>
        <v>11177.169553306838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3642.2041305389598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140966.41178672769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140966.41178672769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570.73433994830236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6750.3604057385455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6750.3604057385455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366.12748029483765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8863.3651432073912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8863.3651432073912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3806.1177747553907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176278.92454459635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176278.92454459635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1076.511744966979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39769.896347838599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39769.896347838599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250.48407909880524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1212.167603982848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1212.167603982848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1788.5778124744493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30376.64717247595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30376.64717247595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5533.8069983056603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45070.924671159679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10800.22044245319</v>
      </c>
      <c r="J320" s="74">
        <f t="shared" si="55"/>
        <v>10800.22044245319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392.50712653403053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11186.453106219871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11186.453106219871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186.57278600688875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2593.8167810713803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2593.8167810713803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4647.0072428057565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64082.229878291386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64082.229878291386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53658.438832916305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252017.58966655802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143461.01291768815</v>
      </c>
      <c r="J324" s="74">
        <f t="shared" si="55"/>
        <v>143461.01291768815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1169.4769179456355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2573.0831148639872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1332.2604448498553</v>
      </c>
      <c r="J325" s="74">
        <f t="shared" si="55"/>
        <v>1332.2604448498553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7418.4668881686412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17952.689869368114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16722.930613316399</v>
      </c>
      <c r="J326" s="74">
        <f t="shared" si="55"/>
        <v>16722.930613316399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4506.9033645354402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174433.38505963387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174433.38505963387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706.23293609528866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8352.9700516670255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8352.9700516670255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453.05016238766149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10967.625304163399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10967.625304163399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4709.7319068508268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218129.47590314422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218129.47590314422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1332.0874480024415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49211.706217788596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49211.706217788596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309.95174855449835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1499.9494967797839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1499.9494967797839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2213.2058149035443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37588.396596727602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37588.396596727602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6847.5935135637137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55771.256844166644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16158.951173307649</v>
      </c>
      <c r="J334" s="74">
        <f t="shared" si="55"/>
        <v>16158.951173307649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485.6926261622221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13842.23984562333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13842.23984562333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230.86721305232541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3209.6173521908654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3209.6173521908654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5750.2577634281761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79296.054557674564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79296.054557674564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4153.0281200981244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34935.27254626542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16447.52631478176</v>
      </c>
      <c r="J352" s="74">
        <f t="shared" si="60"/>
        <v>16447.52631478176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112.30451890716081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520.19453157796886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222.75861871719212</v>
      </c>
      <c r="J353" s="74">
        <f t="shared" si="60"/>
        <v>222.75861871719212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453.61549532985964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2395.0898153416592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1845.1771937392143</v>
      </c>
      <c r="J354" s="74">
        <f t="shared" si="60"/>
        <v>1845.1771937392143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1333.8196227610581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79420.955617684449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79420.955617684449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25.261099168726226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629.00136930128303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629.00136930128303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42.946180543416538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2188.7554998222508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2188.7554998222508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119.98259301094923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11698.840054058643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11698.840054058643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127.91995950888544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6832.4608772885904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6832.4608772885904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27.594964857400839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281.13750196719974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281.13750196719974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197.0414329626538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7045.2424863927736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7045.2424863927736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1430.5114592593595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24528.45486746051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5877.6854838048575</v>
      </c>
      <c r="J362" s="74">
        <f t="shared" si="60"/>
        <v>5877.6854838048575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43.241152898637949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2594.4691739182772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2594.4691739182772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91.773876584838561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2686.0646805318606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2686.0646805318606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2659.7407767838267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44013.390374218761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44013.390374218761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3287.676142844382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27655.931713606937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15743.13912797075</v>
      </c>
      <c r="J366" s="74">
        <f t="shared" si="60"/>
        <v>15743.13912797075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88.904018192866161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411.8034122693561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213.21868463998726</v>
      </c>
      <c r="J367" s="74">
        <f t="shared" si="60"/>
        <v>213.21868463998726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359.09721747448225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1896.0333082652662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1766.1550266490956</v>
      </c>
      <c r="J368" s="74">
        <f t="shared" si="60"/>
        <v>1766.1550266490956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1055.8962823747061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62872.288237719498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62872.288237719498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19.997532084392677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497.93854890137766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497.93854890137766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33.997634765724179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1732.692154060114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1732.692154060114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94.982238788545629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9261.1935754897131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9261.1935754897131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101.26572392701387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5408.8048463896648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5408.8048463896648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21.845098323620871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222.55786172104945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222.55786172104945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155.98459715892352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5577.2498941133799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5577.2498941133799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1132.4407783112672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19417.546319594807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5625.9657866503758</v>
      </c>
      <c r="J376" s="74">
        <f t="shared" si="60"/>
        <v>5625.9657866503758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34.231144760604046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2053.8686856362428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2053.8686856362428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72.651274168880292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2126.3787561623499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2126.3787561623499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2105.5398723801477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34842.473808146686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34842.473808146686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648.16045804999635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3653.0582679881009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1719.8598325687985</v>
      </c>
      <c r="J394" s="74">
        <f t="shared" si="60"/>
        <v>1719.8598325687985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17.527294858343019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46.276264976791566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19.816503711315534</v>
      </c>
      <c r="J395" s="74">
        <f t="shared" si="60"/>
        <v>19.816503711315534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70.795481930093715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205.59007952499221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158.38659726605397</v>
      </c>
      <c r="J396" s="74">
        <f t="shared" si="60"/>
        <v>158.38659726605397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208.16838043091659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9668.2388746152283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9668.2388746152283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3.9424836852925322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55.955670945356907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55.955670945356907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6.7025830905910215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194.71067712291588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194.71067712291588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18.725607001708841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1040.7234013408238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1040.7234013408238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19.964386744161317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885.06039456668975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885.06039456668975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4.3067286193631373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25.009862169220838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25.009862169220838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30.752131156021115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626.7415136739005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626.7415136739005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223.25901387284802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2182.0400023711977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522.8761826344321</v>
      </c>
      <c r="J404" s="74">
        <f t="shared" si="60"/>
        <v>522.8761826344321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6.74861923851575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230.80277795723865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230.80277795723865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14.323090565263824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238.95107186927942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238.95107186927942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415.10405186799608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6869.1418503115992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6869.1418503115992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697.38584848214157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3930.4945374792887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2237.4340154600854</v>
      </c>
      <c r="J408" s="74">
        <f t="shared" si="64"/>
        <v>2237.4340154600854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18.858428101517063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49.790776210749414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25.780077324653004</v>
      </c>
      <c r="J409" s="74">
        <f t="shared" si="64"/>
        <v>25.780077324653004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76.17213704004169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221.20388596428108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206.05141977572785</v>
      </c>
      <c r="J410" s="74">
        <f t="shared" si="64"/>
        <v>206.05141977572785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223.97799929160431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10402.505872059046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10402.505872059046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4.2419007451742043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60.205297276257483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60.205297276257483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7.211619495759674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209.49823317272285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209.49823317272285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20.147747621812712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1119.7624959455745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1119.7624959455745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21.480608105730209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952.27745931890752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952.27745931890752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4.6338087353135169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26.909268735363238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26.909268735363238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33.087641821589841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674.34021447007228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674.34021447007228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240.21471055087486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2347.7578731873718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680.2304087495454</v>
      </c>
      <c r="J418" s="74">
        <f t="shared" si="64"/>
        <v>680.2304087495454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7.261151918916009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248.3313956269275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248.3313956269275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15.410876338853395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257.09852233599321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257.09852233599321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446.6296698988192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7390.8277774856606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7390.8277774856606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1796.6458108942293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17632.281988115963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8301.278360004997</v>
      </c>
      <c r="J436" s="74">
        <f t="shared" si="64"/>
        <v>8301.278360004997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32.633012539823845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176.34879976520804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75.516393701736789</v>
      </c>
      <c r="J437" s="74">
        <f t="shared" si="64"/>
        <v>75.516393701736789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159.40463041598321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981.93252336245644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756.48081599843647</v>
      </c>
      <c r="J438" s="74">
        <f t="shared" si="64"/>
        <v>756.48081599843647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1171.3986150504631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81374.718990325578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81374.718990325578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5.5133034466362671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160.16146512478358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160.16146512478358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31.425171951535479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1868.51744633315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1868.51744633315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36.188775432258431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4116.6622512612066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4116.6622512612066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37.170486845663731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2316.2417173006897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2316.2417173006897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13.488257970641145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160.32143423904066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160.32143423904066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96.312703873303633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4017.6190372214837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4017.6190372214837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901.3113802822603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18030.197939320373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4320.5262325210433</v>
      </c>
      <c r="J446" s="74">
        <f t="shared" si="64"/>
        <v>4320.5262325210433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21.136023483224019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1479.5216438256814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1479.5216438256814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64.473732983194068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2201.5421018651632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2201.5421018651632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2242.1606682189854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43287.153860635735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43287.153860635735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280.40136933031323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1843.7455558671547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868.03540770225663</v>
      </c>
      <c r="J478" s="74">
        <f t="shared" si="68"/>
        <v>868.03540770225663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5.0930135177759759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15.687907678534982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6.7179034628308036</v>
      </c>
      <c r="J479" s="74">
        <f t="shared" si="68"/>
        <v>6.7179034628308036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24.878179313477148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84.287271514060578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64.934913974432277</v>
      </c>
      <c r="J480" s="74">
        <f t="shared" si="68"/>
        <v>64.934913974432277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182.81943703099714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9906.0785083020619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9906.0785083020619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0.86045776334785684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14.247889874395483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14.247889874395483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4.9045066051529362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166.22244797148659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166.22244797148659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5.6479591715085418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366.21637021335238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366.21637021335238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5.8011742475891381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300.04032881334371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300.04032881334371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2.1051038451289652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14.262120652825642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14.262120652825642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15.031462454215021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357.40553169270896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357.40553169270896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140.66709403249149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1603.9580710181533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384.35201571386625</v>
      </c>
      <c r="J488" s="74">
        <f t="shared" ref="J488:J505" si="70">IF(I488&lt;&gt;0,I488,H488)</f>
        <v>384.35201571386625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3.2986857459366963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131.61756126287418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131.61756126287418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10.062374511827977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195.84816732777378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195.84816732777378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349.9325898376452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6755.7985794055785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6755.7985794055785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2023-11-28T08:56:20Z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