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9A62786E-3741-4D72-B92C-B8C3175D9103}" xr6:coauthVersionLast="47" xr6:coauthVersionMax="47" xr10:uidLastSave="{00000000-0000-0000-0000-000000000000}"/>
  <bookViews>
    <workbookView xWindow="-120" yWindow="-120" windowWidth="29040" windowHeight="15840" tabRatio="945" firstSheet="1" activeTab="1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260" r:id="rId37"/>
    <pivotCache cacheId="1265" r:id="rId38"/>
    <pivotCache cacheId="1270" r:id="rId39"/>
    <pivotCache cacheId="1276" r:id="rId40"/>
    <pivotCache cacheId="1281" r:id="rId41"/>
    <pivotCache cacheId="1286" r:id="rId42"/>
    <pivotCache cacheId="1290" r:id="rId43"/>
    <pivotCache cacheId="1295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67" i="70" l="1"/>
  <c r="J167" i="70"/>
  <c r="D43" i="17"/>
  <c r="C341" i="38" l="1"/>
  <c r="C347" i="38"/>
  <c r="C329" i="38"/>
  <c r="C335" i="38"/>
  <c r="C317" i="38"/>
  <c r="C323" i="38"/>
  <c r="C305" i="38"/>
  <c r="C311" i="38"/>
  <c r="C293" i="38"/>
  <c r="C299" i="38"/>
  <c r="E34" i="17"/>
  <c r="D14" i="34"/>
  <c r="B59" i="26"/>
  <c r="B60" i="26"/>
  <c r="C60" i="26" s="1"/>
  <c r="D60" i="26" s="1"/>
  <c r="C33" i="17"/>
  <c r="E33" i="17" s="1"/>
  <c r="C34" i="17"/>
  <c r="C35" i="17"/>
  <c r="C36" i="17"/>
  <c r="E36" i="17" s="1"/>
  <c r="C37" i="17"/>
  <c r="E37" i="17" s="1"/>
  <c r="C38" i="17"/>
  <c r="E38" i="17" s="1"/>
  <c r="C39" i="17"/>
  <c r="E39" i="17" s="1"/>
  <c r="C40" i="17"/>
  <c r="E40" i="17" s="1"/>
  <c r="C41" i="17"/>
  <c r="D41" i="17" s="1"/>
  <c r="E41" i="17" s="1"/>
  <c r="C42" i="17"/>
  <c r="D42" i="17" s="1"/>
  <c r="E42" i="17" s="1"/>
  <c r="C43" i="17"/>
  <c r="E43" i="17" s="1"/>
  <c r="C44" i="17"/>
  <c r="D44" i="17" s="1"/>
  <c r="E44" i="17" s="1"/>
  <c r="C45" i="17"/>
  <c r="C32" i="17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B61" i="26" l="1"/>
  <c r="C59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K5" i="9" l="1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06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14" i="37"/>
  <c r="D14" i="37"/>
  <c r="D14" i="41" s="1"/>
  <c r="B14" i="37"/>
  <c r="B14" i="41" s="1"/>
  <c r="C14" i="37"/>
  <c r="C14" i="41" s="1"/>
  <c r="F14" i="37"/>
  <c r="F14" i="41" s="1"/>
  <c r="A15" i="37"/>
  <c r="D15" i="37"/>
  <c r="D15" i="41" s="1"/>
  <c r="B15" i="37"/>
  <c r="B15" i="41" s="1"/>
  <c r="C15" i="37"/>
  <c r="C15" i="41" s="1"/>
  <c r="F15" i="37"/>
  <c r="F15" i="41" s="1"/>
  <c r="A16" i="37"/>
  <c r="D16" i="37"/>
  <c r="D16" i="41" s="1"/>
  <c r="B16" i="37"/>
  <c r="B16" i="41" s="1"/>
  <c r="C16" i="37"/>
  <c r="C16" i="41" s="1"/>
  <c r="F16" i="37"/>
  <c r="F16" i="41" s="1"/>
  <c r="A17" i="37"/>
  <c r="D17" i="37"/>
  <c r="D17" i="41" s="1"/>
  <c r="B17" i="37"/>
  <c r="B17" i="41" s="1"/>
  <c r="C17" i="37"/>
  <c r="C17" i="41" s="1"/>
  <c r="F17" i="37"/>
  <c r="F17" i="41" s="1"/>
  <c r="A18" i="37"/>
  <c r="D18" i="37"/>
  <c r="D18" i="41" s="1"/>
  <c r="B18" i="37"/>
  <c r="B18" i="41" s="1"/>
  <c r="C18" i="37"/>
  <c r="C18" i="41" s="1"/>
  <c r="F18" i="37"/>
  <c r="F18" i="41" s="1"/>
  <c r="A19" i="37"/>
  <c r="D19" i="37"/>
  <c r="D19" i="41" s="1"/>
  <c r="B19" i="37"/>
  <c r="B19" i="41" s="1"/>
  <c r="C19" i="37"/>
  <c r="C19" i="41" s="1"/>
  <c r="F19" i="37"/>
  <c r="F19" i="41" s="1"/>
  <c r="A20" i="37"/>
  <c r="D20" i="37"/>
  <c r="D20" i="41" s="1"/>
  <c r="B20" i="37"/>
  <c r="B20" i="41" s="1"/>
  <c r="C20" i="37"/>
  <c r="C20" i="41" s="1"/>
  <c r="F20" i="37"/>
  <c r="F20" i="41" s="1"/>
  <c r="A21" i="37"/>
  <c r="D21" i="37"/>
  <c r="D21" i="41" s="1"/>
  <c r="B21" i="37"/>
  <c r="B21" i="41" s="1"/>
  <c r="C21" i="37"/>
  <c r="C21" i="41" s="1"/>
  <c r="F21" i="37"/>
  <c r="F21" i="41" s="1"/>
  <c r="A22" i="37"/>
  <c r="D22" i="37"/>
  <c r="D22" i="41" s="1"/>
  <c r="B22" i="37"/>
  <c r="B22" i="41" s="1"/>
  <c r="C22" i="37"/>
  <c r="C22" i="41" s="1"/>
  <c r="F22" i="37"/>
  <c r="F22" i="41" s="1"/>
  <c r="A23" i="37"/>
  <c r="D23" i="37"/>
  <c r="D23" i="41" s="1"/>
  <c r="B23" i="37"/>
  <c r="B23" i="41" s="1"/>
  <c r="C23" i="37"/>
  <c r="C23" i="41" s="1"/>
  <c r="F23" i="37"/>
  <c r="F23" i="41" s="1"/>
  <c r="A24" i="37"/>
  <c r="D24" i="37"/>
  <c r="D24" i="41" s="1"/>
  <c r="B24" i="37"/>
  <c r="B24" i="41" s="1"/>
  <c r="C24" i="37"/>
  <c r="C24" i="41" s="1"/>
  <c r="F24" i="37"/>
  <c r="F24" i="41" s="1"/>
  <c r="A25" i="37"/>
  <c r="D25" i="37"/>
  <c r="D25" i="41" s="1"/>
  <c r="B25" i="37"/>
  <c r="B25" i="41" s="1"/>
  <c r="C25" i="37"/>
  <c r="C25" i="41" s="1"/>
  <c r="F25" i="37"/>
  <c r="F25" i="41" s="1"/>
  <c r="A26" i="37"/>
  <c r="D26" i="37"/>
  <c r="D26" i="41" s="1"/>
  <c r="B26" i="37"/>
  <c r="B26" i="41" s="1"/>
  <c r="C26" i="37"/>
  <c r="C26" i="41" s="1"/>
  <c r="F26" i="37"/>
  <c r="F26" i="41" s="1"/>
  <c r="A27" i="37"/>
  <c r="D27" i="37"/>
  <c r="D27" i="41" s="1"/>
  <c r="B27" i="37"/>
  <c r="B27" i="41" s="1"/>
  <c r="C27" i="37"/>
  <c r="C27" i="41" s="1"/>
  <c r="F27" i="37"/>
  <c r="F27" i="41" s="1"/>
  <c r="A28" i="37"/>
  <c r="D28" i="37"/>
  <c r="D28" i="41" s="1"/>
  <c r="B28" i="37"/>
  <c r="B28" i="41" s="1"/>
  <c r="C28" i="37"/>
  <c r="C28" i="41" s="1"/>
  <c r="F28" i="37"/>
  <c r="F28" i="41" s="1"/>
  <c r="A29" i="37"/>
  <c r="D29" i="37"/>
  <c r="D29" i="41" s="1"/>
  <c r="B29" i="37"/>
  <c r="B29" i="41" s="1"/>
  <c r="C29" i="37"/>
  <c r="C29" i="41" s="1"/>
  <c r="F29" i="37"/>
  <c r="F29" i="41" s="1"/>
  <c r="A30" i="37"/>
  <c r="D30" i="37"/>
  <c r="D30" i="41" s="1"/>
  <c r="B30" i="37"/>
  <c r="B30" i="41" s="1"/>
  <c r="C30" i="37"/>
  <c r="C30" i="41" s="1"/>
  <c r="F30" i="37"/>
  <c r="F30" i="41" s="1"/>
  <c r="A31" i="37"/>
  <c r="D31" i="37"/>
  <c r="D31" i="41" s="1"/>
  <c r="B31" i="37"/>
  <c r="B31" i="41" s="1"/>
  <c r="C31" i="37"/>
  <c r="C31" i="41" s="1"/>
  <c r="F31" i="37"/>
  <c r="F31" i="41" s="1"/>
  <c r="A32" i="37"/>
  <c r="D32" i="37"/>
  <c r="D32" i="41" s="1"/>
  <c r="B32" i="37"/>
  <c r="B32" i="41" s="1"/>
  <c r="C32" i="37"/>
  <c r="C32" i="41" s="1"/>
  <c r="F32" i="37"/>
  <c r="F32" i="41" s="1"/>
  <c r="A33" i="37"/>
  <c r="D33" i="37"/>
  <c r="D33" i="41" s="1"/>
  <c r="B33" i="37"/>
  <c r="B33" i="41" s="1"/>
  <c r="C33" i="37"/>
  <c r="C33" i="41" s="1"/>
  <c r="F33" i="37"/>
  <c r="F33" i="41" s="1"/>
  <c r="A34" i="37"/>
  <c r="D34" i="37"/>
  <c r="D34" i="41" s="1"/>
  <c r="B34" i="37"/>
  <c r="B34" i="41" s="1"/>
  <c r="C34" i="37"/>
  <c r="C34" i="41" s="1"/>
  <c r="F34" i="37"/>
  <c r="F34" i="41" s="1"/>
  <c r="A35" i="37"/>
  <c r="D35" i="37"/>
  <c r="D35" i="41" s="1"/>
  <c r="B35" i="37"/>
  <c r="B35" i="41" s="1"/>
  <c r="C35" i="37"/>
  <c r="C35" i="41" s="1"/>
  <c r="F35" i="37"/>
  <c r="F35" i="41" s="1"/>
  <c r="A36" i="37"/>
  <c r="D36" i="37"/>
  <c r="D36" i="41" s="1"/>
  <c r="B36" i="37"/>
  <c r="B36" i="41" s="1"/>
  <c r="C36" i="37"/>
  <c r="C36" i="41" s="1"/>
  <c r="F36" i="37"/>
  <c r="F36" i="41" s="1"/>
  <c r="A37" i="37"/>
  <c r="D37" i="37"/>
  <c r="D37" i="41" s="1"/>
  <c r="B37" i="37"/>
  <c r="B37" i="41" s="1"/>
  <c r="C37" i="37"/>
  <c r="C37" i="41" s="1"/>
  <c r="F37" i="37"/>
  <c r="F37" i="41" s="1"/>
  <c r="A38" i="37"/>
  <c r="D38" i="37"/>
  <c r="D38" i="41" s="1"/>
  <c r="B38" i="37"/>
  <c r="B38" i="41" s="1"/>
  <c r="C38" i="37"/>
  <c r="C38" i="41" s="1"/>
  <c r="F38" i="37"/>
  <c r="F38" i="41" s="1"/>
  <c r="A39" i="37"/>
  <c r="D39" i="37"/>
  <c r="D39" i="41" s="1"/>
  <c r="B39" i="37"/>
  <c r="B39" i="41" s="1"/>
  <c r="C39" i="37"/>
  <c r="C39" i="41" s="1"/>
  <c r="F39" i="37"/>
  <c r="F39" i="41" s="1"/>
  <c r="A40" i="37"/>
  <c r="D40" i="37"/>
  <c r="D40" i="41" s="1"/>
  <c r="B40" i="37"/>
  <c r="B40" i="41" s="1"/>
  <c r="C40" i="37"/>
  <c r="C40" i="41" s="1"/>
  <c r="F40" i="37"/>
  <c r="F40" i="41" s="1"/>
  <c r="A41" i="37"/>
  <c r="D41" i="37"/>
  <c r="D41" i="41" s="1"/>
  <c r="B41" i="37"/>
  <c r="B41" i="41" s="1"/>
  <c r="C41" i="37"/>
  <c r="C41" i="41" s="1"/>
  <c r="F41" i="37"/>
  <c r="F41" i="41" s="1"/>
  <c r="A42" i="37"/>
  <c r="D42" i="37"/>
  <c r="D42" i="41" s="1"/>
  <c r="B42" i="37"/>
  <c r="B42" i="41" s="1"/>
  <c r="C42" i="37"/>
  <c r="C42" i="41" s="1"/>
  <c r="F42" i="37"/>
  <c r="F42" i="41" s="1"/>
  <c r="A43" i="37"/>
  <c r="D43" i="37"/>
  <c r="D43" i="41" s="1"/>
  <c r="B43" i="37"/>
  <c r="B43" i="41" s="1"/>
  <c r="C43" i="37"/>
  <c r="C43" i="41" s="1"/>
  <c r="F43" i="37"/>
  <c r="F43" i="41" s="1"/>
  <c r="A44" i="37"/>
  <c r="D44" i="37"/>
  <c r="D44" i="41" s="1"/>
  <c r="B44" i="37"/>
  <c r="B44" i="41" s="1"/>
  <c r="C44" i="37"/>
  <c r="C44" i="41" s="1"/>
  <c r="F44" i="37"/>
  <c r="F44" i="41" s="1"/>
  <c r="A45" i="37"/>
  <c r="D45" i="37"/>
  <c r="D45" i="41" s="1"/>
  <c r="B45" i="37"/>
  <c r="B45" i="41" s="1"/>
  <c r="C45" i="37"/>
  <c r="C45" i="41" s="1"/>
  <c r="F45" i="37"/>
  <c r="F45" i="41" s="1"/>
  <c r="A46" i="37"/>
  <c r="D46" i="37"/>
  <c r="D46" i="41" s="1"/>
  <c r="B46" i="37"/>
  <c r="B46" i="41" s="1"/>
  <c r="C46" i="37"/>
  <c r="C46" i="41" s="1"/>
  <c r="F46" i="37"/>
  <c r="F46" i="41" s="1"/>
  <c r="A47" i="37"/>
  <c r="D47" i="37"/>
  <c r="D47" i="41" s="1"/>
  <c r="B47" i="37"/>
  <c r="B47" i="41" s="1"/>
  <c r="C47" i="37"/>
  <c r="C47" i="41" s="1"/>
  <c r="F47" i="37"/>
  <c r="F47" i="41" s="1"/>
  <c r="A48" i="37"/>
  <c r="D48" i="37"/>
  <c r="D48" i="41" s="1"/>
  <c r="B48" i="37"/>
  <c r="B48" i="41" s="1"/>
  <c r="C48" i="37"/>
  <c r="C48" i="41" s="1"/>
  <c r="F48" i="37"/>
  <c r="F48" i="41" s="1"/>
  <c r="A49" i="37"/>
  <c r="D49" i="37"/>
  <c r="D49" i="41" s="1"/>
  <c r="B49" i="37"/>
  <c r="B49" i="41" s="1"/>
  <c r="C49" i="37"/>
  <c r="C49" i="41" s="1"/>
  <c r="F49" i="37"/>
  <c r="F49" i="41" s="1"/>
  <c r="A50" i="37"/>
  <c r="D50" i="37"/>
  <c r="D50" i="41" s="1"/>
  <c r="B50" i="37"/>
  <c r="B50" i="41" s="1"/>
  <c r="C50" i="37"/>
  <c r="C50" i="41" s="1"/>
  <c r="F50" i="37"/>
  <c r="F50" i="41" s="1"/>
  <c r="A51" i="37"/>
  <c r="D51" i="37"/>
  <c r="D51" i="41" s="1"/>
  <c r="B51" i="37"/>
  <c r="B51" i="41" s="1"/>
  <c r="C51" i="37"/>
  <c r="C51" i="41" s="1"/>
  <c r="F51" i="37"/>
  <c r="F51" i="41" s="1"/>
  <c r="A52" i="37"/>
  <c r="D52" i="37"/>
  <c r="D52" i="41" s="1"/>
  <c r="B52" i="37"/>
  <c r="B52" i="41" s="1"/>
  <c r="C52" i="37"/>
  <c r="C52" i="41" s="1"/>
  <c r="F52" i="37"/>
  <c r="F52" i="41" s="1"/>
  <c r="A53" i="37"/>
  <c r="D53" i="37"/>
  <c r="D53" i="41" s="1"/>
  <c r="B53" i="37"/>
  <c r="B53" i="41" s="1"/>
  <c r="C53" i="37"/>
  <c r="C53" i="41" s="1"/>
  <c r="F53" i="37"/>
  <c r="F53" i="41" s="1"/>
  <c r="A54" i="37"/>
  <c r="D54" i="37"/>
  <c r="D54" i="41" s="1"/>
  <c r="B54" i="37"/>
  <c r="B54" i="41" s="1"/>
  <c r="C54" i="37"/>
  <c r="C54" i="41" s="1"/>
  <c r="F54" i="37"/>
  <c r="F54" i="41" s="1"/>
  <c r="A55" i="37"/>
  <c r="D55" i="37"/>
  <c r="D55" i="41" s="1"/>
  <c r="B55" i="37"/>
  <c r="B55" i="41" s="1"/>
  <c r="C55" i="37"/>
  <c r="C55" i="41" s="1"/>
  <c r="F55" i="37"/>
  <c r="F55" i="41" s="1"/>
  <c r="A56" i="37"/>
  <c r="D56" i="37"/>
  <c r="D56" i="41" s="1"/>
  <c r="B56" i="37"/>
  <c r="B56" i="41" s="1"/>
  <c r="C56" i="37"/>
  <c r="C56" i="41" s="1"/>
  <c r="F56" i="37"/>
  <c r="F56" i="41" s="1"/>
  <c r="A57" i="37"/>
  <c r="D57" i="37"/>
  <c r="D57" i="41" s="1"/>
  <c r="B57" i="37"/>
  <c r="B57" i="41" s="1"/>
  <c r="C57" i="37"/>
  <c r="C57" i="41" s="1"/>
  <c r="F57" i="37"/>
  <c r="F57" i="41" s="1"/>
  <c r="A58" i="37"/>
  <c r="D58" i="37"/>
  <c r="D58" i="41" s="1"/>
  <c r="B58" i="37"/>
  <c r="B58" i="41" s="1"/>
  <c r="C58" i="37"/>
  <c r="C58" i="41" s="1"/>
  <c r="F58" i="37"/>
  <c r="F58" i="41" s="1"/>
  <c r="A59" i="37"/>
  <c r="D59" i="37"/>
  <c r="D59" i="41" s="1"/>
  <c r="B59" i="37"/>
  <c r="B59" i="41" s="1"/>
  <c r="C59" i="37"/>
  <c r="C59" i="41" s="1"/>
  <c r="F59" i="37"/>
  <c r="F59" i="41" s="1"/>
  <c r="A60" i="37"/>
  <c r="D60" i="37"/>
  <c r="D60" i="41" s="1"/>
  <c r="B60" i="37"/>
  <c r="B60" i="41" s="1"/>
  <c r="C60" i="37"/>
  <c r="C60" i="41" s="1"/>
  <c r="F60" i="37"/>
  <c r="F60" i="41" s="1"/>
  <c r="A61" i="37"/>
  <c r="D61" i="37"/>
  <c r="D61" i="41" s="1"/>
  <c r="B61" i="37"/>
  <c r="B61" i="41" s="1"/>
  <c r="C61" i="37"/>
  <c r="C61" i="41" s="1"/>
  <c r="F61" i="37"/>
  <c r="F61" i="41" s="1"/>
  <c r="A62" i="37"/>
  <c r="D62" i="37"/>
  <c r="D62" i="41" s="1"/>
  <c r="B62" i="37"/>
  <c r="B62" i="41" s="1"/>
  <c r="C62" i="37"/>
  <c r="C62" i="41" s="1"/>
  <c r="F62" i="37"/>
  <c r="F62" i="41" s="1"/>
  <c r="A63" i="37"/>
  <c r="D63" i="37"/>
  <c r="D63" i="41" s="1"/>
  <c r="B63" i="37"/>
  <c r="B63" i="41" s="1"/>
  <c r="C63" i="37"/>
  <c r="C63" i="41" s="1"/>
  <c r="F63" i="37"/>
  <c r="F63" i="41" s="1"/>
  <c r="A64" i="37"/>
  <c r="D64" i="37"/>
  <c r="D64" i="41" s="1"/>
  <c r="B64" i="37"/>
  <c r="B64" i="41" s="1"/>
  <c r="C64" i="37"/>
  <c r="C64" i="41" s="1"/>
  <c r="F64" i="37"/>
  <c r="F64" i="41" s="1"/>
  <c r="A65" i="37"/>
  <c r="D65" i="37"/>
  <c r="D65" i="41" s="1"/>
  <c r="B65" i="37"/>
  <c r="B65" i="41" s="1"/>
  <c r="C65" i="37"/>
  <c r="C65" i="41" s="1"/>
  <c r="F65" i="37"/>
  <c r="F65" i="41" s="1"/>
  <c r="A66" i="37"/>
  <c r="D66" i="37"/>
  <c r="D66" i="41" s="1"/>
  <c r="B66" i="37"/>
  <c r="B66" i="41" s="1"/>
  <c r="C66" i="37"/>
  <c r="C66" i="41" s="1"/>
  <c r="F66" i="37"/>
  <c r="F66" i="41" s="1"/>
  <c r="A67" i="37"/>
  <c r="D67" i="37"/>
  <c r="D67" i="41" s="1"/>
  <c r="B67" i="37"/>
  <c r="B67" i="41" s="1"/>
  <c r="C67" i="37"/>
  <c r="C67" i="41" s="1"/>
  <c r="F67" i="37"/>
  <c r="F67" i="41" s="1"/>
  <c r="A68" i="37"/>
  <c r="D68" i="37"/>
  <c r="D68" i="41" s="1"/>
  <c r="B68" i="37"/>
  <c r="B68" i="41" s="1"/>
  <c r="C68" i="37"/>
  <c r="C68" i="41" s="1"/>
  <c r="F68" i="37"/>
  <c r="F68" i="41" s="1"/>
  <c r="A69" i="37"/>
  <c r="D69" i="37"/>
  <c r="D69" i="41" s="1"/>
  <c r="B69" i="37"/>
  <c r="B69" i="41" s="1"/>
  <c r="C69" i="37"/>
  <c r="C69" i="41" s="1"/>
  <c r="F69" i="37"/>
  <c r="F69" i="41" s="1"/>
  <c r="A70" i="37"/>
  <c r="D70" i="37"/>
  <c r="D70" i="41" s="1"/>
  <c r="B70" i="37"/>
  <c r="B70" i="41" s="1"/>
  <c r="C70" i="37"/>
  <c r="C70" i="41" s="1"/>
  <c r="F70" i="37"/>
  <c r="F70" i="41" s="1"/>
  <c r="A71" i="37"/>
  <c r="D71" i="37"/>
  <c r="D71" i="41" s="1"/>
  <c r="B71" i="37"/>
  <c r="B71" i="41" s="1"/>
  <c r="C71" i="37"/>
  <c r="C71" i="41" s="1"/>
  <c r="F71" i="37"/>
  <c r="F71" i="41" s="1"/>
  <c r="A72" i="37"/>
  <c r="D72" i="37"/>
  <c r="D72" i="41" s="1"/>
  <c r="B72" i="37"/>
  <c r="B72" i="41" s="1"/>
  <c r="C72" i="37"/>
  <c r="C72" i="41" s="1"/>
  <c r="F72" i="37"/>
  <c r="F72" i="41" s="1"/>
  <c r="A73" i="37"/>
  <c r="D73" i="37"/>
  <c r="D73" i="41" s="1"/>
  <c r="B73" i="37"/>
  <c r="B73" i="41" s="1"/>
  <c r="C73" i="37"/>
  <c r="C73" i="41" s="1"/>
  <c r="F73" i="37"/>
  <c r="F73" i="41" s="1"/>
  <c r="A74" i="37"/>
  <c r="D74" i="37"/>
  <c r="D74" i="41" s="1"/>
  <c r="B74" i="37"/>
  <c r="B74" i="41" s="1"/>
  <c r="C74" i="37"/>
  <c r="C74" i="41" s="1"/>
  <c r="F74" i="37"/>
  <c r="F74" i="41" s="1"/>
  <c r="A75" i="37"/>
  <c r="D75" i="37"/>
  <c r="D75" i="41" s="1"/>
  <c r="B75" i="37"/>
  <c r="B75" i="41" s="1"/>
  <c r="C75" i="37"/>
  <c r="C75" i="41" s="1"/>
  <c r="F75" i="37"/>
  <c r="F75" i="41" s="1"/>
  <c r="A76" i="37"/>
  <c r="D76" i="37"/>
  <c r="D76" i="41" s="1"/>
  <c r="B76" i="37"/>
  <c r="B76" i="41" s="1"/>
  <c r="C76" i="37"/>
  <c r="C76" i="41" s="1"/>
  <c r="F76" i="37"/>
  <c r="F76" i="41" s="1"/>
  <c r="A77" i="37"/>
  <c r="D77" i="37"/>
  <c r="D77" i="41" s="1"/>
  <c r="B77" i="37"/>
  <c r="B77" i="41" s="1"/>
  <c r="C77" i="37"/>
  <c r="C77" i="41" s="1"/>
  <c r="F77" i="37"/>
  <c r="F77" i="41" s="1"/>
  <c r="A78" i="37"/>
  <c r="D78" i="37"/>
  <c r="D78" i="41" s="1"/>
  <c r="B78" i="37"/>
  <c r="B78" i="41" s="1"/>
  <c r="C78" i="37"/>
  <c r="C78" i="41" s="1"/>
  <c r="F78" i="37"/>
  <c r="F78" i="41" s="1"/>
  <c r="A79" i="37"/>
  <c r="D79" i="37"/>
  <c r="D79" i="41" s="1"/>
  <c r="B79" i="37"/>
  <c r="B79" i="41" s="1"/>
  <c r="C79" i="37"/>
  <c r="C79" i="41" s="1"/>
  <c r="F79" i="37"/>
  <c r="F79" i="41" s="1"/>
  <c r="A80" i="37"/>
  <c r="D80" i="37"/>
  <c r="D80" i="41" s="1"/>
  <c r="B80" i="37"/>
  <c r="B80" i="41" s="1"/>
  <c r="C80" i="37"/>
  <c r="C80" i="41" s="1"/>
  <c r="F80" i="37"/>
  <c r="F80" i="41" s="1"/>
  <c r="A81" i="37"/>
  <c r="D81" i="37"/>
  <c r="D81" i="41" s="1"/>
  <c r="B81" i="37"/>
  <c r="B81" i="41" s="1"/>
  <c r="C81" i="37"/>
  <c r="C81" i="41" s="1"/>
  <c r="F81" i="37"/>
  <c r="F81" i="41" s="1"/>
  <c r="A82" i="37"/>
  <c r="D82" i="37"/>
  <c r="D82" i="41" s="1"/>
  <c r="B82" i="37"/>
  <c r="B82" i="41" s="1"/>
  <c r="C82" i="37"/>
  <c r="C82" i="41" s="1"/>
  <c r="F82" i="37"/>
  <c r="F82" i="41" s="1"/>
  <c r="A83" i="37"/>
  <c r="D83" i="37"/>
  <c r="D83" i="41" s="1"/>
  <c r="B83" i="37"/>
  <c r="B83" i="41" s="1"/>
  <c r="C83" i="37"/>
  <c r="C83" i="41" s="1"/>
  <c r="F83" i="37"/>
  <c r="F83" i="41" s="1"/>
  <c r="A84" i="37"/>
  <c r="D84" i="37"/>
  <c r="D84" i="41" s="1"/>
  <c r="B84" i="37"/>
  <c r="B84" i="41" s="1"/>
  <c r="C84" i="37"/>
  <c r="C84" i="41" s="1"/>
  <c r="F84" i="37"/>
  <c r="F84" i="41" s="1"/>
  <c r="A85" i="37"/>
  <c r="D85" i="37"/>
  <c r="D85" i="41" s="1"/>
  <c r="B85" i="37"/>
  <c r="B85" i="41" s="1"/>
  <c r="C85" i="37"/>
  <c r="C85" i="41" s="1"/>
  <c r="F85" i="37"/>
  <c r="F85" i="41" s="1"/>
  <c r="A86" i="37"/>
  <c r="D86" i="37"/>
  <c r="D86" i="41" s="1"/>
  <c r="B86" i="37"/>
  <c r="B86" i="41" s="1"/>
  <c r="C86" i="37"/>
  <c r="C86" i="41" s="1"/>
  <c r="F86" i="37"/>
  <c r="F86" i="41" s="1"/>
  <c r="A87" i="37"/>
  <c r="D87" i="37"/>
  <c r="D87" i="41" s="1"/>
  <c r="B87" i="37"/>
  <c r="B87" i="41" s="1"/>
  <c r="C87" i="37"/>
  <c r="C87" i="41" s="1"/>
  <c r="F87" i="37"/>
  <c r="F87" i="41" s="1"/>
  <c r="A88" i="37"/>
  <c r="D88" i="37"/>
  <c r="D88" i="41" s="1"/>
  <c r="B88" i="37"/>
  <c r="B88" i="41" s="1"/>
  <c r="C88" i="37"/>
  <c r="C88" i="41" s="1"/>
  <c r="F88" i="37"/>
  <c r="F88" i="41" s="1"/>
  <c r="A89" i="37"/>
  <c r="D89" i="37"/>
  <c r="D89" i="41" s="1"/>
  <c r="B89" i="37"/>
  <c r="B89" i="41" s="1"/>
  <c r="C89" i="37"/>
  <c r="C89" i="41" s="1"/>
  <c r="F89" i="37"/>
  <c r="F89" i="41" s="1"/>
  <c r="A90" i="37"/>
  <c r="D90" i="37"/>
  <c r="D90" i="41" s="1"/>
  <c r="B90" i="37"/>
  <c r="B90" i="41" s="1"/>
  <c r="C90" i="37"/>
  <c r="C90" i="41" s="1"/>
  <c r="F90" i="37"/>
  <c r="F90" i="41" s="1"/>
  <c r="A91" i="37"/>
  <c r="D91" i="37"/>
  <c r="D91" i="41" s="1"/>
  <c r="B91" i="37"/>
  <c r="B91" i="41" s="1"/>
  <c r="C91" i="37"/>
  <c r="C91" i="41" s="1"/>
  <c r="F91" i="37"/>
  <c r="F91" i="41" s="1"/>
  <c r="A92" i="37"/>
  <c r="D92" i="37"/>
  <c r="D92" i="41" s="1"/>
  <c r="B92" i="37"/>
  <c r="B92" i="41" s="1"/>
  <c r="C92" i="37"/>
  <c r="C92" i="41" s="1"/>
  <c r="F92" i="37"/>
  <c r="F92" i="41" s="1"/>
  <c r="A93" i="37"/>
  <c r="D93" i="37"/>
  <c r="D93" i="41" s="1"/>
  <c r="B93" i="37"/>
  <c r="B93" i="41" s="1"/>
  <c r="C93" i="37"/>
  <c r="C93" i="41" s="1"/>
  <c r="F93" i="37"/>
  <c r="F93" i="41" s="1"/>
  <c r="A94" i="37"/>
  <c r="D94" i="37"/>
  <c r="D94" i="41" s="1"/>
  <c r="B94" i="37"/>
  <c r="B94" i="41" s="1"/>
  <c r="C94" i="37"/>
  <c r="C94" i="41" s="1"/>
  <c r="F94" i="37"/>
  <c r="F94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F120" i="37"/>
  <c r="F120" i="41" s="1"/>
  <c r="A121" i="37"/>
  <c r="D121" i="37"/>
  <c r="D121" i="41" s="1"/>
  <c r="B121" i="37"/>
  <c r="B121" i="41" s="1"/>
  <c r="F121" i="37"/>
  <c r="F121" i="41" s="1"/>
  <c r="A122" i="37"/>
  <c r="D122" i="37"/>
  <c r="D122" i="41" s="1"/>
  <c r="B122" i="37"/>
  <c r="B122" i="41" s="1"/>
  <c r="F122" i="37"/>
  <c r="F122" i="41" s="1"/>
  <c r="A123" i="37"/>
  <c r="D123" i="37"/>
  <c r="D123" i="41" s="1"/>
  <c r="B123" i="37"/>
  <c r="B123" i="41" s="1"/>
  <c r="F123" i="37"/>
  <c r="F123" i="41" s="1"/>
  <c r="A124" i="37"/>
  <c r="D124" i="37"/>
  <c r="D124" i="41" s="1"/>
  <c r="B124" i="37"/>
  <c r="B124" i="41" s="1"/>
  <c r="F124" i="37"/>
  <c r="F124" i="41" s="1"/>
  <c r="A125" i="37"/>
  <c r="D125" i="37"/>
  <c r="D125" i="41" s="1"/>
  <c r="B125" i="37"/>
  <c r="B125" i="41" s="1"/>
  <c r="F125" i="37"/>
  <c r="F125" i="41" s="1"/>
  <c r="A126" i="37"/>
  <c r="D126" i="37"/>
  <c r="D126" i="41" s="1"/>
  <c r="B126" i="37"/>
  <c r="B126" i="41" s="1"/>
  <c r="F126" i="37"/>
  <c r="F126" i="41" s="1"/>
  <c r="A127" i="37"/>
  <c r="D127" i="37"/>
  <c r="D127" i="41" s="1"/>
  <c r="B127" i="37"/>
  <c r="B127" i="41" s="1"/>
  <c r="F127" i="37"/>
  <c r="F127" i="41" s="1"/>
  <c r="A128" i="37"/>
  <c r="D128" i="37"/>
  <c r="D128" i="41" s="1"/>
  <c r="B128" i="37"/>
  <c r="B128" i="41" s="1"/>
  <c r="F128" i="37"/>
  <c r="F128" i="41" s="1"/>
  <c r="A129" i="37"/>
  <c r="D129" i="37"/>
  <c r="D129" i="41" s="1"/>
  <c r="B129" i="37"/>
  <c r="B129" i="41" s="1"/>
  <c r="F129" i="37"/>
  <c r="F129" i="41" s="1"/>
  <c r="A130" i="37"/>
  <c r="D130" i="37"/>
  <c r="D130" i="41" s="1"/>
  <c r="B130" i="37"/>
  <c r="B130" i="41" s="1"/>
  <c r="F130" i="37"/>
  <c r="F130" i="41" s="1"/>
  <c r="A131" i="37"/>
  <c r="D131" i="37"/>
  <c r="D131" i="41" s="1"/>
  <c r="B131" i="37"/>
  <c r="B131" i="41" s="1"/>
  <c r="F131" i="37"/>
  <c r="F131" i="41" s="1"/>
  <c r="A132" i="37"/>
  <c r="D132" i="37"/>
  <c r="D132" i="41" s="1"/>
  <c r="B132" i="37"/>
  <c r="B132" i="41" s="1"/>
  <c r="F132" i="37"/>
  <c r="F132" i="41" s="1"/>
  <c r="A133" i="37"/>
  <c r="D133" i="37"/>
  <c r="D133" i="41" s="1"/>
  <c r="B133" i="37"/>
  <c r="B133" i="41" s="1"/>
  <c r="F133" i="37"/>
  <c r="F133" i="41" s="1"/>
  <c r="A134" i="37"/>
  <c r="D134" i="37"/>
  <c r="D134" i="41" s="1"/>
  <c r="B134" i="37"/>
  <c r="B134" i="41" s="1"/>
  <c r="F134" i="37"/>
  <c r="F134" i="41" s="1"/>
  <c r="A135" i="37"/>
  <c r="D135" i="37"/>
  <c r="D135" i="41" s="1"/>
  <c r="B135" i="37"/>
  <c r="B135" i="41" s="1"/>
  <c r="F135" i="37"/>
  <c r="F135" i="41" s="1"/>
  <c r="A136" i="37"/>
  <c r="D136" i="37"/>
  <c r="D136" i="41" s="1"/>
  <c r="B136" i="37"/>
  <c r="B136" i="41" s="1"/>
  <c r="F136" i="37"/>
  <c r="F136" i="41" s="1"/>
  <c r="A137" i="37"/>
  <c r="D137" i="37"/>
  <c r="D137" i="41" s="1"/>
  <c r="B137" i="37"/>
  <c r="B137" i="41" s="1"/>
  <c r="F137" i="37"/>
  <c r="F137" i="41" s="1"/>
  <c r="A138" i="37"/>
  <c r="D138" i="37"/>
  <c r="D138" i="41" s="1"/>
  <c r="B138" i="37"/>
  <c r="B138" i="41" s="1"/>
  <c r="F138" i="37"/>
  <c r="F138" i="41" s="1"/>
  <c r="A139" i="37"/>
  <c r="D139" i="37"/>
  <c r="D139" i="41" s="1"/>
  <c r="B139" i="37"/>
  <c r="B139" i="41" s="1"/>
  <c r="F139" i="37"/>
  <c r="F139" i="41" s="1"/>
  <c r="A140" i="37"/>
  <c r="D140" i="37"/>
  <c r="D140" i="41" s="1"/>
  <c r="B140" i="37"/>
  <c r="B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C162" i="37"/>
  <c r="C162" i="41" s="1"/>
  <c r="F162" i="37"/>
  <c r="F162" i="41" s="1"/>
  <c r="A163" i="37"/>
  <c r="D163" i="37"/>
  <c r="D163" i="41" s="1"/>
  <c r="B163" i="37"/>
  <c r="B163" i="41" s="1"/>
  <c r="C163" i="37"/>
  <c r="C163" i="41" s="1"/>
  <c r="F163" i="37"/>
  <c r="F163" i="41" s="1"/>
  <c r="A164" i="37"/>
  <c r="D164" i="37"/>
  <c r="D164" i="41" s="1"/>
  <c r="B164" i="37"/>
  <c r="B164" i="41" s="1"/>
  <c r="C164" i="37"/>
  <c r="C164" i="41" s="1"/>
  <c r="F164" i="37"/>
  <c r="F164" i="41" s="1"/>
  <c r="A165" i="37"/>
  <c r="D165" i="37"/>
  <c r="D165" i="41" s="1"/>
  <c r="B165" i="37"/>
  <c r="B165" i="41" s="1"/>
  <c r="C165" i="37"/>
  <c r="C165" i="41" s="1"/>
  <c r="F165" i="37"/>
  <c r="F165" i="41" s="1"/>
  <c r="A166" i="37"/>
  <c r="D166" i="37"/>
  <c r="D166" i="41" s="1"/>
  <c r="B166" i="37"/>
  <c r="B166" i="41" s="1"/>
  <c r="C166" i="37"/>
  <c r="C166" i="41" s="1"/>
  <c r="F166" i="37"/>
  <c r="F166" i="41" s="1"/>
  <c r="A167" i="37"/>
  <c r="D167" i="37"/>
  <c r="D167" i="41" s="1"/>
  <c r="B167" i="37"/>
  <c r="B167" i="41" s="1"/>
  <c r="C167" i="37"/>
  <c r="C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F183" i="37"/>
  <c r="F183" i="41" s="1"/>
  <c r="A184" i="37"/>
  <c r="D184" i="37"/>
  <c r="D184" i="41" s="1"/>
  <c r="B184" i="37"/>
  <c r="B184" i="41" s="1"/>
  <c r="F184" i="37"/>
  <c r="F184" i="41" s="1"/>
  <c r="A185" i="37"/>
  <c r="D185" i="37"/>
  <c r="D185" i="41" s="1"/>
  <c r="B185" i="37"/>
  <c r="B185" i="41" s="1"/>
  <c r="F185" i="37"/>
  <c r="F185" i="41" s="1"/>
  <c r="A186" i="37"/>
  <c r="D186" i="37"/>
  <c r="D186" i="41" s="1"/>
  <c r="B186" i="37"/>
  <c r="B186" i="41" s="1"/>
  <c r="F186" i="37"/>
  <c r="F186" i="41" s="1"/>
  <c r="A187" i="37"/>
  <c r="D187" i="37"/>
  <c r="D187" i="41" s="1"/>
  <c r="B187" i="37"/>
  <c r="B187" i="41" s="1"/>
  <c r="F187" i="37"/>
  <c r="F187" i="41" s="1"/>
  <c r="A188" i="37"/>
  <c r="D188" i="37"/>
  <c r="D188" i="41" s="1"/>
  <c r="B188" i="37"/>
  <c r="B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D403" i="37"/>
  <c r="D403" i="41" s="1"/>
  <c r="F402" i="37"/>
  <c r="F402" i="41" s="1"/>
  <c r="C403" i="37"/>
  <c r="C403" i="41" s="1"/>
  <c r="A404" i="37"/>
  <c r="D404" i="37"/>
  <c r="D404" i="41" s="1"/>
  <c r="C404" i="37"/>
  <c r="C404" i="41" s="1"/>
  <c r="A405" i="37"/>
  <c r="D405" i="37"/>
  <c r="D405" i="41" s="1"/>
  <c r="C405" i="37"/>
  <c r="C405" i="41" s="1"/>
  <c r="A407" i="37"/>
  <c r="D407" i="37"/>
  <c r="D407" i="41" s="1"/>
  <c r="C407" i="37"/>
  <c r="C407" i="41" s="1"/>
  <c r="A408" i="37"/>
  <c r="D408" i="37"/>
  <c r="D408" i="41" s="1"/>
  <c r="C408" i="37"/>
  <c r="C408" i="41" s="1"/>
  <c r="A409" i="37"/>
  <c r="D409" i="37"/>
  <c r="D409" i="41" s="1"/>
  <c r="C409" i="37"/>
  <c r="C409" i="41" s="1"/>
  <c r="A410" i="37"/>
  <c r="D410" i="37"/>
  <c r="D410" i="41" s="1"/>
  <c r="C410" i="37"/>
  <c r="C410" i="41" s="1"/>
  <c r="A411" i="37"/>
  <c r="D411" i="37"/>
  <c r="D411" i="41" s="1"/>
  <c r="C411" i="37"/>
  <c r="C411" i="41" s="1"/>
  <c r="A412" i="37"/>
  <c r="D412" i="37"/>
  <c r="D412" i="41" s="1"/>
  <c r="C412" i="37"/>
  <c r="C412" i="41" s="1"/>
  <c r="A413" i="37"/>
  <c r="D413" i="37"/>
  <c r="D413" i="41" s="1"/>
  <c r="C413" i="37"/>
  <c r="C413" i="41" s="1"/>
  <c r="A414" i="37"/>
  <c r="D414" i="37"/>
  <c r="D414" i="41" s="1"/>
  <c r="C414" i="37"/>
  <c r="C414" i="41" s="1"/>
  <c r="A415" i="37"/>
  <c r="D415" i="37"/>
  <c r="D415" i="41" s="1"/>
  <c r="C415" i="37"/>
  <c r="C415" i="41" s="1"/>
  <c r="A416" i="37"/>
  <c r="D416" i="37"/>
  <c r="D416" i="41" s="1"/>
  <c r="C416" i="37"/>
  <c r="C416" i="41" s="1"/>
  <c r="A417" i="37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6" i="8" s="1"/>
  <c r="D460" i="37"/>
  <c r="D460" i="41" s="1"/>
  <c r="A10" i="8"/>
  <c r="A17" i="8" s="1"/>
  <c r="A472" i="37"/>
  <c r="A472" i="41" s="1"/>
  <c r="D472" i="37"/>
  <c r="D472" i="41" s="1"/>
  <c r="C472" i="37"/>
  <c r="C472" i="41" s="1"/>
  <c r="A11" i="8"/>
  <c r="C280" i="38" s="1"/>
  <c r="A12" i="8"/>
  <c r="C282" i="38" s="1"/>
  <c r="A13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6" i="38"/>
  <c r="D318" i="38"/>
  <c r="D319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50" i="26"/>
  <c r="E51" i="26"/>
  <c r="E52" i="26"/>
  <c r="E53" i="26"/>
  <c r="E54" i="26"/>
  <c r="B50" i="26"/>
  <c r="B51" i="26"/>
  <c r="H51" i="26" s="1"/>
  <c r="B52" i="26"/>
  <c r="B53" i="26"/>
  <c r="H53" i="26" s="1"/>
  <c r="B54" i="26"/>
  <c r="H54" i="26" s="1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C288" i="38" l="1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16" i="41"/>
  <c r="A412" i="41"/>
  <c r="A408" i="41"/>
  <c r="A165" i="41"/>
  <c r="A111" i="41"/>
  <c r="A99" i="41"/>
  <c r="A87" i="41"/>
  <c r="A75" i="41"/>
  <c r="A63" i="41"/>
  <c r="A51" i="41"/>
  <c r="A39" i="41"/>
  <c r="A27" i="41"/>
  <c r="A15" i="41"/>
  <c r="A3" i="41"/>
  <c r="H48" i="26"/>
  <c r="D299" i="38"/>
  <c r="B58" i="26"/>
  <c r="D287" i="38"/>
  <c r="A403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88" i="41"/>
  <c r="A185" i="41"/>
  <c r="A182" i="41"/>
  <c r="A179" i="41"/>
  <c r="A176" i="41"/>
  <c r="A173" i="41"/>
  <c r="A170" i="41"/>
  <c r="A118" i="41"/>
  <c r="A106" i="41"/>
  <c r="A94" i="41"/>
  <c r="A82" i="41"/>
  <c r="A70" i="41"/>
  <c r="A58" i="41"/>
  <c r="A46" i="41"/>
  <c r="A34" i="41"/>
  <c r="A22" i="41"/>
  <c r="A10" i="41"/>
  <c r="A167" i="41"/>
  <c r="A113" i="41"/>
  <c r="A101" i="41"/>
  <c r="A89" i="41"/>
  <c r="A77" i="41"/>
  <c r="A65" i="41"/>
  <c r="A53" i="41"/>
  <c r="A41" i="41"/>
  <c r="A29" i="41"/>
  <c r="A17" i="41"/>
  <c r="A7" i="41"/>
  <c r="A415" i="41"/>
  <c r="A411" i="41"/>
  <c r="A407" i="41"/>
  <c r="A162" i="41"/>
  <c r="A159" i="41"/>
  <c r="A156" i="41"/>
  <c r="A153" i="41"/>
  <c r="A150" i="41"/>
  <c r="A147" i="41"/>
  <c r="A144" i="41"/>
  <c r="A141" i="41"/>
  <c r="A138" i="41"/>
  <c r="A135" i="41"/>
  <c r="A132" i="41"/>
  <c r="A129" i="41"/>
  <c r="A126" i="41"/>
  <c r="A123" i="41"/>
  <c r="A120" i="41"/>
  <c r="A108" i="41"/>
  <c r="A96" i="41"/>
  <c r="A84" i="41"/>
  <c r="A72" i="41"/>
  <c r="A60" i="41"/>
  <c r="A48" i="41"/>
  <c r="A36" i="41"/>
  <c r="A24" i="41"/>
  <c r="A12" i="41"/>
  <c r="A115" i="41"/>
  <c r="A103" i="41"/>
  <c r="A91" i="41"/>
  <c r="A79" i="41"/>
  <c r="A67" i="41"/>
  <c r="A55" i="41"/>
  <c r="A43" i="41"/>
  <c r="A31" i="41"/>
  <c r="A19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7" i="41"/>
  <c r="A184" i="41"/>
  <c r="A181" i="41"/>
  <c r="A178" i="41"/>
  <c r="A175" i="41"/>
  <c r="A172" i="41"/>
  <c r="A169" i="41"/>
  <c r="A164" i="41"/>
  <c r="A110" i="41"/>
  <c r="A98" i="41"/>
  <c r="A86" i="41"/>
  <c r="A74" i="41"/>
  <c r="A62" i="41"/>
  <c r="A50" i="41"/>
  <c r="A38" i="41"/>
  <c r="A26" i="41"/>
  <c r="A14" i="41"/>
  <c r="A414" i="41"/>
  <c r="A410" i="41"/>
  <c r="A405" i="41"/>
  <c r="A117" i="41"/>
  <c r="A105" i="41"/>
  <c r="A93" i="41"/>
  <c r="A81" i="41"/>
  <c r="A69" i="41"/>
  <c r="A57" i="41"/>
  <c r="A45" i="41"/>
  <c r="A33" i="41"/>
  <c r="A21" i="41"/>
  <c r="A9" i="41"/>
  <c r="A5" i="41"/>
  <c r="A166" i="41"/>
  <c r="A161" i="41"/>
  <c r="A158" i="41"/>
  <c r="A155" i="41"/>
  <c r="A152" i="41"/>
  <c r="A149" i="41"/>
  <c r="A146" i="41"/>
  <c r="A143" i="41"/>
  <c r="A140" i="41"/>
  <c r="A137" i="41"/>
  <c r="A134" i="41"/>
  <c r="A131" i="41"/>
  <c r="A128" i="41"/>
  <c r="A125" i="41"/>
  <c r="A122" i="41"/>
  <c r="A112" i="41"/>
  <c r="A100" i="41"/>
  <c r="A88" i="41"/>
  <c r="A76" i="41"/>
  <c r="A64" i="41"/>
  <c r="A52" i="41"/>
  <c r="A40" i="41"/>
  <c r="A28" i="41"/>
  <c r="A16" i="41"/>
  <c r="J48" i="26"/>
  <c r="D335" i="38"/>
  <c r="D347" i="38"/>
  <c r="D58" i="26"/>
  <c r="A119" i="41"/>
  <c r="A107" i="41"/>
  <c r="A95" i="41"/>
  <c r="A83" i="41"/>
  <c r="A71" i="41"/>
  <c r="A59" i="41"/>
  <c r="A47" i="41"/>
  <c r="A35" i="41"/>
  <c r="A23" i="41"/>
  <c r="A11" i="41"/>
  <c r="H50" i="26"/>
  <c r="A417" i="41"/>
  <c r="A413" i="41"/>
  <c r="A409" i="41"/>
  <c r="A404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86" i="41"/>
  <c r="A183" i="41"/>
  <c r="A180" i="41"/>
  <c r="A177" i="41"/>
  <c r="A174" i="41"/>
  <c r="A171" i="41"/>
  <c r="A168" i="41"/>
  <c r="A114" i="41"/>
  <c r="A102" i="41"/>
  <c r="A90" i="41"/>
  <c r="A78" i="41"/>
  <c r="A66" i="41"/>
  <c r="A54" i="41"/>
  <c r="A42" i="41"/>
  <c r="A30" i="41"/>
  <c r="A18" i="41"/>
  <c r="A163" i="41"/>
  <c r="A109" i="41"/>
  <c r="A97" i="41"/>
  <c r="A85" i="41"/>
  <c r="A73" i="41"/>
  <c r="A61" i="41"/>
  <c r="A49" i="41"/>
  <c r="A37" i="41"/>
  <c r="A25" i="41"/>
  <c r="A13" i="41"/>
  <c r="A8" i="41"/>
  <c r="A160" i="41"/>
  <c r="A157" i="41"/>
  <c r="A154" i="41"/>
  <c r="A151" i="41"/>
  <c r="A148" i="41"/>
  <c r="A145" i="41"/>
  <c r="A142" i="41"/>
  <c r="A139" i="41"/>
  <c r="A136" i="41"/>
  <c r="A133" i="41"/>
  <c r="A130" i="41"/>
  <c r="A127" i="41"/>
  <c r="A124" i="41"/>
  <c r="A121" i="41"/>
  <c r="A116" i="41"/>
  <c r="A104" i="41"/>
  <c r="A92" i="41"/>
  <c r="A80" i="41"/>
  <c r="A68" i="41"/>
  <c r="A56" i="41"/>
  <c r="A44" i="41"/>
  <c r="A32" i="41"/>
  <c r="A20" i="41"/>
  <c r="C58" i="26"/>
  <c r="D311" i="38"/>
  <c r="D323" i="38"/>
  <c r="H52" i="26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37" i="66"/>
  <c r="O37" i="66" s="1"/>
  <c r="C169" i="66"/>
  <c r="C11" i="66"/>
  <c r="C23" i="66"/>
  <c r="O23" i="66" s="1"/>
  <c r="C35" i="66"/>
  <c r="C47" i="66"/>
  <c r="C155" i="66"/>
  <c r="C167" i="66"/>
  <c r="O167" i="66" s="1"/>
  <c r="C181" i="66"/>
  <c r="O181" i="66" s="1"/>
  <c r="U181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O148" i="66" s="1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C85" i="66"/>
  <c r="O85" i="66" s="1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C229" i="66"/>
  <c r="O229" i="66" s="1"/>
  <c r="U229" i="66" s="1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E17" i="34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7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C285" i="38" l="1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G33" i="26"/>
  <c r="H217" i="35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9" i="26"/>
  <c r="H213" i="35" s="1"/>
  <c r="G41" i="26"/>
  <c r="H225" i="35" s="1"/>
  <c r="G34" i="26"/>
  <c r="H218" i="35" s="1"/>
  <c r="D33" i="26"/>
  <c r="H196" i="35" s="1"/>
  <c r="D34" i="26"/>
  <c r="H197" i="35" s="1"/>
  <c r="D25" i="26"/>
  <c r="H188" i="35" s="1"/>
  <c r="D37" i="26"/>
  <c r="H200" i="35" s="1"/>
  <c r="D26" i="26"/>
  <c r="H189" i="35" s="1"/>
  <c r="D38" i="26"/>
  <c r="H201" i="35" s="1"/>
  <c r="D29" i="26"/>
  <c r="H192" i="35" s="1"/>
  <c r="D41" i="26"/>
  <c r="H204" i="35" s="1"/>
  <c r="D30" i="26"/>
  <c r="H193" i="35" s="1"/>
  <c r="D42" i="26"/>
  <c r="H205" i="35" s="1"/>
  <c r="E4" i="22"/>
  <c r="C22" i="26"/>
  <c r="D22" i="26" s="1"/>
  <c r="E22" i="26" s="1"/>
  <c r="G30" i="26"/>
  <c r="H214" i="35" s="1"/>
  <c r="G42" i="26"/>
  <c r="H226" i="35" s="1"/>
  <c r="G25" i="26"/>
  <c r="H209" i="35" s="1"/>
  <c r="G37" i="26"/>
  <c r="H221" i="35" s="1"/>
  <c r="G38" i="26"/>
  <c r="H222" i="35" s="1"/>
  <c r="G26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G22" i="26" s="1"/>
  <c r="H22" i="26" s="1"/>
  <c r="E49" i="22"/>
  <c r="G52" i="20"/>
  <c r="I7" i="17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E73" i="38" l="1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C220" i="38"/>
  <c r="E6" i="22"/>
  <c r="A22" i="53"/>
  <c r="C230" i="38"/>
  <c r="H185" i="35"/>
  <c r="C49" i="26"/>
  <c r="I10" i="41"/>
  <c r="C223" i="38"/>
  <c r="J10" i="41"/>
  <c r="H49" i="26" l="1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F49" i="26"/>
  <c r="I49" i="26" s="1"/>
  <c r="D49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E52" i="20"/>
  <c r="P27" i="18" s="1"/>
  <c r="P36" i="18"/>
  <c r="E51" i="20"/>
  <c r="P35" i="18"/>
  <c r="Z5" i="20" l="1"/>
  <c r="P28" i="18"/>
  <c r="P26" i="18"/>
  <c r="Z3" i="20"/>
  <c r="Z4" i="20"/>
  <c r="C265" i="38"/>
  <c r="C268" i="38"/>
  <c r="D10" i="53" s="1"/>
  <c r="A32" i="53"/>
  <c r="A36" i="53"/>
  <c r="C275" i="38"/>
  <c r="D11" i="53" l="1"/>
  <c r="D34" i="53"/>
  <c r="D9" i="53"/>
  <c r="D23" i="53"/>
  <c r="D22" i="53"/>
  <c r="D35" i="53"/>
  <c r="D33" i="53"/>
  <c r="D21" i="53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3" i="34" l="1"/>
  <c r="E4" i="34"/>
  <c r="E5" i="34"/>
  <c r="E6" i="34"/>
  <c r="E7" i="34"/>
  <c r="E8" i="34"/>
  <c r="E9" i="34"/>
  <c r="E10" i="34"/>
  <c r="E11" i="34"/>
  <c r="E12" i="34"/>
  <c r="E13" i="34"/>
  <c r="E16" i="34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16" i="37" l="1"/>
  <c r="H118" i="37"/>
  <c r="H114" i="37"/>
  <c r="H113" i="37"/>
  <c r="H112" i="37"/>
  <c r="H117" i="37"/>
  <c r="H115" i="37"/>
  <c r="H119" i="37"/>
  <c r="H85" i="37"/>
  <c r="H87" i="37"/>
  <c r="H82" i="37"/>
  <c r="H86" i="37"/>
  <c r="H83" i="37"/>
  <c r="H84" i="37"/>
  <c r="H81" i="37"/>
  <c r="H96" i="37"/>
  <c r="H100" i="37"/>
  <c r="H98" i="37"/>
  <c r="H97" i="37"/>
  <c r="H101" i="37"/>
  <c r="H99" i="37"/>
  <c r="H103" i="37"/>
  <c r="H102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04" i="37" l="1"/>
  <c r="H105" i="37"/>
  <c r="H107" i="37"/>
  <c r="H106" i="37"/>
  <c r="H110" i="37"/>
  <c r="H109" i="37"/>
  <c r="H111" i="37"/>
  <c r="H108" i="37"/>
  <c r="H94" i="37"/>
  <c r="H91" i="37"/>
  <c r="H88" i="37"/>
  <c r="H90" i="37"/>
  <c r="H95" i="37"/>
  <c r="H93" i="37"/>
  <c r="H89" i="37"/>
  <c r="H92" i="37"/>
  <c r="H79" i="37"/>
  <c r="H80" i="37"/>
  <c r="H78" i="37"/>
  <c r="H77" i="37"/>
  <c r="H74" i="37"/>
  <c r="H75" i="37"/>
  <c r="H76" i="37"/>
  <c r="I181" i="35"/>
  <c r="H181" i="35"/>
  <c r="I179" i="35"/>
  <c r="H179" i="35"/>
  <c r="I180" i="35"/>
  <c r="I182" i="35"/>
  <c r="J113" i="58" s="1"/>
  <c r="H182" i="35"/>
  <c r="I117" i="58" s="1"/>
  <c r="H180" i="35"/>
  <c r="I110" i="58" s="1"/>
  <c r="I178" i="35"/>
  <c r="J101" i="58" s="1"/>
  <c r="H178" i="35"/>
  <c r="H176" i="35"/>
  <c r="I94" i="58" s="1"/>
  <c r="I176" i="35"/>
  <c r="J93" i="58" s="1"/>
  <c r="H171" i="35"/>
  <c r="I173" i="35"/>
  <c r="H173" i="35"/>
  <c r="I171" i="35"/>
  <c r="I175" i="35"/>
  <c r="H175" i="35"/>
  <c r="I177" i="35"/>
  <c r="H177" i="35"/>
  <c r="I172" i="35"/>
  <c r="J78" i="58" s="1"/>
  <c r="H172" i="35"/>
  <c r="H174" i="35"/>
  <c r="I81" i="58" s="1"/>
  <c r="I174" i="35"/>
  <c r="J86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18" i="58"/>
  <c r="H93" i="58"/>
  <c r="I99" i="58"/>
  <c r="I102" i="58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C400" i="58"/>
  <c r="C400" i="37"/>
  <c r="C309" i="58"/>
  <c r="C309" i="37"/>
  <c r="C200" i="58"/>
  <c r="C200" i="37"/>
  <c r="I7" i="58"/>
  <c r="H117" i="58"/>
  <c r="H85" i="58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H115" i="58"/>
  <c r="H82" i="58"/>
  <c r="H114" i="58"/>
  <c r="I98" i="58"/>
  <c r="H86" i="58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58"/>
  <c r="H113" i="58"/>
  <c r="H81" i="58"/>
  <c r="H83" i="58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I3" i="58"/>
  <c r="H112" i="58"/>
  <c r="H80" i="58"/>
  <c r="I97" i="58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H110" i="58"/>
  <c r="H78" i="58"/>
  <c r="I80" i="58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H108" i="58"/>
  <c r="I96" i="58"/>
  <c r="I78" i="58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H101" i="58"/>
  <c r="J111" i="58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H96" i="58"/>
  <c r="I101" i="58"/>
  <c r="C321" i="58"/>
  <c r="C321" i="37"/>
  <c r="C211" i="58"/>
  <c r="C211" i="37"/>
  <c r="H9" i="58"/>
  <c r="H99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H98" i="58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H97" i="58"/>
  <c r="J108" i="58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J112" i="58" l="1"/>
  <c r="J114" i="58"/>
  <c r="J118" i="58"/>
  <c r="J117" i="58"/>
  <c r="I115" i="58"/>
  <c r="I112" i="58"/>
  <c r="I113" i="58"/>
  <c r="I116" i="58"/>
  <c r="I118" i="58"/>
  <c r="J96" i="58"/>
  <c r="J99" i="58"/>
  <c r="J98" i="58"/>
  <c r="J97" i="58"/>
  <c r="J79" i="58"/>
  <c r="J80" i="58"/>
  <c r="J85" i="58"/>
  <c r="E277" i="38" s="1"/>
  <c r="I77" i="37"/>
  <c r="I76" i="37"/>
  <c r="I74" i="37"/>
  <c r="I75" i="37"/>
  <c r="I80" i="37"/>
  <c r="I80" i="41" s="1"/>
  <c r="I78" i="37"/>
  <c r="I79" i="37"/>
  <c r="J118" i="37"/>
  <c r="J118" i="41" s="1"/>
  <c r="J115" i="37"/>
  <c r="J117" i="37"/>
  <c r="J119" i="37"/>
  <c r="J112" i="37"/>
  <c r="J114" i="37"/>
  <c r="J113" i="37"/>
  <c r="J113" i="41" s="1"/>
  <c r="J116" i="37"/>
  <c r="H412" i="37"/>
  <c r="H415" i="37"/>
  <c r="H414" i="37"/>
  <c r="H413" i="37"/>
  <c r="H407" i="37"/>
  <c r="H406" i="37"/>
  <c r="H404" i="37"/>
  <c r="H405" i="37"/>
  <c r="H408" i="37"/>
  <c r="H411" i="37"/>
  <c r="H410" i="37"/>
  <c r="H409" i="37"/>
  <c r="I99" i="37"/>
  <c r="I99" i="41" s="1"/>
  <c r="I97" i="37"/>
  <c r="I97" i="41" s="1"/>
  <c r="I103" i="37"/>
  <c r="I101" i="37"/>
  <c r="I101" i="41" s="1"/>
  <c r="I100" i="37"/>
  <c r="I96" i="37"/>
  <c r="I96" i="41" s="1"/>
  <c r="I102" i="37"/>
  <c r="I102" i="41" s="1"/>
  <c r="I98" i="37"/>
  <c r="I98" i="41" s="1"/>
  <c r="J99" i="37"/>
  <c r="J99" i="41" s="1"/>
  <c r="J103" i="37"/>
  <c r="J101" i="37"/>
  <c r="J101" i="41" s="1"/>
  <c r="J98" i="37"/>
  <c r="J102" i="37"/>
  <c r="J100" i="37"/>
  <c r="J96" i="37"/>
  <c r="J97" i="37"/>
  <c r="I92" i="37"/>
  <c r="I90" i="37"/>
  <c r="I93" i="37"/>
  <c r="I88" i="37"/>
  <c r="I91" i="37"/>
  <c r="I89" i="37"/>
  <c r="I94" i="37"/>
  <c r="I94" i="41" s="1"/>
  <c r="I95" i="37"/>
  <c r="J91" i="37"/>
  <c r="J90" i="37"/>
  <c r="J89" i="37"/>
  <c r="J92" i="37"/>
  <c r="J94" i="37"/>
  <c r="J93" i="37"/>
  <c r="J93" i="41" s="1"/>
  <c r="J88" i="37"/>
  <c r="J95" i="37"/>
  <c r="J75" i="37"/>
  <c r="J74" i="37"/>
  <c r="J79" i="37"/>
  <c r="J79" i="41" s="1"/>
  <c r="J76" i="37"/>
  <c r="J78" i="37"/>
  <c r="J78" i="41" s="1"/>
  <c r="J77" i="37"/>
  <c r="J80" i="37"/>
  <c r="I107" i="37"/>
  <c r="I109" i="37"/>
  <c r="I106" i="37"/>
  <c r="I110" i="37"/>
  <c r="I110" i="41" s="1"/>
  <c r="I111" i="37"/>
  <c r="I108" i="37"/>
  <c r="I105" i="37"/>
  <c r="I104" i="37"/>
  <c r="I84" i="37"/>
  <c r="I82" i="37"/>
  <c r="I86" i="37"/>
  <c r="I83" i="37"/>
  <c r="I85" i="37"/>
  <c r="I87" i="37"/>
  <c r="I81" i="37"/>
  <c r="I81" i="41" s="1"/>
  <c r="J110" i="37"/>
  <c r="J109" i="37"/>
  <c r="J109" i="41" s="1"/>
  <c r="J105" i="37"/>
  <c r="J108" i="37"/>
  <c r="J108" i="41" s="1"/>
  <c r="J107" i="37"/>
  <c r="J104" i="37"/>
  <c r="J111" i="37"/>
  <c r="J111" i="41" s="1"/>
  <c r="J106" i="37"/>
  <c r="J82" i="37"/>
  <c r="J86" i="37"/>
  <c r="J86" i="41" s="1"/>
  <c r="J85" i="37"/>
  <c r="J81" i="37"/>
  <c r="J84" i="37"/>
  <c r="J83" i="37"/>
  <c r="J87" i="37"/>
  <c r="I113" i="37"/>
  <c r="I112" i="37"/>
  <c r="I119" i="37"/>
  <c r="I114" i="37"/>
  <c r="I117" i="37"/>
  <c r="I117" i="41" s="1"/>
  <c r="I116" i="37"/>
  <c r="I115" i="37"/>
  <c r="I118" i="37"/>
  <c r="H416" i="37"/>
  <c r="H417" i="37"/>
  <c r="I82" i="58"/>
  <c r="I85" i="58"/>
  <c r="I93" i="58"/>
  <c r="J81" i="58"/>
  <c r="J83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86" i="41"/>
  <c r="H114" i="41"/>
  <c r="H82" i="41"/>
  <c r="H115" i="41"/>
  <c r="H117" i="41"/>
  <c r="H109" i="41"/>
  <c r="H98" i="41"/>
  <c r="H110" i="41"/>
  <c r="H113" i="41"/>
  <c r="H108" i="41"/>
  <c r="H80" i="41"/>
  <c r="I111" i="58"/>
  <c r="H111" i="58"/>
  <c r="C211" i="41"/>
  <c r="C321" i="41"/>
  <c r="H96" i="41"/>
  <c r="H119" i="58"/>
  <c r="J110" i="58"/>
  <c r="J82" i="58"/>
  <c r="H95" i="58"/>
  <c r="H94" i="58"/>
  <c r="J119" i="58"/>
  <c r="J115" i="58"/>
  <c r="I119" i="58"/>
  <c r="H74" i="58"/>
  <c r="I79" i="58"/>
  <c r="I74" i="58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58"/>
  <c r="I83" i="58"/>
  <c r="J74" i="58"/>
  <c r="C178" i="41"/>
  <c r="C212" i="41"/>
  <c r="C277" i="41"/>
  <c r="C322" i="41"/>
  <c r="H97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58"/>
  <c r="I108" i="58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H99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58"/>
  <c r="J102" i="58"/>
  <c r="J87" i="58"/>
  <c r="I86" i="58"/>
  <c r="J116" i="58"/>
  <c r="H87" i="58"/>
  <c r="I109" i="58"/>
  <c r="H116" i="58"/>
  <c r="J95" i="58"/>
  <c r="H102" i="58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C121" i="41"/>
  <c r="C136" i="41"/>
  <c r="C159" i="41"/>
  <c r="C173" i="41"/>
  <c r="C185" i="41"/>
  <c r="C196" i="41"/>
  <c r="C272" i="41"/>
  <c r="C295" i="41"/>
  <c r="C396" i="41"/>
  <c r="H118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H101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H83" i="41"/>
  <c r="H81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I82" i="41" l="1"/>
  <c r="J80" i="41"/>
  <c r="J117" i="41"/>
  <c r="I113" i="41"/>
  <c r="J112" i="41"/>
  <c r="I116" i="41"/>
  <c r="J114" i="41"/>
  <c r="I115" i="41"/>
  <c r="I112" i="41"/>
  <c r="J96" i="41"/>
  <c r="J97" i="41"/>
  <c r="I118" i="41"/>
  <c r="J98" i="41"/>
  <c r="J85" i="41"/>
  <c r="I85" i="41"/>
  <c r="J81" i="41"/>
  <c r="J83" i="41"/>
  <c r="I93" i="41"/>
  <c r="I416" i="37"/>
  <c r="I417" i="37"/>
  <c r="J408" i="37"/>
  <c r="J411" i="37"/>
  <c r="J409" i="37"/>
  <c r="J410" i="37"/>
  <c r="J412" i="37"/>
  <c r="J415" i="37"/>
  <c r="J414" i="37"/>
  <c r="J413" i="37"/>
  <c r="J416" i="37"/>
  <c r="J417" i="37"/>
  <c r="I408" i="37"/>
  <c r="I411" i="37"/>
  <c r="I409" i="37"/>
  <c r="I410" i="37"/>
  <c r="I407" i="37"/>
  <c r="I406" i="37"/>
  <c r="I405" i="37"/>
  <c r="I404" i="37"/>
  <c r="I412" i="37"/>
  <c r="I415" i="37"/>
  <c r="I414" i="37"/>
  <c r="I413" i="37"/>
  <c r="J407" i="37"/>
  <c r="J405" i="37"/>
  <c r="J406" i="37"/>
  <c r="J404" i="37"/>
  <c r="I111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58"/>
  <c r="C39" i="63" s="1"/>
  <c r="J271" i="66"/>
  <c r="J107" i="58"/>
  <c r="F243" i="66" s="1"/>
  <c r="N243" i="66" s="1"/>
  <c r="J77" i="58"/>
  <c r="J103" i="58"/>
  <c r="H77" i="58"/>
  <c r="I77" i="58"/>
  <c r="I107" i="58"/>
  <c r="F195" i="66" s="1"/>
  <c r="N195" i="66" s="1"/>
  <c r="H76" i="58"/>
  <c r="H103" i="58"/>
  <c r="C30" i="63" s="1"/>
  <c r="H105" i="58"/>
  <c r="H455" i="58" s="1"/>
  <c r="H455" i="37"/>
  <c r="J76" i="58"/>
  <c r="J453" i="37"/>
  <c r="J75" i="58"/>
  <c r="J453" i="58" s="1"/>
  <c r="I76" i="58"/>
  <c r="I455" i="37"/>
  <c r="I105" i="58"/>
  <c r="I455" i="58" s="1"/>
  <c r="I75" i="58"/>
  <c r="I453" i="58" s="1"/>
  <c r="I453" i="37"/>
  <c r="J455" i="37"/>
  <c r="J105" i="58"/>
  <c r="J455" i="58" s="1"/>
  <c r="H107" i="58"/>
  <c r="F147" i="66" s="1"/>
  <c r="N147" i="66" s="1"/>
  <c r="H75" i="58"/>
  <c r="P79" i="66"/>
  <c r="S79" i="66"/>
  <c r="S143" i="66"/>
  <c r="P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74" i="41"/>
  <c r="I79" i="41"/>
  <c r="H111" i="41"/>
  <c r="I410" i="58"/>
  <c r="I411" i="58"/>
  <c r="I409" i="58"/>
  <c r="I408" i="58"/>
  <c r="F238" i="66" s="1"/>
  <c r="N238" i="66" s="1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S95" i="66"/>
  <c r="J74" i="41"/>
  <c r="S223" i="66" l="1"/>
  <c r="M6" i="41"/>
  <c r="N6" i="41"/>
  <c r="J239" i="66"/>
  <c r="I409" i="41"/>
  <c r="H106" i="58"/>
  <c r="J88" i="58"/>
  <c r="J91" i="58"/>
  <c r="J106" i="58"/>
  <c r="H84" i="58"/>
  <c r="J104" i="58"/>
  <c r="J84" i="58"/>
  <c r="H410" i="41"/>
  <c r="P127" i="66"/>
  <c r="S127" i="66"/>
  <c r="H411" i="41"/>
  <c r="I454" i="37"/>
  <c r="I89" i="58"/>
  <c r="I454" i="58" s="1"/>
  <c r="I410" i="41"/>
  <c r="K41" i="39"/>
  <c r="E139" i="38" s="1"/>
  <c r="F155" i="66"/>
  <c r="E370" i="38"/>
  <c r="K155" i="66" s="1"/>
  <c r="I104" i="58"/>
  <c r="I408" i="41"/>
  <c r="F94" i="66"/>
  <c r="N94" i="66" s="1"/>
  <c r="J92" i="58"/>
  <c r="J89" i="58"/>
  <c r="J454" i="58" s="1"/>
  <c r="J454" i="37"/>
  <c r="H92" i="58"/>
  <c r="I90" i="58"/>
  <c r="J409" i="41"/>
  <c r="H104" i="58"/>
  <c r="H89" i="58"/>
  <c r="I411" i="41"/>
  <c r="H90" i="58"/>
  <c r="F142" i="66"/>
  <c r="N142" i="66" s="1"/>
  <c r="J408" i="41"/>
  <c r="S47" i="66"/>
  <c r="P47" i="66"/>
  <c r="R47" i="66"/>
  <c r="H75" i="41"/>
  <c r="F45" i="66"/>
  <c r="J76" i="41"/>
  <c r="H88" i="58"/>
  <c r="I91" i="58"/>
  <c r="J411" i="41"/>
  <c r="F189" i="66"/>
  <c r="I92" i="58"/>
  <c r="J90" i="58"/>
  <c r="I88" i="58"/>
  <c r="H91" i="58"/>
  <c r="J410" i="41"/>
  <c r="J175" i="66"/>
  <c r="I75" i="41"/>
  <c r="D12" i="39" s="1"/>
  <c r="F93" i="66"/>
  <c r="D39" i="39"/>
  <c r="E103" i="38" s="1"/>
  <c r="R191" i="66"/>
  <c r="P191" i="66"/>
  <c r="S191" i="66"/>
  <c r="F237" i="66"/>
  <c r="L39" i="39"/>
  <c r="E154" i="38" s="1"/>
  <c r="I106" i="58"/>
  <c r="I84" i="58"/>
  <c r="F46" i="66"/>
  <c r="N46" i="66" s="1"/>
  <c r="H408" i="41"/>
  <c r="R31" i="66"/>
  <c r="P31" i="66"/>
  <c r="S31" i="66"/>
  <c r="P287" i="66"/>
  <c r="S287" i="66"/>
  <c r="C48" i="63"/>
  <c r="H77" i="41"/>
  <c r="J103" i="41"/>
  <c r="O5" i="41" s="1"/>
  <c r="C21" i="63"/>
  <c r="J77" i="41"/>
  <c r="S271" i="66"/>
  <c r="P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90" i="41"/>
  <c r="H84" i="41"/>
  <c r="J106" i="41"/>
  <c r="P239" i="66"/>
  <c r="S239" i="66"/>
  <c r="I84" i="41"/>
  <c r="I106" i="41"/>
  <c r="H90" i="41"/>
  <c r="T191" i="66"/>
  <c r="J90" i="41"/>
  <c r="I92" i="41"/>
  <c r="J92" i="41"/>
  <c r="I100" i="58"/>
  <c r="O14" i="39"/>
  <c r="P14" i="39"/>
  <c r="Q14" i="39" s="1"/>
  <c r="M40" i="39"/>
  <c r="E172" i="38" s="1"/>
  <c r="F267" i="66"/>
  <c r="I104" i="41"/>
  <c r="T31" i="66"/>
  <c r="H405" i="58"/>
  <c r="F181" i="66"/>
  <c r="N181" i="66" s="1"/>
  <c r="H406" i="58"/>
  <c r="H407" i="58"/>
  <c r="F172" i="66" s="1"/>
  <c r="I88" i="41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11" i="66"/>
  <c r="Y51" i="66"/>
  <c r="Y195" i="66"/>
  <c r="Z51" i="66"/>
  <c r="Z195" i="66"/>
  <c r="J251" i="66"/>
  <c r="F37" i="66"/>
  <c r="N37" i="66" s="1"/>
  <c r="H91" i="41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37" i="37"/>
  <c r="J141" i="66"/>
  <c r="J203" i="66"/>
  <c r="T47" i="66"/>
  <c r="F133" i="66"/>
  <c r="N133" i="66" s="1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I437" i="37"/>
  <c r="J93" i="66"/>
  <c r="I91" i="41"/>
  <c r="F85" i="66"/>
  <c r="N85" i="66" s="1"/>
  <c r="H88" i="41"/>
  <c r="E43" i="39"/>
  <c r="E126" i="38" s="1"/>
  <c r="H89" i="41"/>
  <c r="B4" i="39" s="1"/>
  <c r="H454" i="5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104" i="41"/>
  <c r="H455" i="41"/>
  <c r="E352" i="38"/>
  <c r="K11" i="66" s="1"/>
  <c r="J59" i="66"/>
  <c r="I437" i="58"/>
  <c r="J237" i="66"/>
  <c r="J100" i="58"/>
  <c r="R175" i="66"/>
  <c r="S175" i="66"/>
  <c r="P175" i="66"/>
  <c r="H453" i="58" l="1"/>
  <c r="H453" i="37"/>
  <c r="E350" i="38" s="1"/>
  <c r="H454" i="37"/>
  <c r="E351" i="38" s="1"/>
  <c r="C12" i="39"/>
  <c r="P12" i="39" s="1"/>
  <c r="K40" i="39"/>
  <c r="E138" i="38" s="1"/>
  <c r="H439" i="58" s="1"/>
  <c r="E16" i="39"/>
  <c r="J249" i="66"/>
  <c r="J201" i="66"/>
  <c r="D16" i="39"/>
  <c r="B7" i="39"/>
  <c r="H456" i="37" s="1"/>
  <c r="H406" i="41"/>
  <c r="T175" i="66"/>
  <c r="J100" i="41"/>
  <c r="I406" i="41"/>
  <c r="J417" i="41"/>
  <c r="J414" i="41"/>
  <c r="F139" i="66"/>
  <c r="I439" i="37"/>
  <c r="C18" i="63" s="1"/>
  <c r="J75" i="66"/>
  <c r="P59" i="66"/>
  <c r="S59" i="66"/>
  <c r="J439" i="37"/>
  <c r="C27" i="63" s="1"/>
  <c r="J123" i="66"/>
  <c r="H412" i="41"/>
  <c r="F32" i="66"/>
  <c r="N32" i="66" s="1"/>
  <c r="S251" i="66"/>
  <c r="P251" i="66"/>
  <c r="I414" i="41"/>
  <c r="F91" i="66"/>
  <c r="Z277" i="66"/>
  <c r="Y277" i="66"/>
  <c r="Z133" i="66"/>
  <c r="S203" i="66"/>
  <c r="P203" i="66"/>
  <c r="I405" i="41"/>
  <c r="D15" i="39" s="1"/>
  <c r="D42" i="39"/>
  <c r="E106" i="38" s="1"/>
  <c r="F92" i="66"/>
  <c r="Y133" i="66"/>
  <c r="I415" i="41"/>
  <c r="F90" i="66"/>
  <c r="N90" i="66" s="1"/>
  <c r="P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L42" i="39"/>
  <c r="E157" i="38" s="1"/>
  <c r="C13" i="39"/>
  <c r="E369" i="38"/>
  <c r="K171" i="66" s="1"/>
  <c r="I437" i="41"/>
  <c r="R155" i="66"/>
  <c r="S155" i="66"/>
  <c r="P155" i="66"/>
  <c r="H100" i="41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E368" i="38"/>
  <c r="K189" i="66" s="1"/>
  <c r="K39" i="39"/>
  <c r="E137" i="38" s="1"/>
  <c r="J413" i="41"/>
  <c r="S285" i="66"/>
  <c r="P285" i="66"/>
  <c r="P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H415" i="41"/>
  <c r="F42" i="66"/>
  <c r="N42" i="66" s="1"/>
  <c r="S141" i="66"/>
  <c r="P141" i="66"/>
  <c r="S107" i="66"/>
  <c r="P107" i="66"/>
  <c r="J405" i="41"/>
  <c r="E15" i="39" s="1"/>
  <c r="F140" i="66"/>
  <c r="E42" i="39"/>
  <c r="E123" i="38" s="1"/>
  <c r="J437" i="41"/>
  <c r="I413" i="41"/>
  <c r="F284" i="66"/>
  <c r="M42" i="39"/>
  <c r="E174" i="38" s="1"/>
  <c r="O12" i="39" l="1"/>
  <c r="H438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S201" i="66"/>
  <c r="P201" i="66"/>
  <c r="I439" i="41"/>
  <c r="AB3" i="39"/>
  <c r="T11" i="66"/>
  <c r="C45" i="63"/>
  <c r="T155" i="66"/>
  <c r="J284" i="66"/>
  <c r="N284" i="66" s="1"/>
  <c r="K27" i="66"/>
  <c r="H454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39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39" i="37"/>
  <c r="J27" i="66"/>
  <c r="J92" i="66"/>
  <c r="N92" i="66" s="1"/>
  <c r="J236" i="66"/>
  <c r="N236" i="66" s="1"/>
  <c r="Z282" i="66"/>
  <c r="Z138" i="66"/>
  <c r="Y138" i="66"/>
  <c r="Y282" i="66"/>
  <c r="J189" i="66"/>
  <c r="H437" i="58"/>
  <c r="J140" i="66"/>
  <c r="N140" i="66" s="1"/>
  <c r="S105" i="66"/>
  <c r="P105" i="66"/>
  <c r="E353" i="38"/>
  <c r="K9" i="66" s="1"/>
  <c r="K45" i="66"/>
  <c r="H453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37" i="37"/>
  <c r="P171" i="66" l="1"/>
  <c r="S171" i="66"/>
  <c r="T171" i="66" s="1"/>
  <c r="G15" i="39"/>
  <c r="F15" i="39"/>
  <c r="J153" i="66"/>
  <c r="R153" i="66" s="1"/>
  <c r="P16" i="39"/>
  <c r="Q16" i="39" s="1"/>
  <c r="H456" i="41"/>
  <c r="H437" i="41"/>
  <c r="C36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9" i="63"/>
  <c r="H439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P13" i="9" s="1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D24" i="26"/>
  <c r="D32" i="26"/>
  <c r="D36" i="26"/>
  <c r="D40" i="26"/>
  <c r="D39" i="26"/>
  <c r="D31" i="26"/>
  <c r="D35" i="26"/>
  <c r="E19" i="22"/>
  <c r="D27" i="26"/>
  <c r="M7" i="9"/>
  <c r="D23" i="26"/>
  <c r="D28" i="26"/>
  <c r="H40" i="26"/>
  <c r="I224" i="35" s="1"/>
  <c r="H27" i="26"/>
  <c r="H31" i="26"/>
  <c r="H28" i="26"/>
  <c r="I212" i="35" s="1"/>
  <c r="H32" i="26"/>
  <c r="I216" i="35" s="1"/>
  <c r="H36" i="26"/>
  <c r="I220" i="35" s="1"/>
  <c r="H24" i="26"/>
  <c r="I208" i="35" s="1"/>
  <c r="H35" i="26"/>
  <c r="H23" i="26"/>
  <c r="H39" i="26"/>
  <c r="E79" i="22"/>
  <c r="G40" i="26"/>
  <c r="G28" i="26"/>
  <c r="G32" i="26"/>
  <c r="G31" i="26"/>
  <c r="G27" i="26"/>
  <c r="G23" i="26"/>
  <c r="G24" i="26"/>
  <c r="E64" i="22"/>
  <c r="G35" i="26"/>
  <c r="G36" i="26"/>
  <c r="G39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E31" i="26" l="1"/>
  <c r="R7" i="9"/>
  <c r="E32" i="22"/>
  <c r="E35" i="26"/>
  <c r="I198" i="35" s="1"/>
  <c r="R40" i="9"/>
  <c r="E39" i="26"/>
  <c r="E23" i="26"/>
  <c r="O40" i="9"/>
  <c r="O30" i="9"/>
  <c r="E36" i="26"/>
  <c r="I199" i="35" s="1"/>
  <c r="E39" i="22"/>
  <c r="P9" i="9"/>
  <c r="K42" i="39"/>
  <c r="E140" i="38" s="1"/>
  <c r="C42" i="39"/>
  <c r="E89" i="38" s="1"/>
  <c r="P15" i="39"/>
  <c r="O15" i="39"/>
  <c r="Q7" i="9"/>
  <c r="E40" i="26"/>
  <c r="I203" i="35" s="1"/>
  <c r="E24" i="26"/>
  <c r="I187" i="35" s="1"/>
  <c r="E28" i="26"/>
  <c r="I191" i="35" s="1"/>
  <c r="E27" i="26"/>
  <c r="I190" i="35" s="1"/>
  <c r="E32" i="26"/>
  <c r="I195" i="35" s="1"/>
  <c r="R30" i="9"/>
  <c r="N30" i="9"/>
  <c r="K10" i="9"/>
  <c r="H25" i="26"/>
  <c r="I209" i="35" s="1"/>
  <c r="H207" i="35"/>
  <c r="F50" i="26"/>
  <c r="I207" i="35"/>
  <c r="E41" i="26"/>
  <c r="I204" i="35" s="1"/>
  <c r="H202" i="35"/>
  <c r="C54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9" i="26"/>
  <c r="I213" i="35" s="1"/>
  <c r="H211" i="35"/>
  <c r="F51" i="26"/>
  <c r="I219" i="35"/>
  <c r="E30" i="26"/>
  <c r="I193" i="35" s="1"/>
  <c r="H191" i="35"/>
  <c r="E42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3" i="26"/>
  <c r="I217" i="35" s="1"/>
  <c r="H215" i="35"/>
  <c r="F52" i="26"/>
  <c r="E25" i="26"/>
  <c r="I188" i="35" s="1"/>
  <c r="H186" i="35"/>
  <c r="C50" i="26"/>
  <c r="E38" i="26"/>
  <c r="I201" i="35" s="1"/>
  <c r="H199" i="35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H34" i="26"/>
  <c r="I218" i="35" s="1"/>
  <c r="H216" i="35"/>
  <c r="E34" i="26"/>
  <c r="I197" i="35" s="1"/>
  <c r="H195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8" i="26"/>
  <c r="I222" i="35" s="1"/>
  <c r="H220" i="35"/>
  <c r="H30" i="26"/>
  <c r="I214" i="35" s="1"/>
  <c r="H212" i="35"/>
  <c r="E29" i="26"/>
  <c r="I192" i="35" s="1"/>
  <c r="H190" i="35"/>
  <c r="C51" i="26"/>
  <c r="E26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186" i="35"/>
  <c r="I202" i="35"/>
  <c r="H41" i="26"/>
  <c r="I225" i="35" s="1"/>
  <c r="F54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7" i="26"/>
  <c r="I221" i="35" s="1"/>
  <c r="F53" i="26"/>
  <c r="H219" i="35"/>
  <c r="H42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7" i="26"/>
  <c r="I200" i="35" s="1"/>
  <c r="H198" i="35"/>
  <c r="C53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6" i="26"/>
  <c r="I210" i="35" s="1"/>
  <c r="H208" i="35"/>
  <c r="E33" i="26"/>
  <c r="I196" i="35" s="1"/>
  <c r="C52" i="26"/>
  <c r="H194" i="35"/>
  <c r="E30" i="22"/>
  <c r="O8" i="9"/>
  <c r="O10" i="9" s="1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H209" i="37" l="1"/>
  <c r="H309" i="37"/>
  <c r="H125" i="37"/>
  <c r="H345" i="37"/>
  <c r="H321" i="37"/>
  <c r="H341" i="37"/>
  <c r="H329" i="37"/>
  <c r="H225" i="37"/>
  <c r="H129" i="37"/>
  <c r="H141" i="37"/>
  <c r="H221" i="37"/>
  <c r="H305" i="37"/>
  <c r="H213" i="37"/>
  <c r="H333" i="37"/>
  <c r="H137" i="37"/>
  <c r="H317" i="37"/>
  <c r="I52" i="26"/>
  <c r="I50" i="26"/>
  <c r="I51" i="26"/>
  <c r="I54" i="26"/>
  <c r="I53" i="26"/>
  <c r="E26" i="17"/>
  <c r="E24" i="17"/>
  <c r="D26" i="17"/>
  <c r="D24" i="17"/>
  <c r="E27" i="17"/>
  <c r="E25" i="17"/>
  <c r="D27" i="17"/>
  <c r="D25" i="17"/>
  <c r="Q10" i="9"/>
  <c r="D54" i="26"/>
  <c r="D51" i="26"/>
  <c r="D52" i="26"/>
  <c r="G52" i="26"/>
  <c r="Q15" i="39"/>
  <c r="J44" i="66"/>
  <c r="J188" i="66"/>
  <c r="D50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4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D53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50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3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1" i="26"/>
  <c r="I176" i="18"/>
  <c r="H176" i="18"/>
  <c r="I181" i="18"/>
  <c r="H181" i="18"/>
  <c r="I175" i="18"/>
  <c r="H175" i="18"/>
  <c r="I131" i="18"/>
  <c r="H131" i="18"/>
  <c r="H133" i="18"/>
  <c r="I133" i="18"/>
  <c r="O10" i="20" l="1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05" i="37"/>
  <c r="J209" i="37"/>
  <c r="I209" i="37"/>
  <c r="J317" i="37"/>
  <c r="J309" i="37"/>
  <c r="I317" i="37"/>
  <c r="H313" i="37"/>
  <c r="J221" i="37"/>
  <c r="H205" i="37"/>
  <c r="I213" i="37"/>
  <c r="I137" i="37"/>
  <c r="J141" i="37"/>
  <c r="J225" i="37"/>
  <c r="H217" i="37"/>
  <c r="H301" i="37"/>
  <c r="H163" i="37"/>
  <c r="H164" i="37"/>
  <c r="H162" i="37"/>
  <c r="J129" i="37"/>
  <c r="I341" i="37"/>
  <c r="I305" i="37"/>
  <c r="I345" i="37"/>
  <c r="J321" i="37"/>
  <c r="J137" i="37"/>
  <c r="I221" i="37"/>
  <c r="J329" i="37"/>
  <c r="I125" i="37"/>
  <c r="I225" i="37"/>
  <c r="H167" i="37"/>
  <c r="H166" i="37"/>
  <c r="H165" i="37"/>
  <c r="I129" i="37"/>
  <c r="I329" i="37"/>
  <c r="I141" i="37"/>
  <c r="H337" i="37"/>
  <c r="H325" i="37"/>
  <c r="J333" i="37"/>
  <c r="H121" i="37"/>
  <c r="I321" i="37"/>
  <c r="J345" i="37"/>
  <c r="H133" i="37"/>
  <c r="J341" i="37"/>
  <c r="J213" i="37"/>
  <c r="I309" i="37"/>
  <c r="I333" i="37"/>
  <c r="J125" i="37"/>
  <c r="J53" i="26"/>
  <c r="J50" i="26"/>
  <c r="J52" i="26"/>
  <c r="J51" i="26"/>
  <c r="J54" i="26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R7" i="20" l="1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Q44" i="66" l="1"/>
  <c r="E466" i="58" l="1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G473" i="58" l="1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58"/>
  <c r="G6" i="58"/>
  <c r="G6" i="37"/>
  <c r="G6" i="41" s="1"/>
  <c r="H417" i="58"/>
  <c r="H409" i="58"/>
  <c r="G68" i="18" l="1" a="1"/>
  <c r="G68" i="18" s="1"/>
  <c r="G70" i="18" a="1"/>
  <c r="G70" i="18" s="1"/>
  <c r="H70" i="18" s="1"/>
  <c r="O20" i="20"/>
  <c r="H49" i="35" a="1"/>
  <c r="H49" i="35" s="1"/>
  <c r="I166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I69" i="18" s="1"/>
  <c r="I337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28" i="18"/>
  <c r="F28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H68" i="18"/>
  <c r="I68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17" i="41"/>
  <c r="H409" i="41"/>
  <c r="H413" i="41"/>
  <c r="H69" i="18" l="1"/>
  <c r="H16" i="18"/>
  <c r="H61" i="18"/>
  <c r="I165" i="37"/>
  <c r="I167" i="37"/>
  <c r="I59" i="18"/>
  <c r="F59" i="18" s="1"/>
  <c r="I217" i="37"/>
  <c r="I121" i="37"/>
  <c r="I205" i="37"/>
  <c r="I164" i="37"/>
  <c r="I162" i="37"/>
  <c r="I163" i="37"/>
  <c r="I313" i="37"/>
  <c r="J164" i="37"/>
  <c r="J163" i="37"/>
  <c r="J162" i="37"/>
  <c r="I133" i="37"/>
  <c r="I325" i="37"/>
  <c r="I301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28" i="18"/>
  <c r="J324" i="18"/>
  <c r="F275" i="18"/>
  <c r="F337" i="18"/>
  <c r="F332" i="18"/>
  <c r="J332" i="18"/>
  <c r="J291" i="18"/>
  <c r="F291" i="18"/>
  <c r="F64" i="18"/>
  <c r="J64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29" i="41"/>
  <c r="J59" i="18" l="1"/>
  <c r="J27" i="18"/>
  <c r="F25" i="18"/>
  <c r="F18" i="18"/>
  <c r="F71" i="18"/>
  <c r="J313" i="37"/>
  <c r="J325" i="37"/>
  <c r="J165" i="37"/>
  <c r="J166" i="37"/>
  <c r="J167" i="37"/>
  <c r="J205" i="37"/>
  <c r="J217" i="37"/>
  <c r="J301" i="37"/>
  <c r="J337" i="37"/>
  <c r="J133" i="37"/>
  <c r="J121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20" i="58"/>
  <c r="G220" i="37"/>
  <c r="G176" i="58"/>
  <c r="G176" i="37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65" i="37"/>
  <c r="G365" i="58"/>
  <c r="G339" i="37"/>
  <c r="J339" i="37" s="1"/>
  <c r="G339" i="58"/>
  <c r="G318" i="58"/>
  <c r="G318" i="37"/>
  <c r="G297" i="37"/>
  <c r="G297" i="58"/>
  <c r="G265" i="58"/>
  <c r="G265" i="37"/>
  <c r="G257" i="37"/>
  <c r="G257" i="58"/>
  <c r="G233" i="58"/>
  <c r="G233" i="37"/>
  <c r="G203" i="37"/>
  <c r="G203" i="58"/>
  <c r="G171" i="58"/>
  <c r="G171" i="37"/>
  <c r="G140" i="37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24" i="38"/>
  <c r="G107" i="66" s="1"/>
  <c r="E269" i="38"/>
  <c r="G251" i="66" s="1"/>
  <c r="H438" i="58"/>
  <c r="E242" i="38"/>
  <c r="E234" i="38"/>
  <c r="I440" i="37"/>
  <c r="I440" i="58"/>
  <c r="E261" i="38"/>
  <c r="E216" i="38"/>
  <c r="E255" i="38"/>
  <c r="G201" i="66" s="1"/>
  <c r="E210" i="38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58"/>
  <c r="G294" i="58"/>
  <c r="G294" i="37"/>
  <c r="G238" i="58"/>
  <c r="G238" i="37"/>
  <c r="J238" i="37" s="1"/>
  <c r="G184" i="58"/>
  <c r="G184" i="37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58"/>
  <c r="G373" i="58"/>
  <c r="G373" i="37"/>
  <c r="G349" i="37"/>
  <c r="G349" i="58"/>
  <c r="G273" i="58"/>
  <c r="G273" i="37"/>
  <c r="G249" i="37"/>
  <c r="G249" i="58"/>
  <c r="G214" i="58"/>
  <c r="G214" i="37"/>
  <c r="G187" i="58"/>
  <c r="G187" i="37"/>
  <c r="G157" i="58"/>
  <c r="G157" i="37"/>
  <c r="G130" i="37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58"/>
  <c r="G388" i="37"/>
  <c r="G388" i="58"/>
  <c r="G380" i="37"/>
  <c r="G380" i="58"/>
  <c r="G372" i="37"/>
  <c r="G372" i="58"/>
  <c r="G364" i="58"/>
  <c r="G364" i="37"/>
  <c r="G356" i="58"/>
  <c r="G356" i="37"/>
  <c r="G348" i="37"/>
  <c r="G348" i="58"/>
  <c r="G338" i="37"/>
  <c r="G338" i="58"/>
  <c r="G327" i="58"/>
  <c r="G327" i="37"/>
  <c r="J327" i="37" s="1"/>
  <c r="G316" i="58"/>
  <c r="G316" i="37"/>
  <c r="G306" i="58"/>
  <c r="G306" i="37"/>
  <c r="G296" i="37"/>
  <c r="G296" i="58"/>
  <c r="G288" i="58"/>
  <c r="G288" i="37"/>
  <c r="G280" i="37"/>
  <c r="G280" i="58"/>
  <c r="G272" i="58"/>
  <c r="G272" i="37"/>
  <c r="G264" i="58"/>
  <c r="G264" i="37"/>
  <c r="J264" i="37" s="1"/>
  <c r="G256" i="37"/>
  <c r="G256" i="58"/>
  <c r="G248" i="58"/>
  <c r="G248" i="37"/>
  <c r="G240" i="37"/>
  <c r="G240" i="58"/>
  <c r="G232" i="37"/>
  <c r="G232" i="58"/>
  <c r="G223" i="37"/>
  <c r="G223" i="58"/>
  <c r="G212" i="37"/>
  <c r="G212" i="58"/>
  <c r="G202" i="58"/>
  <c r="G202" i="37"/>
  <c r="G194" i="58"/>
  <c r="G194" i="37"/>
  <c r="G186" i="37"/>
  <c r="G186" i="58"/>
  <c r="G178" i="58"/>
  <c r="G178" i="37"/>
  <c r="G170" i="58"/>
  <c r="G170" i="37"/>
  <c r="J170" i="37" s="1"/>
  <c r="G156" i="58"/>
  <c r="G156" i="37"/>
  <c r="G148" i="58"/>
  <c r="G148" i="37"/>
  <c r="G139" i="37"/>
  <c r="G139" i="58"/>
  <c r="G128" i="58"/>
  <c r="G128" i="37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58"/>
  <c r="G67" i="58"/>
  <c r="G67" i="37"/>
  <c r="G63" i="37"/>
  <c r="G63" i="58"/>
  <c r="G59" i="37"/>
  <c r="G59" i="58"/>
  <c r="G55" i="58"/>
  <c r="G55" i="37"/>
  <c r="G51" i="58"/>
  <c r="G51" i="37"/>
  <c r="G47" i="58"/>
  <c r="G47" i="37"/>
  <c r="G43" i="37"/>
  <c r="G43" i="58"/>
  <c r="G39" i="58"/>
  <c r="G39" i="37"/>
  <c r="G35" i="58"/>
  <c r="G35" i="37"/>
  <c r="G31" i="58"/>
  <c r="G31" i="37"/>
  <c r="G27" i="37"/>
  <c r="G27" i="58"/>
  <c r="G23" i="58"/>
  <c r="G23" i="37"/>
  <c r="G19" i="58"/>
  <c r="G19" i="37"/>
  <c r="G15" i="58"/>
  <c r="G15" i="37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J386" i="37" s="1"/>
  <c r="G324" i="58"/>
  <c r="G324" i="37"/>
  <c r="G262" i="58"/>
  <c r="G262" i="37"/>
  <c r="G200" i="37"/>
  <c r="G200" i="58"/>
  <c r="G146" i="37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57" i="37"/>
  <c r="J357" i="37" s="1"/>
  <c r="G357" i="58"/>
  <c r="G328" i="58"/>
  <c r="G328" i="37"/>
  <c r="G307" i="58"/>
  <c r="G307" i="37"/>
  <c r="G289" i="37"/>
  <c r="G289" i="58"/>
  <c r="G281" i="37"/>
  <c r="G281" i="58"/>
  <c r="G241" i="58"/>
  <c r="G241" i="37"/>
  <c r="G224" i="58"/>
  <c r="G224" i="37"/>
  <c r="G195" i="58"/>
  <c r="G195" i="37"/>
  <c r="G179" i="58"/>
  <c r="G179" i="37"/>
  <c r="G149" i="58"/>
  <c r="G149" i="37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87" i="58"/>
  <c r="G387" i="37"/>
  <c r="G379" i="37"/>
  <c r="G379" i="58"/>
  <c r="G371" i="58"/>
  <c r="G371" i="37"/>
  <c r="G363" i="58"/>
  <c r="G363" i="37"/>
  <c r="G355" i="58"/>
  <c r="G355" i="37"/>
  <c r="G347" i="37"/>
  <c r="G347" i="58"/>
  <c r="G336" i="37"/>
  <c r="G336" i="58"/>
  <c r="G326" i="37"/>
  <c r="J326" i="37" s="1"/>
  <c r="G326" i="58"/>
  <c r="G315" i="58"/>
  <c r="G315" i="37"/>
  <c r="G304" i="37"/>
  <c r="G304" i="58"/>
  <c r="G295" i="37"/>
  <c r="G295" i="58"/>
  <c r="G287" i="58"/>
  <c r="G287" i="37"/>
  <c r="G279" i="37"/>
  <c r="G279" i="58"/>
  <c r="G271" i="58"/>
  <c r="G271" i="37"/>
  <c r="G263" i="37"/>
  <c r="G263" i="58"/>
  <c r="G255" i="58"/>
  <c r="G255" i="37"/>
  <c r="G247" i="58"/>
  <c r="G247" i="37"/>
  <c r="G239" i="58"/>
  <c r="G239" i="37"/>
  <c r="G231" i="37"/>
  <c r="G231" i="58"/>
  <c r="G222" i="37"/>
  <c r="G222" i="58"/>
  <c r="G211" i="58"/>
  <c r="G211" i="37"/>
  <c r="G201" i="58"/>
  <c r="G201" i="37"/>
  <c r="G193" i="58"/>
  <c r="G193" i="37"/>
  <c r="G185" i="37"/>
  <c r="G185" i="58"/>
  <c r="G177" i="58"/>
  <c r="G177" i="37"/>
  <c r="J177" i="37" s="1"/>
  <c r="G169" i="58"/>
  <c r="G169" i="37"/>
  <c r="J169" i="37" s="1"/>
  <c r="G155" i="58"/>
  <c r="G155" i="37"/>
  <c r="G147" i="37"/>
  <c r="G147" i="58"/>
  <c r="G138" i="37"/>
  <c r="G138" i="58"/>
  <c r="G127" i="58"/>
  <c r="G127" i="37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286" i="58"/>
  <c r="G286" i="37"/>
  <c r="G230" i="58"/>
  <c r="G230" i="37"/>
  <c r="J230" i="37" s="1"/>
  <c r="G154" i="58"/>
  <c r="G154" i="37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G62" i="37"/>
  <c r="G58" i="37"/>
  <c r="G58" i="58"/>
  <c r="G42" i="58"/>
  <c r="G42" i="37"/>
  <c r="G22" i="58"/>
  <c r="G22" i="37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G385" i="37"/>
  <c r="J385" i="37" s="1"/>
  <c r="G385" i="58"/>
  <c r="G361" i="58"/>
  <c r="G361" i="37"/>
  <c r="G353" i="58"/>
  <c r="G353" i="37"/>
  <c r="G344" i="58"/>
  <c r="G344" i="37"/>
  <c r="G334" i="37"/>
  <c r="G334" i="58"/>
  <c r="G323" i="58"/>
  <c r="G323" i="37"/>
  <c r="G312" i="37"/>
  <c r="G312" i="58"/>
  <c r="G302" i="37"/>
  <c r="J302" i="37" s="1"/>
  <c r="G302" i="58"/>
  <c r="G293" i="37"/>
  <c r="J293" i="37" s="1"/>
  <c r="G293" i="58"/>
  <c r="G285" i="58"/>
  <c r="G285" i="37"/>
  <c r="G277" i="37"/>
  <c r="G277" i="58"/>
  <c r="G269" i="37"/>
  <c r="G269" i="58"/>
  <c r="G261" i="58"/>
  <c r="G261" i="37"/>
  <c r="G253" i="58"/>
  <c r="G253" i="37"/>
  <c r="G245" i="58"/>
  <c r="G245" i="37"/>
  <c r="G237" i="37"/>
  <c r="G237" i="58"/>
  <c r="G229" i="37"/>
  <c r="G229" i="58"/>
  <c r="G219" i="58"/>
  <c r="G219" i="37"/>
  <c r="J219" i="37" s="1"/>
  <c r="G208" i="58"/>
  <c r="G208" i="37"/>
  <c r="G199" i="58"/>
  <c r="G199" i="37"/>
  <c r="G191" i="37"/>
  <c r="G191" i="58"/>
  <c r="G183" i="58"/>
  <c r="G183" i="37"/>
  <c r="G175" i="37"/>
  <c r="G175" i="58"/>
  <c r="G161" i="37"/>
  <c r="G161" i="58"/>
  <c r="G153" i="37"/>
  <c r="J153" i="37" s="1"/>
  <c r="G153" i="58"/>
  <c r="G145" i="58"/>
  <c r="G145" i="37"/>
  <c r="G135" i="37"/>
  <c r="J135" i="37" s="1"/>
  <c r="G135" i="58"/>
  <c r="G124" i="58"/>
  <c r="G124" i="37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E265" i="38"/>
  <c r="G285" i="66" s="1"/>
  <c r="E238" i="38"/>
  <c r="H163" i="58"/>
  <c r="G118" i="58"/>
  <c r="G118" i="37"/>
  <c r="G118" i="41" s="1"/>
  <c r="G454" i="58"/>
  <c r="G454" i="37"/>
  <c r="G454" i="41" s="1"/>
  <c r="G370" i="58"/>
  <c r="G370" i="37"/>
  <c r="G314" i="58"/>
  <c r="G314" i="37"/>
  <c r="G246" i="58"/>
  <c r="G246" i="37"/>
  <c r="J246" i="37" s="1"/>
  <c r="G168" i="58"/>
  <c r="G168" i="37"/>
  <c r="J168" i="37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G66" i="37"/>
  <c r="G54" i="58"/>
  <c r="G54" i="37"/>
  <c r="G46" i="37"/>
  <c r="G46" i="58"/>
  <c r="G34" i="37"/>
  <c r="G34" i="58"/>
  <c r="G30" i="37"/>
  <c r="G30" i="58"/>
  <c r="G14" i="37"/>
  <c r="G14" i="58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58"/>
  <c r="G392" i="58"/>
  <c r="G392" i="37"/>
  <c r="G384" i="37"/>
  <c r="J384" i="37" s="1"/>
  <c r="G384" i="58"/>
  <c r="G376" i="37"/>
  <c r="G376" i="58"/>
  <c r="G368" i="37"/>
  <c r="J368" i="37" s="1"/>
  <c r="G368" i="58"/>
  <c r="G360" i="58"/>
  <c r="G360" i="37"/>
  <c r="G352" i="58"/>
  <c r="G352" i="37"/>
  <c r="G343" i="37"/>
  <c r="G343" i="58"/>
  <c r="G332" i="58"/>
  <c r="G332" i="37"/>
  <c r="G322" i="58"/>
  <c r="G322" i="37"/>
  <c r="G311" i="37"/>
  <c r="G311" i="58"/>
  <c r="G300" i="58"/>
  <c r="G300" i="37"/>
  <c r="G292" i="58"/>
  <c r="G292" i="37"/>
  <c r="J292" i="37" s="1"/>
  <c r="G284" i="58"/>
  <c r="G284" i="37"/>
  <c r="J284" i="37" s="1"/>
  <c r="G276" i="58"/>
  <c r="G276" i="37"/>
  <c r="G268" i="58"/>
  <c r="G268" i="37"/>
  <c r="G260" i="58"/>
  <c r="G260" i="37"/>
  <c r="G252" i="58"/>
  <c r="G252" i="37"/>
  <c r="G244" i="37"/>
  <c r="G244" i="58"/>
  <c r="G236" i="58"/>
  <c r="G236" i="37"/>
  <c r="G228" i="58"/>
  <c r="G228" i="37"/>
  <c r="J228" i="37" s="1"/>
  <c r="G218" i="58"/>
  <c r="G218" i="37"/>
  <c r="G207" i="37"/>
  <c r="J207" i="37" s="1"/>
  <c r="G207" i="58"/>
  <c r="G198" i="58"/>
  <c r="G198" i="37"/>
  <c r="G190" i="58"/>
  <c r="G190" i="37"/>
  <c r="G182" i="37"/>
  <c r="G182" i="58"/>
  <c r="G174" i="58"/>
  <c r="G174" i="37"/>
  <c r="G160" i="37"/>
  <c r="G160" i="58"/>
  <c r="G152" i="37"/>
  <c r="G152" i="58"/>
  <c r="G144" i="58"/>
  <c r="G144" i="37"/>
  <c r="G134" i="58"/>
  <c r="G134" i="37"/>
  <c r="J134" i="37" s="1"/>
  <c r="G123" i="58"/>
  <c r="G123" i="37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G73" i="37"/>
  <c r="G69" i="37"/>
  <c r="G69" i="58"/>
  <c r="G65" i="58"/>
  <c r="G65" i="37"/>
  <c r="G61" i="37"/>
  <c r="G61" i="58"/>
  <c r="G57" i="58"/>
  <c r="G57" i="37"/>
  <c r="G53" i="37"/>
  <c r="G53" i="58"/>
  <c r="G49" i="37"/>
  <c r="G49" i="58"/>
  <c r="G45" i="58"/>
  <c r="G45" i="37"/>
  <c r="G41" i="37"/>
  <c r="G41" i="58"/>
  <c r="G37" i="37"/>
  <c r="G37" i="58"/>
  <c r="G33" i="37"/>
  <c r="G33" i="58"/>
  <c r="G29" i="58"/>
  <c r="G29" i="37"/>
  <c r="G25" i="58"/>
  <c r="G25" i="37"/>
  <c r="G21" i="58"/>
  <c r="G21" i="37"/>
  <c r="G17" i="37"/>
  <c r="G17" i="58"/>
  <c r="G13" i="58"/>
  <c r="G1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62" i="58"/>
  <c r="G110" i="37"/>
  <c r="G110" i="41" s="1"/>
  <c r="G110" i="58"/>
  <c r="G425" i="37"/>
  <c r="G425" i="41" s="1"/>
  <c r="G425" i="58"/>
  <c r="G378" i="58"/>
  <c r="G378" i="37"/>
  <c r="G335" i="58"/>
  <c r="G335" i="37"/>
  <c r="G278" i="58"/>
  <c r="G278" i="37"/>
  <c r="G210" i="58"/>
  <c r="G210" i="37"/>
  <c r="G136" i="58"/>
  <c r="G136" i="37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G70" i="58"/>
  <c r="G50" i="37"/>
  <c r="G50" i="58"/>
  <c r="G38" i="58"/>
  <c r="G38" i="37"/>
  <c r="G26" i="37"/>
  <c r="G26" i="58"/>
  <c r="G18" i="58"/>
  <c r="G18" i="37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E374" i="38"/>
  <c r="K237" i="66" s="1"/>
  <c r="E376" i="38"/>
  <c r="K203" i="66" s="1"/>
  <c r="E375" i="38"/>
  <c r="K219" i="66" s="1"/>
  <c r="I456" i="58"/>
  <c r="E377" i="38" s="1"/>
  <c r="K201" i="66" s="1"/>
  <c r="I456" i="37"/>
  <c r="G399" i="37"/>
  <c r="G399" i="58"/>
  <c r="G391" i="37"/>
  <c r="G391" i="58"/>
  <c r="G383" i="58"/>
  <c r="G383" i="37"/>
  <c r="G375" i="58"/>
  <c r="G375" i="37"/>
  <c r="G367" i="37"/>
  <c r="J367" i="37" s="1"/>
  <c r="G367" i="58"/>
  <c r="G359" i="58"/>
  <c r="G359" i="37"/>
  <c r="J359" i="37" s="1"/>
  <c r="G351" i="37"/>
  <c r="G351" i="58"/>
  <c r="G342" i="37"/>
  <c r="G342" i="58"/>
  <c r="G331" i="58"/>
  <c r="G331" i="37"/>
  <c r="G320" i="37"/>
  <c r="G320" i="58"/>
  <c r="G310" i="58"/>
  <c r="G310" i="37"/>
  <c r="G299" i="37"/>
  <c r="G299" i="58"/>
  <c r="G291" i="58"/>
  <c r="G291" i="37"/>
  <c r="G283" i="37"/>
  <c r="G283" i="58"/>
  <c r="G275" i="37"/>
  <c r="J275" i="37" s="1"/>
  <c r="G275" i="58"/>
  <c r="G267" i="58"/>
  <c r="G267" i="37"/>
  <c r="G259" i="37"/>
  <c r="G259" i="58"/>
  <c r="G251" i="37"/>
  <c r="G251" i="58"/>
  <c r="G243" i="37"/>
  <c r="G243" i="58"/>
  <c r="G235" i="58"/>
  <c r="G235" i="37"/>
  <c r="G227" i="58"/>
  <c r="G227" i="37"/>
  <c r="G216" i="58"/>
  <c r="G216" i="37"/>
  <c r="J216" i="37" s="1"/>
  <c r="G206" i="58"/>
  <c r="G206" i="37"/>
  <c r="J206" i="37" s="1"/>
  <c r="G197" i="58"/>
  <c r="G197" i="37"/>
  <c r="G189" i="58"/>
  <c r="G189" i="37"/>
  <c r="G181" i="58"/>
  <c r="G181" i="37"/>
  <c r="G173" i="58"/>
  <c r="G173" i="37"/>
  <c r="G159" i="58"/>
  <c r="G159" i="37"/>
  <c r="G151" i="37"/>
  <c r="G151" i="58"/>
  <c r="G143" i="37"/>
  <c r="G143" i="58"/>
  <c r="G132" i="58"/>
  <c r="G132" i="37"/>
  <c r="G122" i="58"/>
  <c r="G122" i="37"/>
  <c r="J122" i="37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G7" i="37"/>
  <c r="G7" i="41" s="1"/>
  <c r="G7" i="58"/>
  <c r="G102" i="37"/>
  <c r="G102" i="41" s="1"/>
  <c r="G102" i="58"/>
  <c r="G417" i="58"/>
  <c r="G417" i="37"/>
  <c r="G417" i="41" s="1"/>
  <c r="G394" i="58"/>
  <c r="G394" i="37"/>
  <c r="G346" i="58"/>
  <c r="G346" i="37"/>
  <c r="G303" i="58"/>
  <c r="G303" i="37"/>
  <c r="G254" i="37"/>
  <c r="G254" i="58"/>
  <c r="G192" i="58"/>
  <c r="G192" i="37"/>
  <c r="G126" i="58"/>
  <c r="G126" i="37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369" i="37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0" i="58"/>
  <c r="G390" i="37"/>
  <c r="G382" i="37"/>
  <c r="G382" i="58"/>
  <c r="G374" i="37"/>
  <c r="G374" i="58"/>
  <c r="G366" i="58"/>
  <c r="G366" i="37"/>
  <c r="G358" i="37"/>
  <c r="J358" i="37" s="1"/>
  <c r="G358" i="58"/>
  <c r="G350" i="58"/>
  <c r="G350" i="37"/>
  <c r="G340" i="37"/>
  <c r="G340" i="58"/>
  <c r="G330" i="58"/>
  <c r="G330" i="37"/>
  <c r="G319" i="58"/>
  <c r="G319" i="37"/>
  <c r="G308" i="58"/>
  <c r="G308" i="37"/>
  <c r="G298" i="58"/>
  <c r="G298" i="37"/>
  <c r="G290" i="58"/>
  <c r="G290" i="37"/>
  <c r="G282" i="58"/>
  <c r="G282" i="37"/>
  <c r="G274" i="58"/>
  <c r="G274" i="37"/>
  <c r="J274" i="37" s="1"/>
  <c r="G266" i="37"/>
  <c r="G266" i="58"/>
  <c r="G258" i="37"/>
  <c r="G258" i="58"/>
  <c r="G250" i="37"/>
  <c r="G250" i="58"/>
  <c r="G242" i="37"/>
  <c r="G242" i="58"/>
  <c r="G234" i="58"/>
  <c r="G234" i="37"/>
  <c r="G226" i="37"/>
  <c r="G226" i="58"/>
  <c r="G215" i="58"/>
  <c r="G215" i="37"/>
  <c r="G204" i="58"/>
  <c r="G204" i="37"/>
  <c r="J204" i="37" s="1"/>
  <c r="G196" i="37"/>
  <c r="J196" i="37" s="1"/>
  <c r="G196" i="58"/>
  <c r="G188" i="58"/>
  <c r="G188" i="37"/>
  <c r="J188" i="37" s="1"/>
  <c r="G180" i="37"/>
  <c r="G180" i="58"/>
  <c r="G172" i="58"/>
  <c r="G172" i="37"/>
  <c r="G158" i="58"/>
  <c r="G158" i="37"/>
  <c r="G150" i="58"/>
  <c r="G150" i="37"/>
  <c r="G142" i="58"/>
  <c r="G142" i="37"/>
  <c r="G131" i="37"/>
  <c r="G131" i="58"/>
  <c r="G120" i="58"/>
  <c r="G120" i="37"/>
  <c r="J120" i="37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G72" i="37"/>
  <c r="G68" i="58"/>
  <c r="G68" i="37"/>
  <c r="G64" i="58"/>
  <c r="G64" i="37"/>
  <c r="G60" i="37"/>
  <c r="G60" i="58"/>
  <c r="G56" i="37"/>
  <c r="G56" i="58"/>
  <c r="G52" i="37"/>
  <c r="G52" i="58"/>
  <c r="G48" i="37"/>
  <c r="G48" i="58"/>
  <c r="G44" i="58"/>
  <c r="G44" i="37"/>
  <c r="G40" i="37"/>
  <c r="G40" i="58"/>
  <c r="G36" i="37"/>
  <c r="G36" i="58"/>
  <c r="G32" i="58"/>
  <c r="G32" i="37"/>
  <c r="G28" i="58"/>
  <c r="G28" i="37"/>
  <c r="G24" i="58"/>
  <c r="G24" i="37"/>
  <c r="G20" i="37"/>
  <c r="G20" i="58"/>
  <c r="G16" i="37"/>
  <c r="G16" i="58"/>
  <c r="G12" i="58"/>
  <c r="G12" i="37"/>
  <c r="E470" i="58"/>
  <c r="E470" i="37"/>
  <c r="E470" i="41" s="1"/>
  <c r="E225" i="58"/>
  <c r="E225" i="37"/>
  <c r="E225" i="41" s="1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G64" i="41" l="1"/>
  <c r="H64" i="37"/>
  <c r="I64" i="37"/>
  <c r="J64" i="37"/>
  <c r="G150" i="41"/>
  <c r="H150" i="37"/>
  <c r="I150" i="37"/>
  <c r="J150" i="37"/>
  <c r="G204" i="41"/>
  <c r="H204" i="37"/>
  <c r="I204" i="37"/>
  <c r="G308" i="41"/>
  <c r="H308" i="37"/>
  <c r="I308" i="37"/>
  <c r="J308" i="37"/>
  <c r="G366" i="41"/>
  <c r="H366" i="37"/>
  <c r="I366" i="37"/>
  <c r="G303" i="41"/>
  <c r="H303" i="37"/>
  <c r="I303" i="37"/>
  <c r="G173" i="41"/>
  <c r="H173" i="37"/>
  <c r="I173" i="37"/>
  <c r="J173" i="37"/>
  <c r="G227" i="41"/>
  <c r="H227" i="37"/>
  <c r="J227" i="37"/>
  <c r="I227" i="37"/>
  <c r="G331" i="41"/>
  <c r="H331" i="37"/>
  <c r="J331" i="37"/>
  <c r="I331" i="37"/>
  <c r="G383" i="41"/>
  <c r="H383" i="37"/>
  <c r="J383" i="37"/>
  <c r="I383" i="37"/>
  <c r="G50" i="41"/>
  <c r="H50" i="37"/>
  <c r="I50" i="37"/>
  <c r="J50" i="37"/>
  <c r="G33" i="41"/>
  <c r="H33" i="37"/>
  <c r="I33" i="37"/>
  <c r="J33" i="37"/>
  <c r="G244" i="41"/>
  <c r="H244" i="37"/>
  <c r="J244" i="37"/>
  <c r="I244" i="37"/>
  <c r="G400" i="41"/>
  <c r="H400" i="37"/>
  <c r="I400" i="37"/>
  <c r="J400" i="37"/>
  <c r="H46" i="37"/>
  <c r="I46" i="37"/>
  <c r="J46" i="37"/>
  <c r="G161" i="41"/>
  <c r="H161" i="37"/>
  <c r="J161" i="37"/>
  <c r="I161" i="37"/>
  <c r="G269" i="41"/>
  <c r="H269" i="37"/>
  <c r="I269" i="37"/>
  <c r="J269" i="37"/>
  <c r="G154" i="41"/>
  <c r="H154" i="37"/>
  <c r="I154" i="37"/>
  <c r="G231" i="41"/>
  <c r="H231" i="37"/>
  <c r="I231" i="37"/>
  <c r="J231" i="37"/>
  <c r="G279" i="41"/>
  <c r="H279" i="37"/>
  <c r="J279" i="37"/>
  <c r="I279" i="37"/>
  <c r="G336" i="41"/>
  <c r="H336" i="37"/>
  <c r="I336" i="37"/>
  <c r="G281" i="41"/>
  <c r="H281" i="37"/>
  <c r="J281" i="37"/>
  <c r="I281" i="37"/>
  <c r="G200" i="41"/>
  <c r="H200" i="37"/>
  <c r="I200" i="37"/>
  <c r="J200" i="37"/>
  <c r="G71" i="41"/>
  <c r="H71" i="37"/>
  <c r="I71" i="37"/>
  <c r="J71" i="37"/>
  <c r="G223" i="41"/>
  <c r="H223" i="37"/>
  <c r="I223" i="37"/>
  <c r="J223" i="37"/>
  <c r="G380" i="41"/>
  <c r="H380" i="37"/>
  <c r="J380" i="37"/>
  <c r="I380" i="37"/>
  <c r="G130" i="41"/>
  <c r="H130" i="37"/>
  <c r="J130" i="37"/>
  <c r="I130" i="37"/>
  <c r="G349" i="41"/>
  <c r="H349" i="37"/>
  <c r="I349" i="37"/>
  <c r="G171" i="41"/>
  <c r="H171" i="37"/>
  <c r="I171" i="37"/>
  <c r="J171" i="37"/>
  <c r="G318" i="41"/>
  <c r="H318" i="37"/>
  <c r="I318" i="37"/>
  <c r="J318" i="37"/>
  <c r="J336" i="37"/>
  <c r="G395" i="41"/>
  <c r="H395" i="37"/>
  <c r="I395" i="37"/>
  <c r="G149" i="41"/>
  <c r="H149" i="37"/>
  <c r="J149" i="37"/>
  <c r="I149" i="37"/>
  <c r="G262" i="41"/>
  <c r="H262" i="37"/>
  <c r="I262" i="37"/>
  <c r="J262" i="37"/>
  <c r="J366" i="37"/>
  <c r="G44" i="41"/>
  <c r="I44" i="37"/>
  <c r="H44" i="37"/>
  <c r="J44" i="37"/>
  <c r="G68" i="41"/>
  <c r="I68" i="37"/>
  <c r="H68" i="37"/>
  <c r="J68" i="37"/>
  <c r="G158" i="41"/>
  <c r="H158" i="37"/>
  <c r="J158" i="37"/>
  <c r="I158" i="37"/>
  <c r="G215" i="41"/>
  <c r="H215" i="37"/>
  <c r="J215" i="37"/>
  <c r="I215" i="37"/>
  <c r="G319" i="41"/>
  <c r="H319" i="37"/>
  <c r="J319" i="37"/>
  <c r="I319" i="37"/>
  <c r="G346" i="41"/>
  <c r="H346" i="37"/>
  <c r="I346" i="37"/>
  <c r="J346" i="37"/>
  <c r="G122" i="41"/>
  <c r="H122" i="37"/>
  <c r="I122" i="37"/>
  <c r="G181" i="41"/>
  <c r="H181" i="37"/>
  <c r="J181" i="37"/>
  <c r="I181" i="37"/>
  <c r="G235" i="41"/>
  <c r="H235" i="37"/>
  <c r="I235" i="37"/>
  <c r="J235" i="37"/>
  <c r="G393" i="41"/>
  <c r="H393" i="37"/>
  <c r="I393" i="37"/>
  <c r="I70" i="37"/>
  <c r="H70" i="37"/>
  <c r="J70" i="37"/>
  <c r="G37" i="41"/>
  <c r="H37" i="37"/>
  <c r="I37" i="37"/>
  <c r="J37" i="37"/>
  <c r="G61" i="41"/>
  <c r="I61" i="37"/>
  <c r="H61" i="37"/>
  <c r="J61" i="37"/>
  <c r="G175" i="41"/>
  <c r="H175" i="37"/>
  <c r="I175" i="37"/>
  <c r="J175" i="37"/>
  <c r="G229" i="41"/>
  <c r="H229" i="37"/>
  <c r="I229" i="37"/>
  <c r="G277" i="41"/>
  <c r="H277" i="37"/>
  <c r="I277" i="37"/>
  <c r="J277" i="37"/>
  <c r="G334" i="41"/>
  <c r="H334" i="37"/>
  <c r="J334" i="37"/>
  <c r="I334" i="37"/>
  <c r="G62" i="41"/>
  <c r="H62" i="37"/>
  <c r="J62" i="37"/>
  <c r="I62" i="37"/>
  <c r="G230" i="41"/>
  <c r="H230" i="37"/>
  <c r="I230" i="37"/>
  <c r="G185" i="41"/>
  <c r="H185" i="37"/>
  <c r="I185" i="37"/>
  <c r="J185" i="37"/>
  <c r="G347" i="41"/>
  <c r="H347" i="37"/>
  <c r="I347" i="37"/>
  <c r="J347" i="37"/>
  <c r="G289" i="41"/>
  <c r="H289" i="37"/>
  <c r="I289" i="37"/>
  <c r="J289" i="37"/>
  <c r="G27" i="41"/>
  <c r="H27" i="37"/>
  <c r="J27" i="37"/>
  <c r="I27" i="37"/>
  <c r="G232" i="41"/>
  <c r="H232" i="37"/>
  <c r="I232" i="37"/>
  <c r="J232" i="37"/>
  <c r="G280" i="41"/>
  <c r="H280" i="37"/>
  <c r="J280" i="37"/>
  <c r="I280" i="37"/>
  <c r="G338" i="41"/>
  <c r="H338" i="37"/>
  <c r="I338" i="37"/>
  <c r="G388" i="41"/>
  <c r="H388" i="37"/>
  <c r="I388" i="37"/>
  <c r="J388" i="37"/>
  <c r="G362" i="41"/>
  <c r="H362" i="37"/>
  <c r="I362" i="37"/>
  <c r="J362" i="37"/>
  <c r="G51" i="41"/>
  <c r="H51" i="37"/>
  <c r="J51" i="37"/>
  <c r="I51" i="37"/>
  <c r="G178" i="41"/>
  <c r="H178" i="37"/>
  <c r="I178" i="37"/>
  <c r="G157" i="41"/>
  <c r="H157" i="37"/>
  <c r="J157" i="37"/>
  <c r="I157" i="37"/>
  <c r="G283" i="41"/>
  <c r="H283" i="37"/>
  <c r="I283" i="37"/>
  <c r="G342" i="41"/>
  <c r="H342" i="37"/>
  <c r="J342" i="37"/>
  <c r="I342" i="37"/>
  <c r="G391" i="41"/>
  <c r="H391" i="37"/>
  <c r="I391" i="37"/>
  <c r="J391" i="37"/>
  <c r="G378" i="41"/>
  <c r="H378" i="37"/>
  <c r="J378" i="37"/>
  <c r="I378" i="37"/>
  <c r="G65" i="41"/>
  <c r="H65" i="37"/>
  <c r="I65" i="37"/>
  <c r="J65" i="37"/>
  <c r="G260" i="41"/>
  <c r="H260" i="37"/>
  <c r="J260" i="37"/>
  <c r="I260" i="37"/>
  <c r="G66" i="41"/>
  <c r="H66" i="37"/>
  <c r="J66" i="37"/>
  <c r="I66" i="37"/>
  <c r="G314" i="41"/>
  <c r="H314" i="37"/>
  <c r="I314" i="37"/>
  <c r="G124" i="41"/>
  <c r="H124" i="37"/>
  <c r="I124" i="37"/>
  <c r="J124" i="37"/>
  <c r="G183" i="41"/>
  <c r="H183" i="37"/>
  <c r="I183" i="37"/>
  <c r="J183" i="37"/>
  <c r="G285" i="41"/>
  <c r="H285" i="37"/>
  <c r="I285" i="37"/>
  <c r="J285" i="37"/>
  <c r="G344" i="41"/>
  <c r="H344" i="37"/>
  <c r="J344" i="37"/>
  <c r="I344" i="37"/>
  <c r="G193" i="41"/>
  <c r="H193" i="37"/>
  <c r="I193" i="37"/>
  <c r="J193" i="37"/>
  <c r="G247" i="41"/>
  <c r="H247" i="37"/>
  <c r="I247" i="37"/>
  <c r="G355" i="41"/>
  <c r="H355" i="37"/>
  <c r="I355" i="37"/>
  <c r="J355" i="37"/>
  <c r="G179" i="41"/>
  <c r="H179" i="37"/>
  <c r="I179" i="37"/>
  <c r="G307" i="41"/>
  <c r="H307" i="37"/>
  <c r="I307" i="37"/>
  <c r="J307" i="37"/>
  <c r="G324" i="41"/>
  <c r="H324" i="37"/>
  <c r="I324" i="37"/>
  <c r="G31" i="41"/>
  <c r="H31" i="37"/>
  <c r="J31" i="37"/>
  <c r="I31" i="37"/>
  <c r="G55" i="41"/>
  <c r="H55" i="37"/>
  <c r="J55" i="37"/>
  <c r="I55" i="37"/>
  <c r="G128" i="41"/>
  <c r="H128" i="37"/>
  <c r="J128" i="37"/>
  <c r="I128" i="37"/>
  <c r="G288" i="41"/>
  <c r="H288" i="37"/>
  <c r="J288" i="37"/>
  <c r="I288" i="37"/>
  <c r="G187" i="41"/>
  <c r="H187" i="37"/>
  <c r="I187" i="37"/>
  <c r="G203" i="41"/>
  <c r="H203" i="37"/>
  <c r="J203" i="37"/>
  <c r="I203" i="37"/>
  <c r="G339" i="41"/>
  <c r="H339" i="37"/>
  <c r="I339" i="37"/>
  <c r="J338" i="37"/>
  <c r="G172" i="41"/>
  <c r="H172" i="37"/>
  <c r="I172" i="37"/>
  <c r="J172" i="37"/>
  <c r="G274" i="41"/>
  <c r="H274" i="37"/>
  <c r="I274" i="37"/>
  <c r="G330" i="41"/>
  <c r="H330" i="37"/>
  <c r="J330" i="37"/>
  <c r="I330" i="37"/>
  <c r="G394" i="41"/>
  <c r="H394" i="37"/>
  <c r="I394" i="37"/>
  <c r="G132" i="41"/>
  <c r="H132" i="37"/>
  <c r="I132" i="37"/>
  <c r="G189" i="41"/>
  <c r="H189" i="37"/>
  <c r="J189" i="37"/>
  <c r="I189" i="37"/>
  <c r="G291" i="41"/>
  <c r="H291" i="37"/>
  <c r="I291" i="37"/>
  <c r="G17" i="41"/>
  <c r="H17" i="37"/>
  <c r="I17" i="37"/>
  <c r="J17" i="37"/>
  <c r="G41" i="41"/>
  <c r="H41" i="37"/>
  <c r="I41" i="37"/>
  <c r="J41" i="37"/>
  <c r="G152" i="41"/>
  <c r="H152" i="37"/>
  <c r="I152" i="37"/>
  <c r="J152" i="37"/>
  <c r="G207" i="41"/>
  <c r="H207" i="37"/>
  <c r="I207" i="37"/>
  <c r="G311" i="41"/>
  <c r="H311" i="37"/>
  <c r="I311" i="37"/>
  <c r="J311" i="37"/>
  <c r="G368" i="41"/>
  <c r="H368" i="37"/>
  <c r="I368" i="37"/>
  <c r="G237" i="41"/>
  <c r="H237" i="37"/>
  <c r="I237" i="37"/>
  <c r="G286" i="41"/>
  <c r="H286" i="37"/>
  <c r="J286" i="37"/>
  <c r="I286" i="37"/>
  <c r="G138" i="41"/>
  <c r="H138" i="37"/>
  <c r="I138" i="37"/>
  <c r="J138" i="37"/>
  <c r="G295" i="41"/>
  <c r="H295" i="37"/>
  <c r="I295" i="37"/>
  <c r="J295" i="37"/>
  <c r="G186" i="41"/>
  <c r="H186" i="37"/>
  <c r="I186" i="37"/>
  <c r="G240" i="41"/>
  <c r="H240" i="37"/>
  <c r="I240" i="37"/>
  <c r="J240" i="37"/>
  <c r="G348" i="41"/>
  <c r="H348" i="37"/>
  <c r="I348" i="37"/>
  <c r="G396" i="41"/>
  <c r="H396" i="37"/>
  <c r="J396" i="37"/>
  <c r="I396" i="37"/>
  <c r="G397" i="41"/>
  <c r="H397" i="37"/>
  <c r="J397" i="37"/>
  <c r="I397" i="37"/>
  <c r="G233" i="41"/>
  <c r="H233" i="37"/>
  <c r="I233" i="37"/>
  <c r="J233" i="37"/>
  <c r="J247" i="37"/>
  <c r="J179" i="37"/>
  <c r="J291" i="37"/>
  <c r="G144" i="41"/>
  <c r="H144" i="37"/>
  <c r="I144" i="37"/>
  <c r="J144" i="37"/>
  <c r="G300" i="41"/>
  <c r="H300" i="37"/>
  <c r="I300" i="37"/>
  <c r="G54" i="41"/>
  <c r="H54" i="37"/>
  <c r="J54" i="37"/>
  <c r="I54" i="37"/>
  <c r="G239" i="41"/>
  <c r="H239" i="37"/>
  <c r="I239" i="37"/>
  <c r="G24" i="41"/>
  <c r="H24" i="37"/>
  <c r="I24" i="37"/>
  <c r="J24" i="37"/>
  <c r="G72" i="41"/>
  <c r="H72" i="37"/>
  <c r="I72" i="37"/>
  <c r="J72" i="37"/>
  <c r="G48" i="41"/>
  <c r="I48" i="37"/>
  <c r="H48" i="37"/>
  <c r="J48" i="37"/>
  <c r="G226" i="41"/>
  <c r="H226" i="37"/>
  <c r="J226" i="37"/>
  <c r="I226" i="37"/>
  <c r="G382" i="41"/>
  <c r="H382" i="37"/>
  <c r="I382" i="37"/>
  <c r="J382" i="37"/>
  <c r="G369" i="41"/>
  <c r="H369" i="37"/>
  <c r="I369" i="37"/>
  <c r="J369" i="37"/>
  <c r="G243" i="41"/>
  <c r="H243" i="37"/>
  <c r="J243" i="37"/>
  <c r="I243" i="37"/>
  <c r="G351" i="41"/>
  <c r="H351" i="37"/>
  <c r="I351" i="37"/>
  <c r="J351" i="37"/>
  <c r="G399" i="41"/>
  <c r="H399" i="37"/>
  <c r="I399" i="37"/>
  <c r="J399" i="37"/>
  <c r="G18" i="41"/>
  <c r="H18" i="37"/>
  <c r="I18" i="37"/>
  <c r="J18" i="37"/>
  <c r="G21" i="41"/>
  <c r="H21" i="37"/>
  <c r="I21" i="37"/>
  <c r="J21" i="37"/>
  <c r="G45" i="41"/>
  <c r="I45" i="37"/>
  <c r="H45" i="37"/>
  <c r="J45" i="37"/>
  <c r="G218" i="41"/>
  <c r="H218" i="37"/>
  <c r="I218" i="37"/>
  <c r="G268" i="41"/>
  <c r="H268" i="37"/>
  <c r="I268" i="37"/>
  <c r="J268" i="37"/>
  <c r="G322" i="41"/>
  <c r="H322" i="37"/>
  <c r="I322" i="37"/>
  <c r="J322" i="37"/>
  <c r="G370" i="41"/>
  <c r="H370" i="37"/>
  <c r="I370" i="37"/>
  <c r="J370" i="37"/>
  <c r="G245" i="41"/>
  <c r="H245" i="37"/>
  <c r="J245" i="37"/>
  <c r="I245" i="37"/>
  <c r="G353" i="41"/>
  <c r="H353" i="37"/>
  <c r="I353" i="37"/>
  <c r="J353" i="37"/>
  <c r="G201" i="41"/>
  <c r="H201" i="37"/>
  <c r="J201" i="37"/>
  <c r="I201" i="37"/>
  <c r="G255" i="41"/>
  <c r="H255" i="37"/>
  <c r="I255" i="37"/>
  <c r="G363" i="41"/>
  <c r="H363" i="37"/>
  <c r="I363" i="37"/>
  <c r="J363" i="37"/>
  <c r="G195" i="41"/>
  <c r="H195" i="37"/>
  <c r="I195" i="37"/>
  <c r="G328" i="41"/>
  <c r="H328" i="37"/>
  <c r="J328" i="37"/>
  <c r="I328" i="37"/>
  <c r="G386" i="41"/>
  <c r="H386" i="37"/>
  <c r="I386" i="37"/>
  <c r="G35" i="41"/>
  <c r="H35" i="37"/>
  <c r="I35" i="37"/>
  <c r="J35" i="37"/>
  <c r="G194" i="41"/>
  <c r="H194" i="37"/>
  <c r="I194" i="37"/>
  <c r="J194" i="37"/>
  <c r="G248" i="41"/>
  <c r="H248" i="37"/>
  <c r="I248" i="37"/>
  <c r="G356" i="41"/>
  <c r="H356" i="37"/>
  <c r="J356" i="37"/>
  <c r="I356" i="37"/>
  <c r="G214" i="41"/>
  <c r="H214" i="37"/>
  <c r="I214" i="37"/>
  <c r="J214" i="37"/>
  <c r="G365" i="41"/>
  <c r="H365" i="37"/>
  <c r="I365" i="37"/>
  <c r="J365" i="37"/>
  <c r="J132" i="37"/>
  <c r="J178" i="37"/>
  <c r="J237" i="37"/>
  <c r="J393" i="37"/>
  <c r="G20" i="41"/>
  <c r="I20" i="37"/>
  <c r="H20" i="37"/>
  <c r="J20" i="37"/>
  <c r="G266" i="41"/>
  <c r="H266" i="37"/>
  <c r="I266" i="37"/>
  <c r="G374" i="41"/>
  <c r="H374" i="37"/>
  <c r="J374" i="37"/>
  <c r="I374" i="37"/>
  <c r="G28" i="41"/>
  <c r="H28" i="37"/>
  <c r="I28" i="37"/>
  <c r="J28" i="37"/>
  <c r="G120" i="41"/>
  <c r="H120" i="37"/>
  <c r="I120" i="37"/>
  <c r="G234" i="41"/>
  <c r="H234" i="37"/>
  <c r="I234" i="37"/>
  <c r="J234" i="37"/>
  <c r="G282" i="41"/>
  <c r="H282" i="37"/>
  <c r="I282" i="37"/>
  <c r="G390" i="41"/>
  <c r="H390" i="37"/>
  <c r="I390" i="37"/>
  <c r="J390" i="37"/>
  <c r="G401" i="41"/>
  <c r="H401" i="37"/>
  <c r="I401" i="37"/>
  <c r="J401" i="37"/>
  <c r="G126" i="41"/>
  <c r="H126" i="37"/>
  <c r="I126" i="37"/>
  <c r="J126" i="37"/>
  <c r="G197" i="41"/>
  <c r="H197" i="37"/>
  <c r="I197" i="37"/>
  <c r="G359" i="41"/>
  <c r="H359" i="37"/>
  <c r="I359" i="37"/>
  <c r="G69" i="41"/>
  <c r="I69" i="37"/>
  <c r="H69" i="37"/>
  <c r="J69" i="37"/>
  <c r="G160" i="41"/>
  <c r="H160" i="37"/>
  <c r="J160" i="37"/>
  <c r="I160" i="37"/>
  <c r="G376" i="41"/>
  <c r="H376" i="37"/>
  <c r="I376" i="37"/>
  <c r="G14" i="41"/>
  <c r="H14" i="37"/>
  <c r="I14" i="37"/>
  <c r="J14" i="37"/>
  <c r="G135" i="41"/>
  <c r="H135" i="37"/>
  <c r="I135" i="37"/>
  <c r="G191" i="41"/>
  <c r="H191" i="37"/>
  <c r="I191" i="37"/>
  <c r="J191" i="37"/>
  <c r="G293" i="41"/>
  <c r="H293" i="37"/>
  <c r="I293" i="37"/>
  <c r="G354" i="41"/>
  <c r="H354" i="37"/>
  <c r="I354" i="37"/>
  <c r="J354" i="37"/>
  <c r="G147" i="41"/>
  <c r="H147" i="37"/>
  <c r="J147" i="37"/>
  <c r="I147" i="37"/>
  <c r="G304" i="41"/>
  <c r="H304" i="37"/>
  <c r="I304" i="37"/>
  <c r="J304" i="37"/>
  <c r="H11" i="37"/>
  <c r="I11" i="37"/>
  <c r="J11" i="37"/>
  <c r="G59" i="41"/>
  <c r="I59" i="37"/>
  <c r="H59" i="37"/>
  <c r="J59" i="37"/>
  <c r="G139" i="41"/>
  <c r="H139" i="37"/>
  <c r="I139" i="37"/>
  <c r="J139" i="37"/>
  <c r="G296" i="41"/>
  <c r="H296" i="37"/>
  <c r="I296" i="37"/>
  <c r="J296" i="37"/>
  <c r="G389" i="41"/>
  <c r="H389" i="37"/>
  <c r="J389" i="37"/>
  <c r="I389" i="37"/>
  <c r="G176" i="41"/>
  <c r="H176" i="37"/>
  <c r="I176" i="37"/>
  <c r="J176" i="37"/>
  <c r="J248" i="37"/>
  <c r="J282" i="37"/>
  <c r="J300" i="37"/>
  <c r="J239" i="37"/>
  <c r="J395" i="37"/>
  <c r="G40" i="41"/>
  <c r="H40" i="37"/>
  <c r="I40" i="37"/>
  <c r="J40" i="37"/>
  <c r="H13" i="37"/>
  <c r="I13" i="37"/>
  <c r="J13" i="37"/>
  <c r="G252" i="41"/>
  <c r="H252" i="37"/>
  <c r="J252" i="37"/>
  <c r="I252" i="37"/>
  <c r="G360" i="41"/>
  <c r="H360" i="37"/>
  <c r="J360" i="37"/>
  <c r="I360" i="37"/>
  <c r="G143" i="41"/>
  <c r="H143" i="37"/>
  <c r="J143" i="37"/>
  <c r="I143" i="37"/>
  <c r="G251" i="41"/>
  <c r="H251" i="37"/>
  <c r="I251" i="37"/>
  <c r="J251" i="37"/>
  <c r="G299" i="41"/>
  <c r="H299" i="37"/>
  <c r="I299" i="37"/>
  <c r="J299" i="37"/>
  <c r="G136" i="41"/>
  <c r="H136" i="37"/>
  <c r="I136" i="37"/>
  <c r="J136" i="37"/>
  <c r="G25" i="41"/>
  <c r="H25" i="37"/>
  <c r="I25" i="37"/>
  <c r="J25" i="37"/>
  <c r="G73" i="41"/>
  <c r="H73" i="37"/>
  <c r="I73" i="37"/>
  <c r="J73" i="37"/>
  <c r="G174" i="41"/>
  <c r="H174" i="37"/>
  <c r="I174" i="37"/>
  <c r="J174" i="37"/>
  <c r="G228" i="41"/>
  <c r="H228" i="37"/>
  <c r="I228" i="37"/>
  <c r="G276" i="41"/>
  <c r="H276" i="37"/>
  <c r="I276" i="37"/>
  <c r="J276" i="37"/>
  <c r="G332" i="41"/>
  <c r="H332" i="37"/>
  <c r="I332" i="37"/>
  <c r="J332" i="37"/>
  <c r="G145" i="41"/>
  <c r="H145" i="37"/>
  <c r="I145" i="37"/>
  <c r="J145" i="37"/>
  <c r="G199" i="41"/>
  <c r="H199" i="37"/>
  <c r="I199" i="37"/>
  <c r="J199" i="37"/>
  <c r="G253" i="41"/>
  <c r="H253" i="37"/>
  <c r="J253" i="37"/>
  <c r="I253" i="37"/>
  <c r="G361" i="41"/>
  <c r="H361" i="37"/>
  <c r="I361" i="37"/>
  <c r="J361" i="37"/>
  <c r="G155" i="41"/>
  <c r="H155" i="37"/>
  <c r="I155" i="37"/>
  <c r="G211" i="41"/>
  <c r="H211" i="37"/>
  <c r="J211" i="37"/>
  <c r="I211" i="37"/>
  <c r="G315" i="41"/>
  <c r="H315" i="37"/>
  <c r="I315" i="37"/>
  <c r="G371" i="41"/>
  <c r="H371" i="37"/>
  <c r="I371" i="37"/>
  <c r="J371" i="37"/>
  <c r="G224" i="41"/>
  <c r="H224" i="37"/>
  <c r="J224" i="37"/>
  <c r="I224" i="37"/>
  <c r="H15" i="37"/>
  <c r="I15" i="37"/>
  <c r="J15" i="37"/>
  <c r="G39" i="41"/>
  <c r="H39" i="37"/>
  <c r="J39" i="37"/>
  <c r="I39" i="37"/>
  <c r="G148" i="41"/>
  <c r="H148" i="37"/>
  <c r="J148" i="37"/>
  <c r="I148" i="37"/>
  <c r="G202" i="41"/>
  <c r="H202" i="37"/>
  <c r="I202" i="37"/>
  <c r="J202" i="37"/>
  <c r="G306" i="41"/>
  <c r="H306" i="37"/>
  <c r="I306" i="37"/>
  <c r="J306" i="37"/>
  <c r="G364" i="41"/>
  <c r="H364" i="37"/>
  <c r="I364" i="37"/>
  <c r="J364" i="37"/>
  <c r="G184" i="41"/>
  <c r="H184" i="37"/>
  <c r="J184" i="37"/>
  <c r="I184" i="37"/>
  <c r="G257" i="41"/>
  <c r="H257" i="37"/>
  <c r="I257" i="37"/>
  <c r="J195" i="37"/>
  <c r="J187" i="37"/>
  <c r="J303" i="37"/>
  <c r="J155" i="37"/>
  <c r="J394" i="37"/>
  <c r="G58" i="41"/>
  <c r="I58" i="37"/>
  <c r="H58" i="37"/>
  <c r="J58" i="37"/>
  <c r="G373" i="41"/>
  <c r="H373" i="37"/>
  <c r="I373" i="37"/>
  <c r="J373" i="37"/>
  <c r="G52" i="41"/>
  <c r="H52" i="37"/>
  <c r="I52" i="37"/>
  <c r="J52" i="37"/>
  <c r="G192" i="41"/>
  <c r="H192" i="37"/>
  <c r="I192" i="37"/>
  <c r="J192" i="37"/>
  <c r="G206" i="41"/>
  <c r="H206" i="37"/>
  <c r="I206" i="37"/>
  <c r="G310" i="41"/>
  <c r="H310" i="37"/>
  <c r="I310" i="37"/>
  <c r="J310" i="37"/>
  <c r="G26" i="41"/>
  <c r="H26" i="37"/>
  <c r="J26" i="37"/>
  <c r="I26" i="37"/>
  <c r="G49" i="41"/>
  <c r="I49" i="37"/>
  <c r="H49" i="37"/>
  <c r="J49" i="37"/>
  <c r="G384" i="41"/>
  <c r="H384" i="37"/>
  <c r="I384" i="37"/>
  <c r="G30" i="41"/>
  <c r="H30" i="37"/>
  <c r="I30" i="37"/>
  <c r="J30" i="37"/>
  <c r="G302" i="41"/>
  <c r="H302" i="37"/>
  <c r="I302" i="37"/>
  <c r="G22" i="41"/>
  <c r="H22" i="37"/>
  <c r="I22" i="37"/>
  <c r="J22" i="37"/>
  <c r="G263" i="41"/>
  <c r="H263" i="37"/>
  <c r="J263" i="37"/>
  <c r="I263" i="37"/>
  <c r="G357" i="41"/>
  <c r="H357" i="37"/>
  <c r="I357" i="37"/>
  <c r="G63" i="41"/>
  <c r="H63" i="37"/>
  <c r="I63" i="37"/>
  <c r="J63" i="37"/>
  <c r="G256" i="41"/>
  <c r="H256" i="37"/>
  <c r="I256" i="37"/>
  <c r="G249" i="41"/>
  <c r="H249" i="37"/>
  <c r="I249" i="37"/>
  <c r="J249" i="37"/>
  <c r="G265" i="41"/>
  <c r="H265" i="37"/>
  <c r="I265" i="37"/>
  <c r="G220" i="41"/>
  <c r="H220" i="37"/>
  <c r="J220" i="37"/>
  <c r="I220" i="37"/>
  <c r="J197" i="37"/>
  <c r="J283" i="37"/>
  <c r="J186" i="37"/>
  <c r="J218" i="37"/>
  <c r="J154" i="37"/>
  <c r="J315" i="37"/>
  <c r="G16" i="41"/>
  <c r="H16" i="37"/>
  <c r="I16" i="37"/>
  <c r="J16" i="37"/>
  <c r="G258" i="41"/>
  <c r="H258" i="37"/>
  <c r="I258" i="37"/>
  <c r="J258" i="37"/>
  <c r="G275" i="41"/>
  <c r="H275" i="37"/>
  <c r="I275" i="37"/>
  <c r="G335" i="41"/>
  <c r="H335" i="37"/>
  <c r="I335" i="37"/>
  <c r="J335" i="37"/>
  <c r="G198" i="41"/>
  <c r="H198" i="37"/>
  <c r="J198" i="37"/>
  <c r="I198" i="37"/>
  <c r="G246" i="41"/>
  <c r="H246" i="37"/>
  <c r="I246" i="37"/>
  <c r="G180" i="41"/>
  <c r="H180" i="37"/>
  <c r="J180" i="37"/>
  <c r="I180" i="37"/>
  <c r="G340" i="41"/>
  <c r="H340" i="37"/>
  <c r="J340" i="37"/>
  <c r="I340" i="37"/>
  <c r="G188" i="41"/>
  <c r="H188" i="37"/>
  <c r="I188" i="37"/>
  <c r="G290" i="41"/>
  <c r="H290" i="37"/>
  <c r="J290" i="37"/>
  <c r="I290" i="37"/>
  <c r="G350" i="41"/>
  <c r="H350" i="37"/>
  <c r="I350" i="37"/>
  <c r="G398" i="41"/>
  <c r="H398" i="37"/>
  <c r="J398" i="37"/>
  <c r="I398" i="37"/>
  <c r="G151" i="41"/>
  <c r="H151" i="37"/>
  <c r="I151" i="37"/>
  <c r="J151" i="37"/>
  <c r="G259" i="41"/>
  <c r="H259" i="37"/>
  <c r="J259" i="37"/>
  <c r="I259" i="37"/>
  <c r="G367" i="41"/>
  <c r="H367" i="37"/>
  <c r="I367" i="37"/>
  <c r="G38" i="41"/>
  <c r="H38" i="37"/>
  <c r="I38" i="37"/>
  <c r="J38" i="37"/>
  <c r="G210" i="41"/>
  <c r="H210" i="37"/>
  <c r="I210" i="37"/>
  <c r="J210" i="37"/>
  <c r="G29" i="41"/>
  <c r="H29" i="37"/>
  <c r="J29" i="37"/>
  <c r="I29" i="37"/>
  <c r="G123" i="41"/>
  <c r="H123" i="37"/>
  <c r="I123" i="37"/>
  <c r="G236" i="41"/>
  <c r="H236" i="37"/>
  <c r="I236" i="37"/>
  <c r="J236" i="37"/>
  <c r="G284" i="41"/>
  <c r="H284" i="37"/>
  <c r="I284" i="37"/>
  <c r="G392" i="41"/>
  <c r="H392" i="37"/>
  <c r="I392" i="37"/>
  <c r="J392" i="37"/>
  <c r="G377" i="41"/>
  <c r="H377" i="37"/>
  <c r="I377" i="37"/>
  <c r="G208" i="41"/>
  <c r="H208" i="37"/>
  <c r="I208" i="37"/>
  <c r="J208" i="37"/>
  <c r="G261" i="41"/>
  <c r="H261" i="37"/>
  <c r="I261" i="37"/>
  <c r="J261" i="37"/>
  <c r="G169" i="41"/>
  <c r="H169" i="37"/>
  <c r="I169" i="37"/>
  <c r="G271" i="41"/>
  <c r="H271" i="37"/>
  <c r="I271" i="37"/>
  <c r="J271" i="37"/>
  <c r="G241" i="41"/>
  <c r="H241" i="37"/>
  <c r="I241" i="37"/>
  <c r="J241" i="37"/>
  <c r="G381" i="41"/>
  <c r="H381" i="37"/>
  <c r="J381" i="37"/>
  <c r="I381" i="37"/>
  <c r="G19" i="41"/>
  <c r="H19" i="37"/>
  <c r="I19" i="37"/>
  <c r="J19" i="37"/>
  <c r="G67" i="41"/>
  <c r="H67" i="37"/>
  <c r="I67" i="37"/>
  <c r="J67" i="37"/>
  <c r="G156" i="41"/>
  <c r="H156" i="37"/>
  <c r="J156" i="37"/>
  <c r="I156" i="37"/>
  <c r="G264" i="41"/>
  <c r="H264" i="37"/>
  <c r="I264" i="37"/>
  <c r="G316" i="41"/>
  <c r="H316" i="37"/>
  <c r="I316" i="37"/>
  <c r="J316" i="37"/>
  <c r="G273" i="41"/>
  <c r="H273" i="37"/>
  <c r="I273" i="37"/>
  <c r="G238" i="41"/>
  <c r="H238" i="37"/>
  <c r="I238" i="37"/>
  <c r="J349" i="37"/>
  <c r="J376" i="37"/>
  <c r="J265" i="37"/>
  <c r="J257" i="37"/>
  <c r="J324" i="37"/>
  <c r="J314" i="37"/>
  <c r="G32" i="41"/>
  <c r="H32" i="37"/>
  <c r="I32" i="37"/>
  <c r="J32" i="37"/>
  <c r="G56" i="41"/>
  <c r="H56" i="37"/>
  <c r="I56" i="37"/>
  <c r="J56" i="37"/>
  <c r="G131" i="41"/>
  <c r="H131" i="37"/>
  <c r="J131" i="37"/>
  <c r="I131" i="37"/>
  <c r="G242" i="41"/>
  <c r="H242" i="37"/>
  <c r="I242" i="37"/>
  <c r="J242" i="37"/>
  <c r="G159" i="41"/>
  <c r="H159" i="37"/>
  <c r="J159" i="37"/>
  <c r="I159" i="37"/>
  <c r="G216" i="41"/>
  <c r="H216" i="37"/>
  <c r="I216" i="37"/>
  <c r="G267" i="41"/>
  <c r="H267" i="37"/>
  <c r="I267" i="37"/>
  <c r="J267" i="37"/>
  <c r="G375" i="41"/>
  <c r="H375" i="37"/>
  <c r="I375" i="37"/>
  <c r="G53" i="41"/>
  <c r="H53" i="37"/>
  <c r="J53" i="37"/>
  <c r="I53" i="37"/>
  <c r="G182" i="41"/>
  <c r="H182" i="37"/>
  <c r="J182" i="37"/>
  <c r="I182" i="37"/>
  <c r="G343" i="41"/>
  <c r="H343" i="37"/>
  <c r="J343" i="37"/>
  <c r="I343" i="37"/>
  <c r="G34" i="41"/>
  <c r="H34" i="37"/>
  <c r="I34" i="37"/>
  <c r="J34" i="37"/>
  <c r="G153" i="41"/>
  <c r="H153" i="37"/>
  <c r="I153" i="37"/>
  <c r="G312" i="41"/>
  <c r="H312" i="37"/>
  <c r="I312" i="37"/>
  <c r="G385" i="41"/>
  <c r="H385" i="37"/>
  <c r="I385" i="37"/>
  <c r="G42" i="41"/>
  <c r="H42" i="37"/>
  <c r="I42" i="37"/>
  <c r="J42" i="37"/>
  <c r="G222" i="41"/>
  <c r="H222" i="37"/>
  <c r="J222" i="37"/>
  <c r="I222" i="37"/>
  <c r="G326" i="41"/>
  <c r="H326" i="37"/>
  <c r="I326" i="37"/>
  <c r="G379" i="41"/>
  <c r="H379" i="37"/>
  <c r="J379" i="37"/>
  <c r="I379" i="37"/>
  <c r="G146" i="41"/>
  <c r="H146" i="37"/>
  <c r="I146" i="37"/>
  <c r="J146" i="37"/>
  <c r="G43" i="41"/>
  <c r="H43" i="37"/>
  <c r="I43" i="37"/>
  <c r="J43" i="37"/>
  <c r="G212" i="41"/>
  <c r="H212" i="37"/>
  <c r="I212" i="37"/>
  <c r="J212" i="37"/>
  <c r="G372" i="41"/>
  <c r="H372" i="37"/>
  <c r="J372" i="37"/>
  <c r="I372" i="37"/>
  <c r="G270" i="41"/>
  <c r="H270" i="37"/>
  <c r="J270" i="37"/>
  <c r="I270" i="37"/>
  <c r="J123" i="37"/>
  <c r="J350" i="37"/>
  <c r="J377" i="37"/>
  <c r="J266" i="37"/>
  <c r="J255" i="37"/>
  <c r="G127" i="41"/>
  <c r="H127" i="37"/>
  <c r="J127" i="37"/>
  <c r="I127" i="37"/>
  <c r="G287" i="41"/>
  <c r="H287" i="37"/>
  <c r="J287" i="37"/>
  <c r="I287" i="37"/>
  <c r="H12" i="37"/>
  <c r="I12" i="37"/>
  <c r="J12" i="37"/>
  <c r="G142" i="41"/>
  <c r="H142" i="37"/>
  <c r="J142" i="37"/>
  <c r="I142" i="37"/>
  <c r="G298" i="41"/>
  <c r="H298" i="37"/>
  <c r="I298" i="37"/>
  <c r="J298" i="37"/>
  <c r="G36" i="41"/>
  <c r="H36" i="37"/>
  <c r="I36" i="37"/>
  <c r="J36" i="37"/>
  <c r="G60" i="41"/>
  <c r="I60" i="37"/>
  <c r="H60" i="37"/>
  <c r="J60" i="37"/>
  <c r="G196" i="41"/>
  <c r="H196" i="37"/>
  <c r="I196" i="37"/>
  <c r="G250" i="41"/>
  <c r="H250" i="37"/>
  <c r="I250" i="37"/>
  <c r="J250" i="37"/>
  <c r="G358" i="41"/>
  <c r="H358" i="37"/>
  <c r="I358" i="37"/>
  <c r="G254" i="41"/>
  <c r="H254" i="37"/>
  <c r="J254" i="37"/>
  <c r="I254" i="37"/>
  <c r="G320" i="41"/>
  <c r="H320" i="37"/>
  <c r="I320" i="37"/>
  <c r="J320" i="37"/>
  <c r="G278" i="41"/>
  <c r="H278" i="37"/>
  <c r="I278" i="37"/>
  <c r="J278" i="37"/>
  <c r="H57" i="37"/>
  <c r="I57" i="37"/>
  <c r="J57" i="37"/>
  <c r="G134" i="41"/>
  <c r="H134" i="37"/>
  <c r="I134" i="37"/>
  <c r="G190" i="41"/>
  <c r="H190" i="37"/>
  <c r="J190" i="37"/>
  <c r="I190" i="37"/>
  <c r="G292" i="41"/>
  <c r="H292" i="37"/>
  <c r="I292" i="37"/>
  <c r="G352" i="41"/>
  <c r="H352" i="37"/>
  <c r="I352" i="37"/>
  <c r="J352" i="37"/>
  <c r="G168" i="41"/>
  <c r="H168" i="37"/>
  <c r="I168" i="37"/>
  <c r="G219" i="41"/>
  <c r="H219" i="37"/>
  <c r="I219" i="37"/>
  <c r="G323" i="41"/>
  <c r="H323" i="37"/>
  <c r="I323" i="37"/>
  <c r="J323" i="37"/>
  <c r="G177" i="41"/>
  <c r="H177" i="37"/>
  <c r="I177" i="37"/>
  <c r="G387" i="41"/>
  <c r="H387" i="37"/>
  <c r="J387" i="37"/>
  <c r="I387" i="37"/>
  <c r="G23" i="41"/>
  <c r="H23" i="37"/>
  <c r="I23" i="37"/>
  <c r="J23" i="37"/>
  <c r="G47" i="41"/>
  <c r="I47" i="37"/>
  <c r="H47" i="37"/>
  <c r="J47" i="37"/>
  <c r="G170" i="41"/>
  <c r="H170" i="37"/>
  <c r="I170" i="37"/>
  <c r="G272" i="41"/>
  <c r="H272" i="37"/>
  <c r="I272" i="37"/>
  <c r="J272" i="37"/>
  <c r="G327" i="41"/>
  <c r="H327" i="37"/>
  <c r="I327" i="37"/>
  <c r="G294" i="41"/>
  <c r="H294" i="37"/>
  <c r="I294" i="37"/>
  <c r="J294" i="37"/>
  <c r="G140" i="41"/>
  <c r="H140" i="37"/>
  <c r="I140" i="37"/>
  <c r="J140" i="37"/>
  <c r="G297" i="41"/>
  <c r="H297" i="37"/>
  <c r="I297" i="37"/>
  <c r="J297" i="37"/>
  <c r="J348" i="37"/>
  <c r="J375" i="37"/>
  <c r="J273" i="37"/>
  <c r="J256" i="37"/>
  <c r="J229" i="37"/>
  <c r="J312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46" i="41"/>
  <c r="H162" i="41"/>
  <c r="J440" i="41"/>
  <c r="H441" i="41"/>
  <c r="I446" i="41"/>
  <c r="I436" i="41"/>
  <c r="H450" i="41"/>
  <c r="J436" i="41"/>
  <c r="J447" i="41"/>
  <c r="I163" i="41"/>
  <c r="J450" i="41"/>
  <c r="H440" i="41"/>
  <c r="I313" i="58"/>
  <c r="G10" i="66"/>
  <c r="H429" i="37"/>
  <c r="G112" i="66"/>
  <c r="J427" i="37"/>
  <c r="J428" i="37"/>
  <c r="G124" i="66"/>
  <c r="N124" i="66" s="1"/>
  <c r="I425" i="58"/>
  <c r="G239" i="66"/>
  <c r="I363" i="58"/>
  <c r="I395" i="58"/>
  <c r="J141" i="58"/>
  <c r="I230" i="58"/>
  <c r="H420" i="37"/>
  <c r="G24" i="66"/>
  <c r="C34" i="63"/>
  <c r="G231" i="66"/>
  <c r="I424" i="58"/>
  <c r="G187" i="66"/>
  <c r="N187" i="66" s="1"/>
  <c r="H431" i="58"/>
  <c r="I455" i="41"/>
  <c r="E358" i="38"/>
  <c r="K59" i="66" s="1"/>
  <c r="G223" i="66"/>
  <c r="I426" i="58"/>
  <c r="G165" i="66"/>
  <c r="N165" i="66" s="1"/>
  <c r="H432" i="58"/>
  <c r="G183" i="66"/>
  <c r="H424" i="58"/>
  <c r="G46" i="41"/>
  <c r="G29" i="66"/>
  <c r="H423" i="37"/>
  <c r="H430" i="37"/>
  <c r="G17" i="66"/>
  <c r="E386" i="38"/>
  <c r="J422" i="58"/>
  <c r="G281" i="66"/>
  <c r="G163" i="66"/>
  <c r="H419" i="58"/>
  <c r="G279" i="66"/>
  <c r="J424" i="58"/>
  <c r="I361" i="58"/>
  <c r="I162" i="58"/>
  <c r="H404" i="58"/>
  <c r="F174" i="66" s="1"/>
  <c r="N174" i="66" s="1"/>
  <c r="G175" i="66"/>
  <c r="N175" i="66" s="1"/>
  <c r="H426" i="58"/>
  <c r="J208" i="58"/>
  <c r="J341" i="58"/>
  <c r="I235" i="58"/>
  <c r="J162" i="58"/>
  <c r="H251" i="58"/>
  <c r="H420" i="58"/>
  <c r="G168" i="66"/>
  <c r="H8" i="41"/>
  <c r="C7" i="63"/>
  <c r="G43" i="66"/>
  <c r="N43" i="66" s="1"/>
  <c r="H431" i="37"/>
  <c r="G220" i="66"/>
  <c r="I428" i="58"/>
  <c r="G259" i="66"/>
  <c r="J419" i="58"/>
  <c r="G100" i="66"/>
  <c r="J421" i="37"/>
  <c r="H163" i="41"/>
  <c r="G264" i="66"/>
  <c r="J420" i="58"/>
  <c r="I447" i="41"/>
  <c r="H430" i="58"/>
  <c r="G161" i="66"/>
  <c r="E389" i="38"/>
  <c r="G47" i="66"/>
  <c r="N47" i="66" s="1"/>
  <c r="H425" i="37"/>
  <c r="E391" i="38"/>
  <c r="J430" i="58"/>
  <c r="G257" i="66"/>
  <c r="H418" i="58"/>
  <c r="G169" i="66"/>
  <c r="G125" i="66"/>
  <c r="J423" i="37"/>
  <c r="G19" i="66"/>
  <c r="H419" i="37"/>
  <c r="G135" i="66"/>
  <c r="J424" i="37"/>
  <c r="J181" i="58"/>
  <c r="J292" i="58"/>
  <c r="I157" i="58"/>
  <c r="I283" i="58"/>
  <c r="H175" i="58"/>
  <c r="J276" i="58"/>
  <c r="H152" i="58"/>
  <c r="I421" i="37"/>
  <c r="G52" i="66"/>
  <c r="H428" i="37"/>
  <c r="G28" i="66"/>
  <c r="N28" i="66" s="1"/>
  <c r="G154" i="66"/>
  <c r="H429" i="58"/>
  <c r="G76" i="66"/>
  <c r="I428" i="37"/>
  <c r="G115" i="66"/>
  <c r="J419" i="37"/>
  <c r="J421" i="58"/>
  <c r="G244" i="66"/>
  <c r="G120" i="66"/>
  <c r="J420" i="37"/>
  <c r="H425" i="58"/>
  <c r="G191" i="66"/>
  <c r="N191" i="66" s="1"/>
  <c r="G113" i="66"/>
  <c r="E388" i="38"/>
  <c r="J430" i="37"/>
  <c r="H418" i="37"/>
  <c r="G25" i="66"/>
  <c r="J423" i="58"/>
  <c r="G269" i="66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58"/>
  <c r="G77" i="66"/>
  <c r="I423" i="37"/>
  <c r="I419" i="58"/>
  <c r="G211" i="66"/>
  <c r="E359" i="38"/>
  <c r="K57" i="66" s="1"/>
  <c r="I456" i="41"/>
  <c r="E382" i="38"/>
  <c r="K251" i="66" s="1"/>
  <c r="N251" i="66" s="1"/>
  <c r="E380" i="38"/>
  <c r="K285" i="66" s="1"/>
  <c r="N285" i="66" s="1"/>
  <c r="E381" i="38"/>
  <c r="K267" i="66" s="1"/>
  <c r="N267" i="66" s="1"/>
  <c r="J456" i="58"/>
  <c r="E383" i="38" s="1"/>
  <c r="K249" i="66" s="1"/>
  <c r="N249" i="66" s="1"/>
  <c r="J456" i="37"/>
  <c r="G69" i="66"/>
  <c r="I432" i="37"/>
  <c r="G256" i="66"/>
  <c r="J427" i="58"/>
  <c r="G268" i="66"/>
  <c r="N268" i="66" s="1"/>
  <c r="J428" i="58"/>
  <c r="J441" i="41"/>
  <c r="G31" i="66"/>
  <c r="N31" i="66" s="1"/>
  <c r="H426" i="37"/>
  <c r="G283" i="66"/>
  <c r="N283" i="66" s="1"/>
  <c r="J431" i="58"/>
  <c r="G11" i="41"/>
  <c r="G91" i="66"/>
  <c r="I431" i="37"/>
  <c r="H438" i="41"/>
  <c r="J451" i="41"/>
  <c r="I213" i="58"/>
  <c r="I379" i="58"/>
  <c r="I423" i="58"/>
  <c r="G221" i="66"/>
  <c r="G72" i="66"/>
  <c r="I420" i="37"/>
  <c r="G67" i="66"/>
  <c r="I419" i="37"/>
  <c r="E357" i="38"/>
  <c r="K75" i="66" s="1"/>
  <c r="I454" i="41"/>
  <c r="G70" i="41"/>
  <c r="H422" i="58"/>
  <c r="G185" i="66"/>
  <c r="G13" i="41"/>
  <c r="G233" i="66"/>
  <c r="I422" i="58"/>
  <c r="C16" i="63"/>
  <c r="I8" i="41"/>
  <c r="E387" i="38"/>
  <c r="G65" i="66"/>
  <c r="I430" i="37"/>
  <c r="I427" i="37"/>
  <c r="G64" i="66"/>
  <c r="G15" i="41"/>
  <c r="G235" i="66"/>
  <c r="I431" i="58"/>
  <c r="H428" i="58"/>
  <c r="G172" i="66"/>
  <c r="N172" i="66" s="1"/>
  <c r="I453" i="41"/>
  <c r="E356" i="38"/>
  <c r="K93" i="66" s="1"/>
  <c r="J235" i="58"/>
  <c r="H290" i="58"/>
  <c r="J8" i="58"/>
  <c r="G143" i="66"/>
  <c r="J425" i="37"/>
  <c r="G12" i="41"/>
  <c r="G216" i="66"/>
  <c r="I420" i="58"/>
  <c r="G148" i="66"/>
  <c r="H421" i="58"/>
  <c r="G127" i="66"/>
  <c r="J426" i="37"/>
  <c r="G41" i="66"/>
  <c r="H422" i="37"/>
  <c r="I13" i="58"/>
  <c r="J13" i="58"/>
  <c r="H13" i="58"/>
  <c r="G89" i="66"/>
  <c r="I422" i="37"/>
  <c r="E259" i="38"/>
  <c r="G214" i="66" s="1"/>
  <c r="D18" i="34"/>
  <c r="E214" i="38"/>
  <c r="J438" i="41"/>
  <c r="C43" i="63"/>
  <c r="G209" i="66"/>
  <c r="I430" i="58"/>
  <c r="E390" i="38"/>
  <c r="H451" i="41"/>
  <c r="G208" i="66"/>
  <c r="I427" i="58"/>
  <c r="H436" i="41"/>
  <c r="G196" i="66"/>
  <c r="I421" i="58"/>
  <c r="G213" i="66"/>
  <c r="I432" i="58"/>
  <c r="G57" i="41"/>
  <c r="I418" i="37"/>
  <c r="J230" i="58"/>
  <c r="J266" i="58"/>
  <c r="I208" i="58"/>
  <c r="I298" i="58"/>
  <c r="I256" i="58"/>
  <c r="I441" i="41"/>
  <c r="G287" i="66"/>
  <c r="N287" i="66" s="1"/>
  <c r="J425" i="58"/>
  <c r="J12" i="58"/>
  <c r="H12" i="58"/>
  <c r="I12" i="58"/>
  <c r="G87" i="66"/>
  <c r="I424" i="37"/>
  <c r="H421" i="37"/>
  <c r="G4" i="66"/>
  <c r="G271" i="66"/>
  <c r="N271" i="66" s="1"/>
  <c r="J426" i="58"/>
  <c r="G79" i="66"/>
  <c r="I426" i="37"/>
  <c r="G21" i="66"/>
  <c r="N21" i="66" s="1"/>
  <c r="H432" i="37"/>
  <c r="J446" i="41"/>
  <c r="H424" i="37"/>
  <c r="G39" i="66"/>
  <c r="G173" i="66"/>
  <c r="H423" i="58"/>
  <c r="G137" i="66"/>
  <c r="J422" i="37"/>
  <c r="I438" i="41"/>
  <c r="H447" i="41"/>
  <c r="I450" i="41"/>
  <c r="J163" i="41"/>
  <c r="I440" i="41"/>
  <c r="I451" i="41"/>
  <c r="J403" i="37" l="1"/>
  <c r="J402" i="37"/>
  <c r="I403" i="37"/>
  <c r="I402" i="37"/>
  <c r="H403" i="37"/>
  <c r="H402" i="37"/>
  <c r="N57" i="66"/>
  <c r="O201" i="66" s="1"/>
  <c r="Q201" i="66" s="1"/>
  <c r="R201" i="66" s="1"/>
  <c r="T201" i="66" s="1"/>
  <c r="N75" i="66"/>
  <c r="Z75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24" i="41"/>
  <c r="G73" i="66"/>
  <c r="I418" i="58"/>
  <c r="I418" i="41" s="1"/>
  <c r="G217" i="66"/>
  <c r="J419" i="41"/>
  <c r="Q155" i="66"/>
  <c r="Q171" i="66"/>
  <c r="Q27" i="66"/>
  <c r="Q11" i="66"/>
  <c r="Q9" i="66"/>
  <c r="Q45" i="66"/>
  <c r="H424" i="41"/>
  <c r="H418" i="41"/>
  <c r="I428" i="41"/>
  <c r="I426" i="41"/>
  <c r="I363" i="41"/>
  <c r="I425" i="41"/>
  <c r="J141" i="41"/>
  <c r="H432" i="41"/>
  <c r="O191" i="66"/>
  <c r="Q191" i="66" s="1"/>
  <c r="H419" i="41"/>
  <c r="H422" i="41"/>
  <c r="J235" i="41"/>
  <c r="J420" i="41"/>
  <c r="I420" i="41"/>
  <c r="H175" i="41"/>
  <c r="J181" i="41"/>
  <c r="I213" i="41"/>
  <c r="J431" i="41"/>
  <c r="I422" i="41"/>
  <c r="J432" i="41"/>
  <c r="H290" i="41"/>
  <c r="H431" i="41"/>
  <c r="J424" i="41"/>
  <c r="I313" i="41"/>
  <c r="H152" i="41"/>
  <c r="I361" i="41"/>
  <c r="I208" i="41"/>
  <c r="H423" i="41"/>
  <c r="J292" i="41"/>
  <c r="I235" i="41"/>
  <c r="J428" i="41"/>
  <c r="I427" i="41"/>
  <c r="J230" i="41"/>
  <c r="I423" i="41"/>
  <c r="J422" i="41"/>
  <c r="I283" i="41"/>
  <c r="H251" i="41"/>
  <c r="H285" i="58"/>
  <c r="H365" i="58"/>
  <c r="J327" i="58"/>
  <c r="I356" i="58"/>
  <c r="I243" i="58"/>
  <c r="I140" i="58"/>
  <c r="I137" i="58"/>
  <c r="H387" i="58"/>
  <c r="H319" i="58"/>
  <c r="H236" i="58"/>
  <c r="J172" i="58"/>
  <c r="I310" i="58"/>
  <c r="H375" i="58"/>
  <c r="I287" i="58"/>
  <c r="I152" i="58"/>
  <c r="I207" i="58"/>
  <c r="H232" i="58"/>
  <c r="I380" i="58"/>
  <c r="H253" i="58"/>
  <c r="I227" i="58"/>
  <c r="H280" i="58"/>
  <c r="H346" i="58"/>
  <c r="J335" i="58"/>
  <c r="H371" i="58"/>
  <c r="I228" i="58"/>
  <c r="H208" i="58"/>
  <c r="I144" i="58"/>
  <c r="J140" i="58"/>
  <c r="I337" i="58"/>
  <c r="I294" i="58"/>
  <c r="J137" i="58"/>
  <c r="J344" i="58"/>
  <c r="H348" i="58"/>
  <c r="J174" i="58"/>
  <c r="J328" i="58"/>
  <c r="H369" i="58"/>
  <c r="H123" i="58"/>
  <c r="I400" i="58"/>
  <c r="H262" i="58"/>
  <c r="H149" i="58"/>
  <c r="H264" i="58"/>
  <c r="J151" i="58"/>
  <c r="H197" i="58"/>
  <c r="H353" i="58"/>
  <c r="J155" i="58"/>
  <c r="I277" i="58"/>
  <c r="I145" i="58"/>
  <c r="I175" i="58"/>
  <c r="J206" i="58"/>
  <c r="H314" i="58"/>
  <c r="I203" i="58"/>
  <c r="I141" i="58"/>
  <c r="J266" i="41"/>
  <c r="I379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O175" i="66"/>
  <c r="Y203" i="66"/>
  <c r="O59" i="66"/>
  <c r="I395" i="41"/>
  <c r="J427" i="41"/>
  <c r="H239" i="58"/>
  <c r="H170" i="58"/>
  <c r="J164" i="58"/>
  <c r="H367" i="58"/>
  <c r="I155" i="58"/>
  <c r="I326" i="58"/>
  <c r="J144" i="58"/>
  <c r="J267" i="58"/>
  <c r="J305" i="58"/>
  <c r="J384" i="58"/>
  <c r="J189" i="58"/>
  <c r="J228" i="58"/>
  <c r="H129" i="58"/>
  <c r="J146" i="58"/>
  <c r="H315" i="58"/>
  <c r="H209" i="58"/>
  <c r="H254" i="58"/>
  <c r="I211" i="58"/>
  <c r="H161" i="58"/>
  <c r="J319" i="58"/>
  <c r="J282" i="58"/>
  <c r="Z43" i="66"/>
  <c r="Y43" i="66"/>
  <c r="Y187" i="66"/>
  <c r="Z187" i="66"/>
  <c r="I226" i="58"/>
  <c r="H138" i="58"/>
  <c r="J184" i="58"/>
  <c r="I164" i="58"/>
  <c r="J122" i="58"/>
  <c r="H133" i="58"/>
  <c r="I331" i="58"/>
  <c r="J154" i="58"/>
  <c r="H176" i="58"/>
  <c r="I335" i="58"/>
  <c r="H198" i="58"/>
  <c r="I384" i="58"/>
  <c r="I340" i="58"/>
  <c r="J224" i="58"/>
  <c r="H291" i="58"/>
  <c r="H132" i="58"/>
  <c r="H224" i="58"/>
  <c r="J291" i="58"/>
  <c r="J345" i="58"/>
  <c r="I153" i="58"/>
  <c r="I321" i="58"/>
  <c r="I305" i="58"/>
  <c r="J288" i="58"/>
  <c r="I217" i="58"/>
  <c r="I231" i="58"/>
  <c r="J186" i="58"/>
  <c r="I151" i="58"/>
  <c r="J207" i="58"/>
  <c r="H258" i="58"/>
  <c r="I233" i="58"/>
  <c r="J349" i="58"/>
  <c r="H300" i="58"/>
  <c r="J367" i="58"/>
  <c r="I170" i="58"/>
  <c r="H339" i="58"/>
  <c r="J275" i="58"/>
  <c r="J199" i="58"/>
  <c r="H223" i="58"/>
  <c r="I229" i="58"/>
  <c r="J306" i="58"/>
  <c r="H345" i="58"/>
  <c r="J368" i="58"/>
  <c r="J169" i="58"/>
  <c r="H120" i="58"/>
  <c r="J307" i="58"/>
  <c r="J226" i="58"/>
  <c r="I257" i="58"/>
  <c r="J363" i="58"/>
  <c r="H395" i="58"/>
  <c r="J147" i="58"/>
  <c r="J152" i="58"/>
  <c r="J256" i="58"/>
  <c r="I386" i="58"/>
  <c r="J382" i="58"/>
  <c r="J236" i="58"/>
  <c r="J196" i="58"/>
  <c r="H384" i="58"/>
  <c r="H305" i="58"/>
  <c r="J271" i="58"/>
  <c r="I346" i="58"/>
  <c r="J374" i="58"/>
  <c r="J391" i="58"/>
  <c r="H167" i="58"/>
  <c r="H222" i="58"/>
  <c r="I330" i="58"/>
  <c r="H202" i="58"/>
  <c r="J126" i="58"/>
  <c r="J211" i="58"/>
  <c r="H195" i="58"/>
  <c r="H137" i="58"/>
  <c r="J272" i="58"/>
  <c r="J339" i="58"/>
  <c r="J123" i="58"/>
  <c r="H214" i="58"/>
  <c r="H134" i="58"/>
  <c r="H282" i="58"/>
  <c r="H145" i="58"/>
  <c r="I149" i="58"/>
  <c r="H242" i="58"/>
  <c r="H392" i="58"/>
  <c r="H245" i="58"/>
  <c r="H397" i="58"/>
  <c r="J351" i="58"/>
  <c r="I369" i="58"/>
  <c r="I186" i="58"/>
  <c r="H189" i="58"/>
  <c r="I328" i="58"/>
  <c r="I129" i="58"/>
  <c r="J183" i="58"/>
  <c r="J375" i="58"/>
  <c r="I381" i="58"/>
  <c r="J360" i="58"/>
  <c r="I324" i="58"/>
  <c r="H166" i="58"/>
  <c r="J221" i="58"/>
  <c r="I279" i="58"/>
  <c r="J304" i="58"/>
  <c r="J124" i="58"/>
  <c r="I124" i="58"/>
  <c r="J317" i="58"/>
  <c r="I291" i="58"/>
  <c r="H288" i="58"/>
  <c r="I261" i="58"/>
  <c r="J354" i="58"/>
  <c r="J133" i="58"/>
  <c r="I121" i="58"/>
  <c r="J258" i="58"/>
  <c r="I216" i="58"/>
  <c r="H180" i="58"/>
  <c r="I387" i="58"/>
  <c r="J380" i="58"/>
  <c r="J218" i="58"/>
  <c r="I338" i="58"/>
  <c r="J392" i="58"/>
  <c r="H271" i="58"/>
  <c r="I188" i="58"/>
  <c r="J203" i="58"/>
  <c r="I238" i="58"/>
  <c r="I353" i="58"/>
  <c r="H382" i="58"/>
  <c r="H295" i="58"/>
  <c r="I202" i="58"/>
  <c r="H349" i="58"/>
  <c r="I382" i="58"/>
  <c r="H226" i="58"/>
  <c r="H155" i="58"/>
  <c r="J161" i="58"/>
  <c r="I179" i="58"/>
  <c r="H142" i="58"/>
  <c r="H328" i="58"/>
  <c r="H306" i="58"/>
  <c r="J200" i="58"/>
  <c r="J289" i="58"/>
  <c r="I210" i="58"/>
  <c r="J227" i="58"/>
  <c r="H204" i="58"/>
  <c r="H199" i="58"/>
  <c r="I359" i="58"/>
  <c r="H307" i="58"/>
  <c r="H275" i="58"/>
  <c r="H196" i="58"/>
  <c r="H122" i="58"/>
  <c r="H343" i="58"/>
  <c r="H390" i="58"/>
  <c r="J326" i="58"/>
  <c r="I251" i="58"/>
  <c r="J213" i="58"/>
  <c r="J385" i="58"/>
  <c r="J225" i="58"/>
  <c r="I375" i="58"/>
  <c r="J401" i="58"/>
  <c r="H287" i="58"/>
  <c r="I256" i="41"/>
  <c r="M208" i="66"/>
  <c r="I468" i="58"/>
  <c r="F209" i="66" s="1"/>
  <c r="I469" i="58"/>
  <c r="F202" i="66" s="1"/>
  <c r="I470" i="58"/>
  <c r="J425" i="41"/>
  <c r="J13" i="41"/>
  <c r="Z175" i="66"/>
  <c r="Z31" i="66"/>
  <c r="Y31" i="66"/>
  <c r="O31" i="66"/>
  <c r="Y175" i="66"/>
  <c r="H428" i="41"/>
  <c r="H425" i="41"/>
  <c r="J421" i="41"/>
  <c r="M16" i="66"/>
  <c r="H469" i="37"/>
  <c r="H470" i="37"/>
  <c r="H468" i="37"/>
  <c r="H173" i="58"/>
  <c r="H130" i="58"/>
  <c r="J149" i="58"/>
  <c r="J365" i="58"/>
  <c r="H237" i="58"/>
  <c r="I396" i="58"/>
  <c r="I166" i="58"/>
  <c r="I273" i="58"/>
  <c r="J259" i="58"/>
  <c r="H376" i="58"/>
  <c r="J260" i="58"/>
  <c r="H292" i="58"/>
  <c r="I289" i="58"/>
  <c r="H327" i="58"/>
  <c r="I286" i="58"/>
  <c r="H140" i="58"/>
  <c r="H400" i="58"/>
  <c r="H370" i="58"/>
  <c r="I355" i="58"/>
  <c r="J241" i="58"/>
  <c r="J299" i="58"/>
  <c r="J378" i="58"/>
  <c r="H165" i="58"/>
  <c r="I374" i="58"/>
  <c r="H334" i="58"/>
  <c r="H284" i="58"/>
  <c r="H188" i="58"/>
  <c r="H396" i="58"/>
  <c r="I259" i="58"/>
  <c r="J356" i="58"/>
  <c r="I268" i="58"/>
  <c r="I199" i="58"/>
  <c r="I319" i="58"/>
  <c r="J240" i="58"/>
  <c r="J298" i="58"/>
  <c r="I376" i="58"/>
  <c r="J388" i="58"/>
  <c r="J355" i="58"/>
  <c r="H299" i="58"/>
  <c r="H200" i="58"/>
  <c r="H362" i="58"/>
  <c r="I343" i="58"/>
  <c r="J386" i="58"/>
  <c r="I311" i="58"/>
  <c r="I271" i="58"/>
  <c r="H298" i="58"/>
  <c r="H286" i="58"/>
  <c r="J202" i="58"/>
  <c r="I349" i="58"/>
  <c r="I339" i="58"/>
  <c r="H267" i="58"/>
  <c r="H192" i="58"/>
  <c r="J297" i="58"/>
  <c r="I354" i="58"/>
  <c r="H393" i="58"/>
  <c r="H159" i="58"/>
  <c r="I270" i="58"/>
  <c r="H252" i="58"/>
  <c r="J156" i="58"/>
  <c r="J348" i="58"/>
  <c r="I366" i="58"/>
  <c r="J321" i="58"/>
  <c r="I267" i="58"/>
  <c r="J399" i="58"/>
  <c r="J166" i="58"/>
  <c r="I237" i="58"/>
  <c r="J249" i="58"/>
  <c r="I393" i="58"/>
  <c r="H340" i="58"/>
  <c r="J261" i="58"/>
  <c r="I234" i="58"/>
  <c r="H270" i="58"/>
  <c r="I204" i="58"/>
  <c r="J329" i="58"/>
  <c r="J121" i="58"/>
  <c r="H321" i="58"/>
  <c r="J201" i="58"/>
  <c r="I201" i="58"/>
  <c r="J393" i="58"/>
  <c r="I316" i="58"/>
  <c r="I371" i="58"/>
  <c r="H356" i="58"/>
  <c r="J361" i="58"/>
  <c r="H179" i="58"/>
  <c r="H332" i="58"/>
  <c r="J145" i="58"/>
  <c r="I178" i="58"/>
  <c r="J222" i="58"/>
  <c r="J283" i="58"/>
  <c r="H234" i="58"/>
  <c r="H121" i="58"/>
  <c r="J287" i="58"/>
  <c r="J138" i="58"/>
  <c r="J362" i="58"/>
  <c r="H283" i="58"/>
  <c r="H230" i="58"/>
  <c r="J394" i="58"/>
  <c r="J178" i="58"/>
  <c r="I184" i="58"/>
  <c r="H178" i="58"/>
  <c r="H331" i="58"/>
  <c r="H377" i="58"/>
  <c r="I193" i="58"/>
  <c r="J182" i="58"/>
  <c r="H311" i="58"/>
  <c r="H203" i="58"/>
  <c r="I244" i="58"/>
  <c r="J274" i="58"/>
  <c r="I350" i="58"/>
  <c r="J158" i="58"/>
  <c r="H235" i="58"/>
  <c r="H191" i="58"/>
  <c r="H309" i="58"/>
  <c r="J397" i="58"/>
  <c r="H228" i="58"/>
  <c r="I296" i="58"/>
  <c r="I325" i="58"/>
  <c r="J357" i="58"/>
  <c r="J379" i="58"/>
  <c r="I292" i="58"/>
  <c r="J197" i="58"/>
  <c r="H12" i="41"/>
  <c r="E229" i="38"/>
  <c r="E274" i="38"/>
  <c r="E18" i="34"/>
  <c r="N143" i="66"/>
  <c r="H13" i="41"/>
  <c r="I419" i="41"/>
  <c r="I11" i="41"/>
  <c r="E363" i="38"/>
  <c r="K123" i="66" s="1"/>
  <c r="N123" i="66" s="1"/>
  <c r="O267" i="66" s="1"/>
  <c r="J454" i="41"/>
  <c r="Y191" i="66"/>
  <c r="Z47" i="66"/>
  <c r="O47" i="66"/>
  <c r="Z191" i="66"/>
  <c r="Y47" i="66"/>
  <c r="J341" i="41"/>
  <c r="H429" i="41"/>
  <c r="J290" i="58"/>
  <c r="H391" i="58"/>
  <c r="J239" i="58"/>
  <c r="I284" i="58"/>
  <c r="J316" i="58"/>
  <c r="H243" i="58"/>
  <c r="J165" i="58"/>
  <c r="J340" i="58"/>
  <c r="I223" i="58"/>
  <c r="I138" i="58"/>
  <c r="I130" i="58"/>
  <c r="H350" i="58"/>
  <c r="H354" i="58"/>
  <c r="I272" i="58"/>
  <c r="I365" i="58"/>
  <c r="J170" i="58"/>
  <c r="H181" i="58"/>
  <c r="I278" i="58"/>
  <c r="J284" i="58"/>
  <c r="I302" i="58"/>
  <c r="I281" i="58"/>
  <c r="H357" i="58"/>
  <c r="I389" i="58"/>
  <c r="J286" i="58"/>
  <c r="J322" i="58"/>
  <c r="H380" i="58"/>
  <c r="I191" i="58"/>
  <c r="J359" i="58"/>
  <c r="H351" i="58"/>
  <c r="I341" i="58"/>
  <c r="J337" i="58"/>
  <c r="J369" i="58"/>
  <c r="J128" i="58"/>
  <c r="J279" i="58"/>
  <c r="J387" i="58"/>
  <c r="I180" i="58"/>
  <c r="I348" i="58"/>
  <c r="I220" i="58"/>
  <c r="I177" i="58"/>
  <c r="J300" i="58"/>
  <c r="H313" i="58"/>
  <c r="I189" i="58"/>
  <c r="J314" i="58"/>
  <c r="I352" i="58"/>
  <c r="H227" i="58"/>
  <c r="J330" i="58"/>
  <c r="I142" i="58"/>
  <c r="H238" i="58"/>
  <c r="I247" i="58"/>
  <c r="I368" i="58"/>
  <c r="H278" i="58"/>
  <c r="J179" i="58"/>
  <c r="H215" i="58"/>
  <c r="J173" i="58"/>
  <c r="H158" i="58"/>
  <c r="H385" i="58"/>
  <c r="J214" i="58"/>
  <c r="J334" i="58"/>
  <c r="H342" i="58"/>
  <c r="I269" i="58"/>
  <c r="H389" i="58"/>
  <c r="I187" i="58"/>
  <c r="J313" i="58"/>
  <c r="I147" i="58"/>
  <c r="I373" i="58"/>
  <c r="J187" i="58"/>
  <c r="J253" i="58"/>
  <c r="I347" i="58"/>
  <c r="I266" i="58"/>
  <c r="Z165" i="66"/>
  <c r="Z21" i="66"/>
  <c r="Y165" i="66"/>
  <c r="Y21" i="66"/>
  <c r="G58" i="66"/>
  <c r="I429" i="37"/>
  <c r="J426" i="41"/>
  <c r="I13" i="41"/>
  <c r="H11" i="41"/>
  <c r="I432" i="41"/>
  <c r="H427" i="41"/>
  <c r="I421" i="41"/>
  <c r="M160" i="66"/>
  <c r="H468" i="58"/>
  <c r="F161" i="66" s="1"/>
  <c r="N161" i="66" s="1"/>
  <c r="H470" i="58"/>
  <c r="H469" i="58"/>
  <c r="F154" i="66" s="1"/>
  <c r="N154" i="66" s="1"/>
  <c r="H430" i="41"/>
  <c r="I185" i="58"/>
  <c r="H231" i="58"/>
  <c r="H347" i="58"/>
  <c r="I159" i="58"/>
  <c r="H316" i="58"/>
  <c r="I320" i="58"/>
  <c r="J190" i="58"/>
  <c r="I367" i="58"/>
  <c r="I196" i="58"/>
  <c r="I274" i="58"/>
  <c r="H240" i="58"/>
  <c r="I225" i="58"/>
  <c r="J343" i="58"/>
  <c r="H225" i="58"/>
  <c r="J229" i="58"/>
  <c r="J265" i="58"/>
  <c r="H374" i="58"/>
  <c r="H388" i="58"/>
  <c r="J370" i="58"/>
  <c r="I214" i="58"/>
  <c r="H312" i="58"/>
  <c r="I322" i="58"/>
  <c r="J338" i="58"/>
  <c r="H128" i="58"/>
  <c r="J295" i="58"/>
  <c r="H304" i="58"/>
  <c r="J255" i="58"/>
  <c r="H360" i="58"/>
  <c r="I255" i="58"/>
  <c r="J294" i="58"/>
  <c r="I351" i="58"/>
  <c r="I252" i="58"/>
  <c r="J153" i="58"/>
  <c r="J234" i="58"/>
  <c r="H297" i="58"/>
  <c r="J204" i="58"/>
  <c r="J396" i="58"/>
  <c r="I372" i="58"/>
  <c r="J132" i="58"/>
  <c r="J366" i="58"/>
  <c r="I301" i="58"/>
  <c r="I362" i="58"/>
  <c r="H363" i="58"/>
  <c r="J233" i="58"/>
  <c r="H352" i="58"/>
  <c r="H250" i="58"/>
  <c r="H157" i="58"/>
  <c r="H366" i="58"/>
  <c r="I232" i="58"/>
  <c r="I398" i="58"/>
  <c r="H147" i="58"/>
  <c r="J262" i="58"/>
  <c r="H256" i="58"/>
  <c r="I306" i="58"/>
  <c r="J364" i="58"/>
  <c r="H229" i="58"/>
  <c r="J278" i="58"/>
  <c r="J257" i="58"/>
  <c r="I334" i="58"/>
  <c r="J347" i="58"/>
  <c r="J377" i="58"/>
  <c r="H325" i="58"/>
  <c r="H219" i="58"/>
  <c r="H269" i="58"/>
  <c r="J318" i="58"/>
  <c r="H326" i="58"/>
  <c r="H276" i="58"/>
  <c r="H177" i="58"/>
  <c r="H146" i="58"/>
  <c r="J244" i="58"/>
  <c r="I293" i="58"/>
  <c r="J280" i="58"/>
  <c r="J311" i="58"/>
  <c r="H399" i="58"/>
  <c r="H144" i="58"/>
  <c r="H296" i="58"/>
  <c r="I134" i="58"/>
  <c r="J398" i="58"/>
  <c r="H359" i="58"/>
  <c r="H217" i="58"/>
  <c r="H379" i="58"/>
  <c r="I161" i="58"/>
  <c r="J176" i="58"/>
  <c r="I182" i="58"/>
  <c r="I299" i="58"/>
  <c r="H168" i="58"/>
  <c r="H330" i="58"/>
  <c r="J212" i="58"/>
  <c r="I329" i="58"/>
  <c r="H344" i="58"/>
  <c r="J324" i="58"/>
  <c r="I212" i="58"/>
  <c r="J390" i="58"/>
  <c r="I312" i="58"/>
  <c r="J252" i="58"/>
  <c r="I224" i="58"/>
  <c r="J264" i="58"/>
  <c r="I209" i="58"/>
  <c r="J372" i="58"/>
  <c r="J125" i="58"/>
  <c r="I125" i="58"/>
  <c r="J220" i="58"/>
  <c r="I264" i="58"/>
  <c r="H212" i="58"/>
  <c r="J177" i="58"/>
  <c r="I205" i="58"/>
  <c r="J217" i="58"/>
  <c r="I150" i="58"/>
  <c r="J273" i="58"/>
  <c r="I344" i="58"/>
  <c r="H171" i="58"/>
  <c r="J120" i="58"/>
  <c r="I174" i="58"/>
  <c r="J312" i="58"/>
  <c r="I258" i="58"/>
  <c r="I176" i="58"/>
  <c r="H281" i="58"/>
  <c r="J323" i="58"/>
  <c r="H244" i="58"/>
  <c r="H182" i="58"/>
  <c r="I388" i="58"/>
  <c r="H364" i="58"/>
  <c r="I397" i="58"/>
  <c r="J130" i="58"/>
  <c r="H257" i="58"/>
  <c r="I200" i="58"/>
  <c r="J232" i="58"/>
  <c r="I280" i="58"/>
  <c r="J296" i="58"/>
  <c r="H205" i="58"/>
  <c r="H394" i="58"/>
  <c r="J315" i="58"/>
  <c r="H194" i="58"/>
  <c r="J376" i="58"/>
  <c r="H274" i="58"/>
  <c r="H220" i="58"/>
  <c r="I260" i="58"/>
  <c r="I154" i="58"/>
  <c r="I197" i="58"/>
  <c r="H169" i="58"/>
  <c r="H322" i="58"/>
  <c r="I148" i="58"/>
  <c r="J302" i="58"/>
  <c r="I239" i="58"/>
  <c r="I160" i="58"/>
  <c r="H141" i="58"/>
  <c r="H337" i="58"/>
  <c r="H401" i="58"/>
  <c r="I265" i="58"/>
  <c r="H341" i="58"/>
  <c r="I303" i="58"/>
  <c r="H148" i="58"/>
  <c r="I385" i="58"/>
  <c r="J219" i="58"/>
  <c r="I181" i="58"/>
  <c r="I307" i="58"/>
  <c r="J175" i="58"/>
  <c r="I276" i="58"/>
  <c r="I298" i="41"/>
  <c r="N127" i="66"/>
  <c r="J8" i="41"/>
  <c r="C25" i="63"/>
  <c r="O93" i="66"/>
  <c r="J11" i="41"/>
  <c r="E364" i="38"/>
  <c r="K107" i="66" s="1"/>
  <c r="N107" i="66" s="1"/>
  <c r="J455" i="41"/>
  <c r="J430" i="41"/>
  <c r="H404" i="41"/>
  <c r="F30" i="66"/>
  <c r="N30" i="66" s="1"/>
  <c r="I230" i="41"/>
  <c r="I391" i="58"/>
  <c r="J263" i="58"/>
  <c r="H383" i="58"/>
  <c r="H333" i="58"/>
  <c r="I128" i="58"/>
  <c r="I309" i="58"/>
  <c r="H255" i="58"/>
  <c r="J127" i="58"/>
  <c r="I394" i="58"/>
  <c r="J383" i="58"/>
  <c r="H213" i="58"/>
  <c r="I194" i="58"/>
  <c r="H221" i="58"/>
  <c r="I245" i="58"/>
  <c r="H381" i="58"/>
  <c r="I318" i="58"/>
  <c r="I222" i="58"/>
  <c r="J167" i="58"/>
  <c r="H338" i="58"/>
  <c r="H335" i="58"/>
  <c r="H398" i="58"/>
  <c r="J134" i="58"/>
  <c r="I323" i="58"/>
  <c r="I327" i="58"/>
  <c r="I370" i="58"/>
  <c r="J194" i="58"/>
  <c r="J254" i="58"/>
  <c r="H136" i="58"/>
  <c r="H336" i="58"/>
  <c r="I198" i="58"/>
  <c r="I297" i="58"/>
  <c r="I183" i="58"/>
  <c r="J333" i="58"/>
  <c r="H372" i="58"/>
  <c r="I249" i="58"/>
  <c r="J150" i="58"/>
  <c r="I345" i="58"/>
  <c r="I332" i="58"/>
  <c r="I317" i="58"/>
  <c r="J285" i="58"/>
  <c r="I364" i="58"/>
  <c r="H279" i="58"/>
  <c r="I377" i="58"/>
  <c r="H386" i="58"/>
  <c r="H323" i="58"/>
  <c r="I248" i="58"/>
  <c r="H368" i="58"/>
  <c r="H218" i="58"/>
  <c r="I295" i="58"/>
  <c r="H358" i="58"/>
  <c r="H263" i="58"/>
  <c r="J342" i="58"/>
  <c r="J193" i="58"/>
  <c r="J142" i="58"/>
  <c r="H207" i="58"/>
  <c r="H124" i="58"/>
  <c r="J188" i="58"/>
  <c r="I206" i="58"/>
  <c r="J223" i="58"/>
  <c r="J242" i="58"/>
  <c r="H185" i="58"/>
  <c r="H190" i="58"/>
  <c r="I173" i="58"/>
  <c r="I242" i="58"/>
  <c r="J371" i="58"/>
  <c r="J270" i="58"/>
  <c r="I401" i="58"/>
  <c r="J303" i="58"/>
  <c r="J325" i="58"/>
  <c r="I262" i="58"/>
  <c r="I308" i="58"/>
  <c r="H164" i="58"/>
  <c r="G202" i="66"/>
  <c r="I429" i="58"/>
  <c r="I12" i="41"/>
  <c r="C52" i="63"/>
  <c r="I431" i="41"/>
  <c r="M112" i="66"/>
  <c r="J468" i="37"/>
  <c r="J469" i="37"/>
  <c r="J470" i="37"/>
  <c r="J423" i="41"/>
  <c r="J208" i="41"/>
  <c r="I404" i="58"/>
  <c r="F222" i="66" s="1"/>
  <c r="N222" i="66" s="1"/>
  <c r="H420" i="41"/>
  <c r="H318" i="58"/>
  <c r="H153" i="58"/>
  <c r="I146" i="58"/>
  <c r="H193" i="58"/>
  <c r="I399" i="58"/>
  <c r="J168" i="58"/>
  <c r="I360" i="58"/>
  <c r="I246" i="58"/>
  <c r="H259" i="58"/>
  <c r="H172" i="58"/>
  <c r="I263" i="58"/>
  <c r="J350" i="58"/>
  <c r="H241" i="58"/>
  <c r="J246" i="58"/>
  <c r="J331" i="58"/>
  <c r="I253" i="58"/>
  <c r="I172" i="58"/>
  <c r="H329" i="58"/>
  <c r="I241" i="58"/>
  <c r="H206" i="58"/>
  <c r="H210" i="58"/>
  <c r="J358" i="58"/>
  <c r="H246" i="58"/>
  <c r="H302" i="58"/>
  <c r="J148" i="58"/>
  <c r="H268" i="58"/>
  <c r="H125" i="58"/>
  <c r="I123" i="58"/>
  <c r="H273" i="58"/>
  <c r="J171" i="58"/>
  <c r="I300" i="58"/>
  <c r="J198" i="58"/>
  <c r="J336" i="58"/>
  <c r="J209" i="58"/>
  <c r="J237" i="58"/>
  <c r="I195" i="58"/>
  <c r="I378" i="58"/>
  <c r="J205" i="58"/>
  <c r="H156" i="58"/>
  <c r="I192" i="58"/>
  <c r="I136" i="58"/>
  <c r="J231" i="58"/>
  <c r="J301" i="58"/>
  <c r="I133" i="58"/>
  <c r="I132" i="58"/>
  <c r="J245" i="58"/>
  <c r="I314" i="58"/>
  <c r="H308" i="58"/>
  <c r="J353" i="58"/>
  <c r="J389" i="58"/>
  <c r="J160" i="58"/>
  <c r="J251" i="58"/>
  <c r="H233" i="58"/>
  <c r="I275" i="58"/>
  <c r="I383" i="58"/>
  <c r="J215" i="58"/>
  <c r="I236" i="58"/>
  <c r="J238" i="58"/>
  <c r="J269" i="58"/>
  <c r="H174" i="58"/>
  <c r="H160" i="58"/>
  <c r="J395" i="58"/>
  <c r="J250" i="58"/>
  <c r="J210" i="58"/>
  <c r="I167" i="58"/>
  <c r="H317" i="58"/>
  <c r="H320" i="58"/>
  <c r="I358" i="58"/>
  <c r="I250" i="58"/>
  <c r="I254" i="58"/>
  <c r="H310" i="58"/>
  <c r="H183" i="58"/>
  <c r="I342" i="58"/>
  <c r="H248" i="58"/>
  <c r="I122" i="58"/>
  <c r="J346" i="58"/>
  <c r="J281" i="58"/>
  <c r="H301" i="58"/>
  <c r="H211" i="58"/>
  <c r="J352" i="58"/>
  <c r="J191" i="58"/>
  <c r="H373" i="58"/>
  <c r="I315" i="58"/>
  <c r="H272" i="58"/>
  <c r="H277" i="58"/>
  <c r="J159" i="58"/>
  <c r="I285" i="58"/>
  <c r="H261" i="58"/>
  <c r="J129" i="58"/>
  <c r="I171" i="58"/>
  <c r="J309" i="58"/>
  <c r="I282" i="58"/>
  <c r="J195" i="58"/>
  <c r="I156" i="58"/>
  <c r="J180" i="58"/>
  <c r="I168" i="58"/>
  <c r="J320" i="58"/>
  <c r="I336" i="58"/>
  <c r="H324" i="58"/>
  <c r="J192" i="58"/>
  <c r="I221" i="58"/>
  <c r="J332" i="58"/>
  <c r="J136" i="58"/>
  <c r="I165" i="58"/>
  <c r="I333" i="58"/>
  <c r="H378" i="58"/>
  <c r="J216" i="58"/>
  <c r="I304" i="58"/>
  <c r="J381" i="58"/>
  <c r="I288" i="58"/>
  <c r="I120" i="58"/>
  <c r="J243" i="58"/>
  <c r="I143" i="58"/>
  <c r="I218" i="58"/>
  <c r="H126" i="58"/>
  <c r="J268" i="58"/>
  <c r="H150" i="58"/>
  <c r="H303" i="58"/>
  <c r="I190" i="58"/>
  <c r="H289" i="58"/>
  <c r="I158" i="58"/>
  <c r="H216" i="58"/>
  <c r="H355" i="58"/>
  <c r="H247" i="58"/>
  <c r="J248" i="58"/>
  <c r="I169" i="58"/>
  <c r="J185" i="58"/>
  <c r="H249" i="58"/>
  <c r="I215" i="58"/>
  <c r="J247" i="58"/>
  <c r="J293" i="58"/>
  <c r="J310" i="58"/>
  <c r="H186" i="58"/>
  <c r="H361" i="58"/>
  <c r="I290" i="58"/>
  <c r="H265" i="58"/>
  <c r="H151" i="58"/>
  <c r="H266" i="58"/>
  <c r="H201" i="58"/>
  <c r="H154" i="58"/>
  <c r="J277" i="58"/>
  <c r="H260" i="58"/>
  <c r="H293" i="58"/>
  <c r="H184" i="58"/>
  <c r="J400" i="58"/>
  <c r="H187" i="58"/>
  <c r="I126" i="58"/>
  <c r="I392" i="58"/>
  <c r="I240" i="58"/>
  <c r="I219" i="58"/>
  <c r="J373" i="58"/>
  <c r="H294" i="58"/>
  <c r="J157" i="58"/>
  <c r="I390" i="58"/>
  <c r="J308" i="58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I157" i="41"/>
  <c r="J162" i="41"/>
  <c r="I162" i="41"/>
  <c r="Y268" i="66"/>
  <c r="Y124" i="66"/>
  <c r="Z268" i="66"/>
  <c r="Z124" i="66"/>
  <c r="O57" i="66" l="1"/>
  <c r="Y57" i="66"/>
  <c r="Z201" i="66"/>
  <c r="Z57" i="66"/>
  <c r="Y201" i="66"/>
  <c r="Z219" i="66"/>
  <c r="Y75" i="66"/>
  <c r="O219" i="66"/>
  <c r="Q219" i="66" s="1"/>
  <c r="R219" i="66" s="1"/>
  <c r="T219" i="66" s="1"/>
  <c r="Y219" i="66"/>
  <c r="O75" i="66"/>
  <c r="Q75" i="66" s="1"/>
  <c r="R75" i="66" s="1"/>
  <c r="T75" i="66" s="1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J206" i="41"/>
  <c r="I337" i="41"/>
  <c r="J246" i="41"/>
  <c r="D36" i="57"/>
  <c r="F110" i="66"/>
  <c r="N110" i="66" s="1"/>
  <c r="I127" i="58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Q57" i="66"/>
  <c r="R57" i="66" s="1"/>
  <c r="T57" i="66" s="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J135" i="58"/>
  <c r="C49" i="63" s="1"/>
  <c r="C22" i="63"/>
  <c r="C13" i="63"/>
  <c r="I135" i="58"/>
  <c r="C40" i="63" s="1"/>
  <c r="H139" i="58"/>
  <c r="H135" i="58"/>
  <c r="C31" i="63" s="1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F208" i="66"/>
  <c r="D57" i="57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C23" i="63"/>
  <c r="I219" i="41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I404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58"/>
  <c r="F104" i="66"/>
  <c r="E44" i="39"/>
  <c r="E127" i="38" s="1"/>
  <c r="J470" i="41"/>
  <c r="E17" i="39" s="1"/>
  <c r="I390" i="41"/>
  <c r="J131" i="58"/>
  <c r="H131" i="58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J143" i="58"/>
  <c r="H294" i="41"/>
  <c r="I392" i="41"/>
  <c r="H184" i="41"/>
  <c r="H249" i="41"/>
  <c r="H247" i="41"/>
  <c r="J268" i="41"/>
  <c r="J243" i="41"/>
  <c r="I304" i="41"/>
  <c r="I165" i="41"/>
  <c r="F216" i="66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N216" i="66" l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49" i="58"/>
  <c r="H127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Z4" i="66"/>
  <c r="Y4" i="66"/>
  <c r="Y148" i="66"/>
  <c r="Z148" i="66"/>
  <c r="N134" i="66"/>
  <c r="I131" i="41"/>
  <c r="N9" i="41" s="1"/>
  <c r="C15" i="63"/>
  <c r="Z273" i="66"/>
  <c r="Y273" i="66"/>
  <c r="Y129" i="66"/>
  <c r="Z129" i="66"/>
  <c r="E399" i="38"/>
  <c r="I135" i="41"/>
  <c r="L47" i="39"/>
  <c r="E162" i="38" s="1"/>
  <c r="M47" i="39"/>
  <c r="E179" i="38" s="1"/>
  <c r="F87" i="66"/>
  <c r="N87" i="66" s="1"/>
  <c r="I471" i="41"/>
  <c r="E400" i="38"/>
  <c r="J429" i="41"/>
  <c r="Z216" i="66"/>
  <c r="H449" i="37"/>
  <c r="J8" i="66"/>
  <c r="N278" i="66"/>
  <c r="Q285" i="66"/>
  <c r="R285" i="66" s="1"/>
  <c r="T285" i="66" s="1"/>
  <c r="J471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E9" i="53"/>
  <c r="F9" i="53" s="1"/>
  <c r="F184" i="66"/>
  <c r="C32" i="63"/>
  <c r="Y66" i="66"/>
  <c r="Z66" i="66"/>
  <c r="Z210" i="66"/>
  <c r="Y210" i="66"/>
  <c r="Q105" i="66"/>
  <c r="R105" i="66" s="1"/>
  <c r="T105" i="66" s="1"/>
  <c r="E27" i="53"/>
  <c r="F27" i="53" s="1"/>
  <c r="H33" i="53" s="1"/>
  <c r="J472" i="41"/>
  <c r="F136" i="66"/>
  <c r="Q141" i="66"/>
  <c r="R141" i="66" s="1"/>
  <c r="T141" i="66" s="1"/>
  <c r="J139" i="41"/>
  <c r="O8" i="41" s="1"/>
  <c r="Z24" i="66"/>
  <c r="Y24" i="66"/>
  <c r="Y168" i="66"/>
  <c r="Z168" i="66"/>
  <c r="H472" i="41"/>
  <c r="E3" i="53"/>
  <c r="F3" i="53" s="1"/>
  <c r="H9" i="53" s="1"/>
  <c r="F40" i="66"/>
  <c r="C14" i="63"/>
  <c r="I127" i="41"/>
  <c r="Y216" i="66" l="1"/>
  <c r="F17" i="39"/>
  <c r="Z72" i="66"/>
  <c r="Y72" i="66"/>
  <c r="I442" i="58"/>
  <c r="E280" i="38"/>
  <c r="E286" i="38"/>
  <c r="E316" i="38"/>
  <c r="L226" i="66" s="1"/>
  <c r="E322" i="38"/>
  <c r="M226" i="66" s="1"/>
  <c r="E292" i="38"/>
  <c r="E298" i="38"/>
  <c r="M178" i="66" s="1"/>
  <c r="E340" i="38"/>
  <c r="E328" i="38"/>
  <c r="E334" i="38"/>
  <c r="E304" i="38"/>
  <c r="E310" i="38"/>
  <c r="I442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Y182" i="66"/>
  <c r="H473" i="58"/>
  <c r="C37" i="63" s="1"/>
  <c r="H433" i="37"/>
  <c r="J473" i="58"/>
  <c r="I474" i="58"/>
  <c r="F228" i="66" s="1"/>
  <c r="I434" i="58"/>
  <c r="N8" i="41"/>
  <c r="J67" i="66"/>
  <c r="J112" i="66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N29" i="66"/>
  <c r="R29" i="66"/>
  <c r="P29" i="66"/>
  <c r="S29" i="66"/>
  <c r="J25" i="66"/>
  <c r="H434" i="37"/>
  <c r="N152" i="66"/>
  <c r="R152" i="66"/>
  <c r="S152" i="66"/>
  <c r="P152" i="66"/>
  <c r="P16" i="66"/>
  <c r="R16" i="66"/>
  <c r="S16" i="66"/>
  <c r="F275" i="66"/>
  <c r="E414" i="38"/>
  <c r="J433" i="58"/>
  <c r="J259" i="66"/>
  <c r="D32" i="53"/>
  <c r="F32" i="53" s="1"/>
  <c r="H26" i="53" s="1"/>
  <c r="N221" i="66"/>
  <c r="P221" i="66"/>
  <c r="S221" i="66"/>
  <c r="J64" i="66"/>
  <c r="F22" i="39" s="1"/>
  <c r="I435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43" i="37"/>
  <c r="N77" i="66"/>
  <c r="P77" i="66"/>
  <c r="S77" i="66"/>
  <c r="K17" i="39"/>
  <c r="F227" i="66"/>
  <c r="E412" i="38"/>
  <c r="J433" i="37"/>
  <c r="D26" i="53"/>
  <c r="F26" i="53" s="1"/>
  <c r="J115" i="66"/>
  <c r="I434" i="37"/>
  <c r="J73" i="66"/>
  <c r="F21" i="39" s="1"/>
  <c r="M8" i="41"/>
  <c r="J442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33" i="58"/>
  <c r="I433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74" i="37"/>
  <c r="J475" i="37"/>
  <c r="J473" i="37"/>
  <c r="J449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75" i="37"/>
  <c r="I474" i="37"/>
  <c r="I473" i="37"/>
  <c r="H475" i="37"/>
  <c r="H473" i="37"/>
  <c r="H474" i="37"/>
  <c r="N233" i="66"/>
  <c r="D8" i="53"/>
  <c r="F8" i="53" s="1"/>
  <c r="H2" i="53" s="1"/>
  <c r="H433" i="58"/>
  <c r="J163" i="66"/>
  <c r="G33" i="53"/>
  <c r="H27" i="53"/>
  <c r="G27" i="53" s="1"/>
  <c r="J434" i="41"/>
  <c r="S137" i="66"/>
  <c r="P137" i="66"/>
  <c r="I442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E279" i="38"/>
  <c r="E285" i="38"/>
  <c r="M289" i="66"/>
  <c r="P265" i="66"/>
  <c r="S265" i="66"/>
  <c r="H433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74" i="41"/>
  <c r="G2" i="53"/>
  <c r="E284" i="38" s="1"/>
  <c r="S125" i="66"/>
  <c r="P125" i="66"/>
  <c r="R173" i="66"/>
  <c r="J443" i="41"/>
  <c r="H475" i="41"/>
  <c r="E410" i="38"/>
  <c r="L179" i="66" s="1"/>
  <c r="G14" i="53"/>
  <c r="E415" i="38"/>
  <c r="L276" i="66" s="1"/>
  <c r="P276" i="66" s="1"/>
  <c r="P269" i="66"/>
  <c r="S269" i="66"/>
  <c r="H435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43" i="41"/>
  <c r="C55" i="63"/>
  <c r="T185" i="66"/>
  <c r="I434" i="41"/>
  <c r="R41" i="66"/>
  <c r="Z41" i="66"/>
  <c r="S41" i="66"/>
  <c r="Y185" i="66"/>
  <c r="Y41" i="66"/>
  <c r="O41" i="66"/>
  <c r="Z185" i="66"/>
  <c r="O200" i="66"/>
  <c r="I435" i="41"/>
  <c r="H434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19" i="63"/>
  <c r="I473" i="41"/>
  <c r="T160" i="66"/>
  <c r="C28" i="63"/>
  <c r="J473" i="41"/>
  <c r="Z281" i="66"/>
  <c r="T8" i="66"/>
  <c r="S73" i="66"/>
  <c r="P73" i="66"/>
  <c r="N73" i="66"/>
  <c r="O221" i="66"/>
  <c r="L275" i="66"/>
  <c r="P275" i="66" s="1"/>
  <c r="E407" i="38"/>
  <c r="F84" i="66"/>
  <c r="I474" i="41"/>
  <c r="O16" i="66"/>
  <c r="F131" i="66"/>
  <c r="E408" i="38"/>
  <c r="J475" i="41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74" i="41"/>
  <c r="N89" i="66"/>
  <c r="S89" i="66"/>
  <c r="P89" i="66"/>
  <c r="M280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0" i="63"/>
  <c r="H473" i="41"/>
  <c r="P226" i="66"/>
  <c r="N226" i="66"/>
  <c r="Q281" i="66"/>
  <c r="R281" i="66" s="1"/>
  <c r="T281" i="66" s="1"/>
  <c r="M130" i="66"/>
  <c r="D18" i="8"/>
  <c r="L180" i="66"/>
  <c r="N180" i="66" s="1"/>
  <c r="J29" i="39"/>
  <c r="J433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E338" i="38"/>
  <c r="E296" i="38"/>
  <c r="M163" i="66" s="1"/>
  <c r="E290" i="38"/>
  <c r="E308" i="38"/>
  <c r="M67" i="66" s="1"/>
  <c r="E302" i="38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M259" i="66"/>
  <c r="O89" i="66"/>
  <c r="Z89" i="66"/>
  <c r="Y89" i="66"/>
  <c r="Y233" i="66"/>
  <c r="Z233" i="66"/>
  <c r="L184" i="66"/>
  <c r="L67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C5" i="8" s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5" i="8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I445" i="58" s="1"/>
  <c r="M46" i="39"/>
  <c r="E176" i="38" s="1"/>
  <c r="J445" i="58" s="1"/>
  <c r="K46" i="39"/>
  <c r="E142" i="38" s="1"/>
  <c r="J166" i="66" s="1"/>
  <c r="N166" i="66" s="1"/>
  <c r="J118" i="66"/>
  <c r="N118" i="66" s="1"/>
  <c r="J445" i="37"/>
  <c r="J22" i="66"/>
  <c r="N22" i="66" s="1"/>
  <c r="H445" i="37"/>
  <c r="J70" i="66"/>
  <c r="N70" i="66" s="1"/>
  <c r="I445" i="37"/>
  <c r="J214" i="66" l="1"/>
  <c r="N214" i="66" s="1"/>
  <c r="O214" i="66" s="1"/>
  <c r="J262" i="66"/>
  <c r="G19" i="39" s="1"/>
  <c r="H445" i="58"/>
  <c r="H445" i="41" s="1"/>
  <c r="I445" i="41"/>
  <c r="I461" i="58"/>
  <c r="I461" i="37"/>
  <c r="H460" i="37"/>
  <c r="H460" i="58"/>
  <c r="I460" i="58"/>
  <c r="I460" i="37"/>
  <c r="J5" i="58"/>
  <c r="H5" i="58"/>
  <c r="R166" i="66"/>
  <c r="S166" i="66"/>
  <c r="P166" i="66"/>
  <c r="S22" i="66"/>
  <c r="R22" i="66"/>
  <c r="P22" i="66"/>
  <c r="I5" i="58"/>
  <c r="P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F19" i="39" l="1"/>
  <c r="P214" i="66"/>
  <c r="S214" i="66"/>
  <c r="S262" i="66"/>
  <c r="P262" i="66"/>
  <c r="N262" i="66"/>
  <c r="O262" i="66" s="1"/>
  <c r="Q262" i="66" s="1"/>
  <c r="R262" i="66" s="1"/>
  <c r="J460" i="41"/>
  <c r="I460" i="41"/>
  <c r="T166" i="66"/>
  <c r="I461" i="41"/>
  <c r="H460" i="41"/>
  <c r="Q214" i="66"/>
  <c r="R214" i="66" s="1"/>
  <c r="H459" i="37"/>
  <c r="H459" i="58"/>
  <c r="I459" i="37"/>
  <c r="I459" i="58"/>
  <c r="J5" i="41"/>
  <c r="M52" i="39" s="1"/>
  <c r="E184" i="38" s="1"/>
  <c r="F116" i="66"/>
  <c r="E30" i="53"/>
  <c r="H461" i="37"/>
  <c r="H461" i="58"/>
  <c r="E36" i="53"/>
  <c r="F260" i="66"/>
  <c r="Q22" i="66"/>
  <c r="J461" i="37"/>
  <c r="J461" i="58"/>
  <c r="T22" i="66"/>
  <c r="J459" i="37"/>
  <c r="J459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14" i="66" l="1"/>
  <c r="T262" i="66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H459" i="41"/>
  <c r="Q70" i="66"/>
  <c r="R70" i="66" s="1"/>
  <c r="T70" i="66" s="1"/>
  <c r="D36" i="53"/>
  <c r="F36" i="53" s="1"/>
  <c r="H30" i="53" s="1"/>
  <c r="J260" i="66"/>
  <c r="J448" i="58"/>
  <c r="D24" i="53"/>
  <c r="F24" i="53" s="1"/>
  <c r="H18" i="53" s="1"/>
  <c r="J212" i="66"/>
  <c r="I448" i="58"/>
  <c r="J461" i="41"/>
  <c r="I459" i="41"/>
  <c r="J448" i="37" l="1"/>
  <c r="J448" i="41" s="1"/>
  <c r="J116" i="66"/>
  <c r="I448" i="37"/>
  <c r="I448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48" i="37"/>
  <c r="H448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63" i="37" s="1"/>
  <c r="E312" i="38"/>
  <c r="M68" i="66" s="1"/>
  <c r="F25" i="39" s="1"/>
  <c r="E282" i="38"/>
  <c r="E288" i="38"/>
  <c r="L260" i="66"/>
  <c r="J463" i="58"/>
  <c r="L212" i="66"/>
  <c r="I463" i="58"/>
  <c r="L116" i="66"/>
  <c r="J463" i="37"/>
  <c r="M116" i="66"/>
  <c r="G25" i="39" s="1"/>
  <c r="D19" i="8"/>
  <c r="C19" i="8" l="1"/>
  <c r="L68" i="66"/>
  <c r="P68" i="66" s="1"/>
  <c r="J463" i="41"/>
  <c r="M20" i="66"/>
  <c r="B19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H463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J23" i="58" l="1"/>
  <c r="J37" i="58"/>
  <c r="I61" i="58"/>
  <c r="I25" i="58"/>
  <c r="H22" i="58"/>
  <c r="H67" i="58"/>
  <c r="J70" i="58"/>
  <c r="J70" i="41" s="1"/>
  <c r="J34" i="58"/>
  <c r="I58" i="58"/>
  <c r="I22" i="58"/>
  <c r="H58" i="58"/>
  <c r="H40" i="58"/>
  <c r="J67" i="58"/>
  <c r="J31" i="58"/>
  <c r="I55" i="58"/>
  <c r="I19" i="58"/>
  <c r="H19" i="58"/>
  <c r="J64" i="58"/>
  <c r="J28" i="58"/>
  <c r="I52" i="58"/>
  <c r="I16" i="58"/>
  <c r="H55" i="58"/>
  <c r="H37" i="58"/>
  <c r="I23" i="58"/>
  <c r="J61" i="58"/>
  <c r="J25" i="58"/>
  <c r="I49" i="58"/>
  <c r="H16" i="58"/>
  <c r="J58" i="58"/>
  <c r="J22" i="58"/>
  <c r="I46" i="58"/>
  <c r="H70" i="58"/>
  <c r="H52" i="58"/>
  <c r="H34" i="58"/>
  <c r="J55" i="58"/>
  <c r="J19" i="58"/>
  <c r="I43" i="58"/>
  <c r="H31" i="58"/>
  <c r="H49" i="58"/>
  <c r="J52" i="58"/>
  <c r="I73" i="58"/>
  <c r="J49" i="58"/>
  <c r="I37" i="58"/>
  <c r="H28" i="58"/>
  <c r="J16" i="58"/>
  <c r="J73" i="58"/>
  <c r="J46" i="58"/>
  <c r="I70" i="58"/>
  <c r="I34" i="58"/>
  <c r="H64" i="58"/>
  <c r="H46" i="58"/>
  <c r="H23" i="58"/>
  <c r="I40" i="58"/>
  <c r="H73" i="58"/>
  <c r="J43" i="58"/>
  <c r="I67" i="58"/>
  <c r="I31" i="58"/>
  <c r="H25" i="58"/>
  <c r="J40" i="58"/>
  <c r="I64" i="58"/>
  <c r="I28" i="58"/>
  <c r="H61" i="58"/>
  <c r="H43" i="58"/>
  <c r="I23" i="41" l="1"/>
  <c r="J67" i="41"/>
  <c r="I34" i="41"/>
  <c r="H37" i="41"/>
  <c r="J37" i="41"/>
  <c r="H55" i="41"/>
  <c r="H19" i="41"/>
  <c r="I52" i="41"/>
  <c r="J40" i="41"/>
  <c r="I40" i="41"/>
  <c r="J52" i="41"/>
  <c r="J22" i="41"/>
  <c r="J43" i="41"/>
  <c r="I67" i="41"/>
  <c r="H46" i="41"/>
  <c r="J55" i="41"/>
  <c r="I49" i="41"/>
  <c r="H67" i="41"/>
  <c r="I28" i="41"/>
  <c r="H61" i="41"/>
  <c r="J61" i="41"/>
  <c r="I37" i="41"/>
  <c r="H52" i="41"/>
  <c r="I22" i="41"/>
  <c r="H25" i="41"/>
  <c r="I70" i="41"/>
  <c r="H31" i="41"/>
  <c r="J28" i="41"/>
  <c r="J31" i="41"/>
  <c r="I61" i="41"/>
  <c r="H35" i="58"/>
  <c r="I53" i="58"/>
  <c r="I71" i="58"/>
  <c r="I59" i="58"/>
  <c r="I25" i="41"/>
  <c r="J35" i="58"/>
  <c r="J23" i="41"/>
  <c r="I38" i="58"/>
  <c r="J20" i="58"/>
  <c r="J59" i="58"/>
  <c r="J49" i="41"/>
  <c r="H70" i="41"/>
  <c r="I58" i="41"/>
  <c r="I35" i="58"/>
  <c r="H51" i="58"/>
  <c r="J38" i="58"/>
  <c r="I20" i="58"/>
  <c r="H59" i="58"/>
  <c r="I31" i="41"/>
  <c r="H23" i="41"/>
  <c r="J46" i="41"/>
  <c r="I43" i="41"/>
  <c r="C35" i="63"/>
  <c r="C29" i="63"/>
  <c r="J64" i="41"/>
  <c r="H14" i="58"/>
  <c r="J51" i="58"/>
  <c r="H38" i="58"/>
  <c r="H38" i="41" s="1"/>
  <c r="H20" i="58"/>
  <c r="I26" i="58"/>
  <c r="I64" i="41"/>
  <c r="J73" i="41"/>
  <c r="I73" i="41"/>
  <c r="J19" i="41"/>
  <c r="I46" i="41"/>
  <c r="H16" i="41"/>
  <c r="C8" i="63"/>
  <c r="C2" i="63"/>
  <c r="J34" i="41"/>
  <c r="J14" i="58"/>
  <c r="I51" i="58"/>
  <c r="I56" i="58"/>
  <c r="I56" i="41" s="1"/>
  <c r="J41" i="58"/>
  <c r="H26" i="58"/>
  <c r="I14" i="58"/>
  <c r="J65" i="58"/>
  <c r="J56" i="58"/>
  <c r="I41" i="58"/>
  <c r="J26" i="58"/>
  <c r="C53" i="63"/>
  <c r="C47" i="63"/>
  <c r="I24" i="58"/>
  <c r="I62" i="58"/>
  <c r="H65" i="58"/>
  <c r="H56" i="58"/>
  <c r="H41" i="58"/>
  <c r="J47" i="58"/>
  <c r="J16" i="41"/>
  <c r="C26" i="63"/>
  <c r="C20" i="63"/>
  <c r="J24" i="58"/>
  <c r="J62" i="58"/>
  <c r="I65" i="58"/>
  <c r="H68" i="58"/>
  <c r="H47" i="58"/>
  <c r="J58" i="41"/>
  <c r="J25" i="41"/>
  <c r="C44" i="63"/>
  <c r="C38" i="63"/>
  <c r="H40" i="41"/>
  <c r="H24" i="58"/>
  <c r="H62" i="58"/>
  <c r="J68" i="58"/>
  <c r="I47" i="58"/>
  <c r="H43" i="41"/>
  <c r="H73" i="41"/>
  <c r="H64" i="41"/>
  <c r="H49" i="41"/>
  <c r="I16" i="41"/>
  <c r="C17" i="63"/>
  <c r="C11" i="63"/>
  <c r="I19" i="41"/>
  <c r="H32" i="58"/>
  <c r="H17" i="58"/>
  <c r="I68" i="58"/>
  <c r="I44" i="58"/>
  <c r="J29" i="58"/>
  <c r="H28" i="41"/>
  <c r="H34" i="41"/>
  <c r="I55" i="41"/>
  <c r="H58" i="41"/>
  <c r="H22" i="41"/>
  <c r="I32" i="58"/>
  <c r="I17" i="58"/>
  <c r="H53" i="58"/>
  <c r="H71" i="58"/>
  <c r="H44" i="58"/>
  <c r="H29" i="58"/>
  <c r="J32" i="58"/>
  <c r="J17" i="58"/>
  <c r="J53" i="58"/>
  <c r="J71" i="58"/>
  <c r="J44" i="58"/>
  <c r="I29" i="58"/>
  <c r="J62" i="41" l="1"/>
  <c r="H41" i="41"/>
  <c r="H47" i="41"/>
  <c r="I62" i="41"/>
  <c r="J51" i="41"/>
  <c r="H32" i="41"/>
  <c r="H24" i="41"/>
  <c r="J41" i="41"/>
  <c r="I20" i="41"/>
  <c r="J17" i="41"/>
  <c r="I41" i="41"/>
  <c r="J38" i="41"/>
  <c r="I38" i="41"/>
  <c r="H51" i="41"/>
  <c r="J44" i="41"/>
  <c r="I17" i="41"/>
  <c r="H44" i="41"/>
  <c r="I44" i="41"/>
  <c r="N3" i="41"/>
  <c r="H57" i="58"/>
  <c r="E287" i="38"/>
  <c r="H50" i="58"/>
  <c r="H403" i="58" s="1"/>
  <c r="H62" i="41"/>
  <c r="I57" i="58"/>
  <c r="I50" i="58"/>
  <c r="I402" i="58" s="1"/>
  <c r="J57" i="58"/>
  <c r="J50" i="58"/>
  <c r="J403" i="58" s="1"/>
  <c r="H66" i="58"/>
  <c r="J66" i="58"/>
  <c r="I53" i="41"/>
  <c r="I66" i="58"/>
  <c r="J29" i="41"/>
  <c r="J63" i="58"/>
  <c r="J68" i="41"/>
  <c r="I15" i="58"/>
  <c r="J32" i="41"/>
  <c r="H71" i="41"/>
  <c r="H63" i="58"/>
  <c r="H36" i="58"/>
  <c r="I45" i="58"/>
  <c r="J24" i="41"/>
  <c r="H56" i="41"/>
  <c r="J26" i="41"/>
  <c r="H42" i="58"/>
  <c r="J59" i="41"/>
  <c r="J33" i="58"/>
  <c r="J48" i="58"/>
  <c r="J36" i="58"/>
  <c r="H45" i="58"/>
  <c r="I27" i="58"/>
  <c r="J60" i="58"/>
  <c r="J14" i="41"/>
  <c r="I59" i="41"/>
  <c r="J15" i="58"/>
  <c r="I68" i="41"/>
  <c r="I29" i="41"/>
  <c r="H48" i="58"/>
  <c r="H53" i="41"/>
  <c r="I39" i="58"/>
  <c r="H17" i="41"/>
  <c r="I36" i="58"/>
  <c r="J45" i="58"/>
  <c r="H27" i="58"/>
  <c r="H65" i="41"/>
  <c r="I60" i="58"/>
  <c r="H14" i="41"/>
  <c r="I63" i="58"/>
  <c r="J42" i="58"/>
  <c r="I48" i="58"/>
  <c r="J39" i="58"/>
  <c r="J27" i="58"/>
  <c r="H60" i="58"/>
  <c r="J21" i="58"/>
  <c r="J20" i="41"/>
  <c r="H69" i="58"/>
  <c r="I21" i="58"/>
  <c r="I71" i="41"/>
  <c r="J56" i="41"/>
  <c r="H26" i="41"/>
  <c r="H21" i="58"/>
  <c r="J71" i="41"/>
  <c r="I69" i="58"/>
  <c r="I32" i="41"/>
  <c r="I54" i="58"/>
  <c r="H68" i="41"/>
  <c r="I24" i="41"/>
  <c r="J65" i="41"/>
  <c r="J30" i="58"/>
  <c r="I26" i="41"/>
  <c r="I35" i="41"/>
  <c r="H39" i="58"/>
  <c r="J69" i="58"/>
  <c r="H72" i="58"/>
  <c r="H30" i="58"/>
  <c r="H54" i="58"/>
  <c r="J54" i="58"/>
  <c r="J53" i="41"/>
  <c r="H29" i="41"/>
  <c r="I47" i="41"/>
  <c r="I65" i="41"/>
  <c r="J47" i="41"/>
  <c r="J72" i="58"/>
  <c r="I30" i="58"/>
  <c r="H20" i="41"/>
  <c r="J35" i="41"/>
  <c r="H35" i="41"/>
  <c r="H15" i="58"/>
  <c r="I72" i="58"/>
  <c r="E311" i="38"/>
  <c r="I14" i="41"/>
  <c r="H18" i="58"/>
  <c r="H33" i="58"/>
  <c r="I18" i="58"/>
  <c r="I42" i="58"/>
  <c r="I51" i="41"/>
  <c r="H59" i="41"/>
  <c r="I33" i="58"/>
  <c r="J18" i="58"/>
  <c r="I403" i="58" l="1"/>
  <c r="I403" i="41" s="1"/>
  <c r="F242" i="66"/>
  <c r="E323" i="38"/>
  <c r="J66" i="41"/>
  <c r="I36" i="41"/>
  <c r="H402" i="58"/>
  <c r="J72" i="41"/>
  <c r="J60" i="41"/>
  <c r="H42" i="41"/>
  <c r="J50" i="41"/>
  <c r="J402" i="58"/>
  <c r="J27" i="41"/>
  <c r="J42" i="41"/>
  <c r="H54" i="41"/>
  <c r="J30" i="41"/>
  <c r="I39" i="41"/>
  <c r="E335" i="38"/>
  <c r="M146" i="66" s="1"/>
  <c r="J39" i="41"/>
  <c r="H48" i="41"/>
  <c r="H33" i="41"/>
  <c r="J21" i="41"/>
  <c r="I63" i="41"/>
  <c r="I45" i="41"/>
  <c r="J18" i="41"/>
  <c r="H18" i="41"/>
  <c r="H403" i="41"/>
  <c r="F145" i="66"/>
  <c r="H21" i="41"/>
  <c r="H60" i="41"/>
  <c r="I27" i="41"/>
  <c r="H57" i="41"/>
  <c r="H63" i="41"/>
  <c r="J57" i="41"/>
  <c r="F193" i="66"/>
  <c r="H66" i="41"/>
  <c r="H50" i="41"/>
  <c r="I66" i="41"/>
  <c r="I50" i="41"/>
  <c r="I57" i="41"/>
  <c r="I54" i="41"/>
  <c r="I48" i="41"/>
  <c r="H27" i="41"/>
  <c r="H69" i="41"/>
  <c r="J36" i="41"/>
  <c r="F50" i="66"/>
  <c r="J48" i="41"/>
  <c r="J33" i="41"/>
  <c r="H36" i="41"/>
  <c r="I402" i="41"/>
  <c r="F98" i="66"/>
  <c r="H30" i="41"/>
  <c r="I60" i="41"/>
  <c r="I42" i="41"/>
  <c r="I72" i="41"/>
  <c r="H72" i="41"/>
  <c r="I21" i="41"/>
  <c r="F289" i="66"/>
  <c r="H15" i="41"/>
  <c r="E5" i="53"/>
  <c r="F5" i="53" s="1"/>
  <c r="F49" i="66"/>
  <c r="E35" i="53"/>
  <c r="F35" i="53" s="1"/>
  <c r="I33" i="41"/>
  <c r="J45" i="41"/>
  <c r="J15" i="41"/>
  <c r="H45" i="41"/>
  <c r="I15" i="41"/>
  <c r="F97" i="66"/>
  <c r="E17" i="53"/>
  <c r="F17" i="53" s="1"/>
  <c r="H23" i="53" s="1"/>
  <c r="J69" i="41"/>
  <c r="I18" i="41"/>
  <c r="H39" i="41"/>
  <c r="I69" i="41"/>
  <c r="I30" i="41"/>
  <c r="J54" i="41"/>
  <c r="E11" i="53"/>
  <c r="F11" i="53" s="1"/>
  <c r="H5" i="53" s="1"/>
  <c r="J63" i="41"/>
  <c r="F241" i="66" l="1"/>
  <c r="E23" i="53"/>
  <c r="F23" i="53" s="1"/>
  <c r="H17" i="53" s="1"/>
  <c r="G17" i="53" s="1"/>
  <c r="E305" i="38" s="1"/>
  <c r="F290" i="66"/>
  <c r="E347" i="38"/>
  <c r="M290" i="66" s="1"/>
  <c r="F194" i="66"/>
  <c r="E299" i="38"/>
  <c r="H402" i="41"/>
  <c r="J402" i="41"/>
  <c r="E29" i="53"/>
  <c r="F29" i="53" s="1"/>
  <c r="H35" i="53" s="1"/>
  <c r="G35" i="53" s="1"/>
  <c r="E341" i="38" s="1"/>
  <c r="F146" i="66"/>
  <c r="J403" i="41"/>
  <c r="H29" i="53"/>
  <c r="G5" i="53"/>
  <c r="E281" i="38" s="1"/>
  <c r="H11" i="53"/>
  <c r="G11" i="53" s="1"/>
  <c r="E293" i="38" s="1"/>
  <c r="G23" i="53" l="1"/>
  <c r="E317" i="38" s="1"/>
  <c r="I462" i="58" s="1"/>
  <c r="L290" i="66"/>
  <c r="N290" i="66" s="1"/>
  <c r="L289" i="66"/>
  <c r="J462" i="58"/>
  <c r="L97" i="66"/>
  <c r="H462" i="58"/>
  <c r="L49" i="66"/>
  <c r="G29" i="53"/>
  <c r="E329" i="38" s="1"/>
  <c r="L145" i="66" s="1"/>
  <c r="L194" i="66"/>
  <c r="L242" i="66"/>
  <c r="L98" i="66"/>
  <c r="L146" i="66"/>
  <c r="L241" i="66" l="1"/>
  <c r="P241" i="66" s="1"/>
  <c r="P289" i="66"/>
  <c r="N289" i="66"/>
  <c r="P290" i="66"/>
  <c r="V290" i="66" s="1"/>
  <c r="X290" i="66" s="1"/>
  <c r="R290" i="66"/>
  <c r="T290" i="66" s="1"/>
  <c r="J462" i="37"/>
  <c r="J462" i="41" s="1"/>
  <c r="M241" i="66"/>
  <c r="M242" i="66"/>
  <c r="N242" i="66" s="1"/>
  <c r="I462" i="37"/>
  <c r="I462" i="41" s="1"/>
  <c r="M97" i="66"/>
  <c r="N97" i="66" s="1"/>
  <c r="M98" i="66"/>
  <c r="N98" i="66" s="1"/>
  <c r="L193" i="66"/>
  <c r="P193" i="66" s="1"/>
  <c r="V193" i="66" s="1"/>
  <c r="X193" i="66" s="1"/>
  <c r="M193" i="66"/>
  <c r="M194" i="66"/>
  <c r="N194" i="66" s="1"/>
  <c r="H462" i="37"/>
  <c r="H462" i="41" s="1"/>
  <c r="M49" i="66"/>
  <c r="N49" i="66" s="1"/>
  <c r="M50" i="66"/>
  <c r="N50" i="66" s="1"/>
  <c r="P146" i="66"/>
  <c r="V146" i="66" s="1"/>
  <c r="X146" i="66" s="1"/>
  <c r="R146" i="66"/>
  <c r="T146" i="66" s="1"/>
  <c r="N146" i="66"/>
  <c r="P97" i="66"/>
  <c r="P98" i="66"/>
  <c r="V98" i="66" s="1"/>
  <c r="X98" i="66" s="1"/>
  <c r="R98" i="66"/>
  <c r="T98" i="66" s="1"/>
  <c r="P49" i="66"/>
  <c r="V49" i="66" s="1"/>
  <c r="X49" i="66" s="1"/>
  <c r="R49" i="66"/>
  <c r="T49" i="66" s="1"/>
  <c r="P242" i="66"/>
  <c r="V242" i="66" s="1"/>
  <c r="X242" i="66" s="1"/>
  <c r="R242" i="66"/>
  <c r="T242" i="66" s="1"/>
  <c r="P145" i="66"/>
  <c r="N145" i="66"/>
  <c r="P194" i="66"/>
  <c r="V194" i="66" s="1"/>
  <c r="X194" i="66" s="1"/>
  <c r="R194" i="66"/>
  <c r="T194" i="66" s="1"/>
  <c r="N241" i="66" l="1"/>
  <c r="O241" i="66" s="1"/>
  <c r="U241" i="66" s="1"/>
  <c r="R193" i="66"/>
  <c r="T193" i="66" s="1"/>
  <c r="N193" i="66"/>
  <c r="O193" i="66" s="1"/>
  <c r="Z50" i="66"/>
  <c r="Z194" i="66"/>
  <c r="Y194" i="66"/>
  <c r="Y50" i="66"/>
  <c r="Y145" i="66"/>
  <c r="Y289" i="66"/>
  <c r="O145" i="66"/>
  <c r="Z145" i="66"/>
  <c r="Z289" i="66"/>
  <c r="O289" i="66"/>
  <c r="Z242" i="66"/>
  <c r="Y242" i="66"/>
  <c r="Y98" i="66"/>
  <c r="Z98" i="66"/>
  <c r="Y290" i="66"/>
  <c r="Z146" i="66"/>
  <c r="Z290" i="66"/>
  <c r="Y146" i="66"/>
  <c r="Z97" i="66" l="1"/>
  <c r="Y241" i="66"/>
  <c r="Z241" i="66"/>
  <c r="Y97" i="66"/>
  <c r="O97" i="66"/>
  <c r="V97" i="66" s="1"/>
  <c r="X97" i="66" s="1"/>
  <c r="Q241" i="66"/>
  <c r="R241" i="66" s="1"/>
  <c r="T241" i="66" s="1"/>
  <c r="Y193" i="66"/>
  <c r="O49" i="66"/>
  <c r="U49" i="66" s="1"/>
  <c r="Z193" i="66"/>
  <c r="Z49" i="66"/>
  <c r="V241" i="66"/>
  <c r="X241" i="66" s="1"/>
  <c r="Q193" i="66"/>
  <c r="U193" i="66"/>
  <c r="Y49" i="66"/>
  <c r="Q289" i="66"/>
  <c r="R289" i="66" s="1"/>
  <c r="T289" i="66" s="1"/>
  <c r="U289" i="66"/>
  <c r="V289" i="66"/>
  <c r="X289" i="66" s="1"/>
  <c r="Q145" i="66"/>
  <c r="R145" i="66" s="1"/>
  <c r="T145" i="66" s="1"/>
  <c r="V145" i="66"/>
  <c r="X145" i="66" s="1"/>
  <c r="U145" i="66"/>
  <c r="Q97" i="66" l="1"/>
  <c r="R97" i="66" s="1"/>
  <c r="T97" i="66" s="1"/>
  <c r="U97" i="66"/>
  <c r="Q49" i="66"/>
  <c r="J4" i="58" l="1"/>
  <c r="J4" i="37"/>
  <c r="I4" i="58"/>
  <c r="I4" i="37"/>
  <c r="H4" i="37" l="1"/>
  <c r="H4" i="58"/>
  <c r="E19" i="53"/>
  <c r="I4" i="41"/>
  <c r="D45" i="39" s="1"/>
  <c r="F53" i="66"/>
  <c r="F197" i="66"/>
  <c r="N4" i="58"/>
  <c r="E25" i="53"/>
  <c r="E31" i="53"/>
  <c r="F101" i="66"/>
  <c r="J4" i="41"/>
  <c r="E45" i="39" s="1"/>
  <c r="O4" i="58"/>
  <c r="E37" i="53"/>
  <c r="F245" i="66"/>
  <c r="L45" i="39" l="1"/>
  <c r="E158" i="38" s="1"/>
  <c r="M45" i="39"/>
  <c r="M59" i="39" s="1"/>
  <c r="M60" i="39" s="1"/>
  <c r="E56" i="39"/>
  <c r="E59" i="39"/>
  <c r="E60" i="39" s="1"/>
  <c r="E124" i="38"/>
  <c r="E107" i="38"/>
  <c r="D56" i="39"/>
  <c r="D59" i="39"/>
  <c r="D60" i="39" s="1"/>
  <c r="M4" i="58"/>
  <c r="F149" i="66"/>
  <c r="E13" i="53"/>
  <c r="H4" i="41"/>
  <c r="K45" i="39" s="1"/>
  <c r="F5" i="66"/>
  <c r="E7" i="53"/>
  <c r="L56" i="39" l="1"/>
  <c r="L57" i="39" s="1"/>
  <c r="L59" i="39"/>
  <c r="L60" i="39" s="1"/>
  <c r="M56" i="39"/>
  <c r="M58" i="39" s="1"/>
  <c r="E175" i="38"/>
  <c r="D37" i="53" s="1"/>
  <c r="F37" i="53" s="1"/>
  <c r="C45" i="39"/>
  <c r="C56" i="39" s="1"/>
  <c r="K59" i="39"/>
  <c r="K60" i="39" s="1"/>
  <c r="K56" i="39"/>
  <c r="E141" i="38"/>
  <c r="L58" i="39"/>
  <c r="I452" i="58"/>
  <c r="D25" i="53"/>
  <c r="F25" i="53" s="1"/>
  <c r="I444" i="58"/>
  <c r="J197" i="66"/>
  <c r="J452" i="37"/>
  <c r="D31" i="53"/>
  <c r="F31" i="53" s="1"/>
  <c r="H37" i="53" s="1"/>
  <c r="J444" i="37"/>
  <c r="J101" i="66"/>
  <c r="D57" i="39"/>
  <c r="D58" i="39"/>
  <c r="J245" i="66"/>
  <c r="J53" i="66"/>
  <c r="I444" i="37"/>
  <c r="D19" i="53"/>
  <c r="F19" i="53" s="1"/>
  <c r="H25" i="53" s="1"/>
  <c r="I452" i="37"/>
  <c r="E57" i="39"/>
  <c r="E58" i="39"/>
  <c r="J452" i="58" l="1"/>
  <c r="F247" i="66" s="1"/>
  <c r="J444" i="58"/>
  <c r="J444" i="41" s="1"/>
  <c r="M57" i="39"/>
  <c r="C59" i="39"/>
  <c r="C60" i="39" s="1"/>
  <c r="E90" i="38"/>
  <c r="H444" i="37" s="1"/>
  <c r="F199" i="66"/>
  <c r="I457" i="58"/>
  <c r="W245" i="66"/>
  <c r="S245" i="66"/>
  <c r="G37" i="53"/>
  <c r="H31" i="53"/>
  <c r="G31" i="53" s="1"/>
  <c r="I457" i="37"/>
  <c r="F55" i="66"/>
  <c r="I452" i="41"/>
  <c r="S101" i="66"/>
  <c r="W101" i="66"/>
  <c r="D13" i="53"/>
  <c r="F13" i="53" s="1"/>
  <c r="H7" i="53" s="1"/>
  <c r="J149" i="66"/>
  <c r="H444" i="58"/>
  <c r="H452" i="58"/>
  <c r="J467" i="37"/>
  <c r="F102" i="66"/>
  <c r="K58" i="39"/>
  <c r="K57" i="39"/>
  <c r="J457" i="37"/>
  <c r="F103" i="66"/>
  <c r="I467" i="37"/>
  <c r="F54" i="66"/>
  <c r="I444" i="41"/>
  <c r="S53" i="66"/>
  <c r="W53" i="66"/>
  <c r="S197" i="66"/>
  <c r="W197" i="66"/>
  <c r="H452" i="37"/>
  <c r="F198" i="66"/>
  <c r="I467" i="58"/>
  <c r="C57" i="39"/>
  <c r="C58" i="39"/>
  <c r="G25" i="53"/>
  <c r="H19" i="53"/>
  <c r="G19" i="53" s="1"/>
  <c r="D7" i="53" l="1"/>
  <c r="F7" i="53" s="1"/>
  <c r="G7" i="53" s="1"/>
  <c r="F246" i="66"/>
  <c r="L246" i="66" s="1"/>
  <c r="P246" i="66" s="1"/>
  <c r="J5" i="66"/>
  <c r="S5" i="66" s="1"/>
  <c r="J452" i="41"/>
  <c r="J457" i="58"/>
  <c r="J457" i="41" s="1"/>
  <c r="J467" i="58"/>
  <c r="J467" i="41" s="1"/>
  <c r="O3" i="41" s="1"/>
  <c r="L198" i="66"/>
  <c r="P198" i="66" s="1"/>
  <c r="L102" i="66"/>
  <c r="P102" i="66" s="1"/>
  <c r="I458" i="37"/>
  <c r="I457" i="41"/>
  <c r="E360" i="38"/>
  <c r="K55" i="66" s="1"/>
  <c r="N55" i="66" s="1"/>
  <c r="J168" i="70" s="1"/>
  <c r="E331" i="38"/>
  <c r="E337" i="38"/>
  <c r="H457" i="58"/>
  <c r="F151" i="66"/>
  <c r="E343" i="38"/>
  <c r="E349" i="38"/>
  <c r="M245" i="66" s="1"/>
  <c r="H467" i="58"/>
  <c r="F150" i="66"/>
  <c r="F6" i="66"/>
  <c r="H467" i="37"/>
  <c r="H444" i="41"/>
  <c r="W149" i="66"/>
  <c r="S149" i="66"/>
  <c r="H457" i="37"/>
  <c r="F7" i="66"/>
  <c r="H452" i="41"/>
  <c r="I467" i="41"/>
  <c r="L54" i="66"/>
  <c r="P54" i="66" s="1"/>
  <c r="E307" i="38"/>
  <c r="E313" i="38"/>
  <c r="E319" i="38"/>
  <c r="E325" i="38"/>
  <c r="M197" i="66" s="1"/>
  <c r="E366" i="38"/>
  <c r="K103" i="66" s="1"/>
  <c r="N103" i="66" s="1"/>
  <c r="J458" i="37"/>
  <c r="E378" i="38"/>
  <c r="K199" i="66" s="1"/>
  <c r="N199" i="66" s="1"/>
  <c r="I458" i="58"/>
  <c r="E379" i="38" s="1"/>
  <c r="K218" i="66" s="1"/>
  <c r="N218" i="66" s="1"/>
  <c r="H168" i="70" l="1"/>
  <c r="E384" i="38"/>
  <c r="K247" i="66" s="1"/>
  <c r="N247" i="66" s="1"/>
  <c r="Z247" i="66" s="1"/>
  <c r="J458" i="58"/>
  <c r="E385" i="38" s="1"/>
  <c r="K266" i="66" s="1"/>
  <c r="N266" i="66" s="1"/>
  <c r="H13" i="53"/>
  <c r="G13" i="53" s="1"/>
  <c r="E301" i="38" s="1"/>
  <c r="M149" i="66" s="1"/>
  <c r="W5" i="66"/>
  <c r="H467" i="41"/>
  <c r="M3" i="41" s="1"/>
  <c r="N102" i="66"/>
  <c r="N246" i="66"/>
  <c r="N198" i="66"/>
  <c r="N54" i="66"/>
  <c r="H458" i="58"/>
  <c r="E373" i="38" s="1"/>
  <c r="K170" i="66" s="1"/>
  <c r="N170" i="66" s="1"/>
  <c r="E372" i="38"/>
  <c r="K151" i="66" s="1"/>
  <c r="N151" i="66" s="1"/>
  <c r="E283" i="38"/>
  <c r="E289" i="38"/>
  <c r="D20" i="8"/>
  <c r="M101" i="66"/>
  <c r="G18" i="39" s="1"/>
  <c r="E367" i="38"/>
  <c r="K122" i="66" s="1"/>
  <c r="N122" i="66" s="1"/>
  <c r="J464" i="37"/>
  <c r="L101" i="66"/>
  <c r="Y55" i="66"/>
  <c r="Y199" i="66"/>
  <c r="Z55" i="66"/>
  <c r="Z199" i="66"/>
  <c r="C20" i="8"/>
  <c r="M53" i="66"/>
  <c r="F18" i="39" s="1"/>
  <c r="L6" i="66"/>
  <c r="P6" i="66" s="1"/>
  <c r="V6" i="66" s="1"/>
  <c r="X6" i="66" s="1"/>
  <c r="E361" i="38"/>
  <c r="K74" i="66" s="1"/>
  <c r="N74" i="66" s="1"/>
  <c r="I458" i="41"/>
  <c r="L150" i="66"/>
  <c r="P150" i="66" s="1"/>
  <c r="V150" i="66" s="1"/>
  <c r="X150" i="66" s="1"/>
  <c r="H458" i="37"/>
  <c r="E354" i="38"/>
  <c r="K7" i="66" s="1"/>
  <c r="N7" i="66" s="1"/>
  <c r="H457" i="41"/>
  <c r="Y102" i="66"/>
  <c r="Z102" i="66"/>
  <c r="O102" i="66"/>
  <c r="L245" i="66"/>
  <c r="J464" i="58"/>
  <c r="I464" i="58"/>
  <c r="L197" i="66"/>
  <c r="L53" i="66"/>
  <c r="I464" i="37"/>
  <c r="E295" i="38"/>
  <c r="Y103" i="66" l="1"/>
  <c r="Z246" i="66"/>
  <c r="Z103" i="66"/>
  <c r="Y247" i="66"/>
  <c r="J458" i="41"/>
  <c r="Z54" i="66"/>
  <c r="Y246" i="66"/>
  <c r="Z198" i="66"/>
  <c r="O54" i="66"/>
  <c r="Q54" i="66" s="1"/>
  <c r="O198" i="66"/>
  <c r="Q198" i="66" s="1"/>
  <c r="Y54" i="66"/>
  <c r="Y198" i="66"/>
  <c r="O246" i="66"/>
  <c r="V246" i="66" s="1"/>
  <c r="X246" i="66" s="1"/>
  <c r="N6" i="66"/>
  <c r="N150" i="66"/>
  <c r="Y218" i="66"/>
  <c r="Y74" i="66"/>
  <c r="Z74" i="66"/>
  <c r="Z218" i="66"/>
  <c r="U102" i="66"/>
  <c r="Q102" i="66"/>
  <c r="V102" i="66"/>
  <c r="X102" i="66" s="1"/>
  <c r="P101" i="66"/>
  <c r="N101" i="66"/>
  <c r="L149" i="66"/>
  <c r="H464" i="58"/>
  <c r="J464" i="41"/>
  <c r="I464" i="41"/>
  <c r="N53" i="66"/>
  <c r="P53" i="66"/>
  <c r="Y122" i="66"/>
  <c r="Z122" i="66"/>
  <c r="Y266" i="66"/>
  <c r="Z266" i="66"/>
  <c r="P197" i="66"/>
  <c r="N197" i="66"/>
  <c r="E355" i="38"/>
  <c r="K26" i="66" s="1"/>
  <c r="N26" i="66" s="1"/>
  <c r="H458" i="41"/>
  <c r="Y151" i="66"/>
  <c r="Y7" i="66"/>
  <c r="Z7" i="66"/>
  <c r="Z151" i="66"/>
  <c r="M5" i="66"/>
  <c r="B20" i="8"/>
  <c r="L5" i="66"/>
  <c r="H464" i="37"/>
  <c r="P245" i="66"/>
  <c r="N245" i="66"/>
  <c r="V198" i="66" l="1"/>
  <c r="X198" i="66" s="1"/>
  <c r="V54" i="66"/>
  <c r="X54" i="66" s="1"/>
  <c r="U198" i="66"/>
  <c r="U54" i="66"/>
  <c r="Y150" i="66"/>
  <c r="H464" i="41"/>
  <c r="O245" i="66"/>
  <c r="U245" i="66" s="1"/>
  <c r="Y6" i="66"/>
  <c r="O6" i="66"/>
  <c r="U6" i="66" s="1"/>
  <c r="Z6" i="66"/>
  <c r="Z150" i="66"/>
  <c r="O197" i="66"/>
  <c r="U197" i="66" s="1"/>
  <c r="O150" i="66"/>
  <c r="U150" i="66" s="1"/>
  <c r="Q246" i="66"/>
  <c r="U246" i="66"/>
  <c r="P5" i="66"/>
  <c r="V5" i="66" s="1"/>
  <c r="X5" i="66" s="1"/>
  <c r="R5" i="66"/>
  <c r="T5" i="66" s="1"/>
  <c r="N5" i="66"/>
  <c r="O53" i="66"/>
  <c r="Y53" i="66"/>
  <c r="Y197" i="66"/>
  <c r="Z197" i="66"/>
  <c r="Z53" i="66"/>
  <c r="Y26" i="66"/>
  <c r="Z26" i="66"/>
  <c r="Z170" i="66"/>
  <c r="Y170" i="66"/>
  <c r="P149" i="66"/>
  <c r="V149" i="66" s="1"/>
  <c r="X149" i="66" s="1"/>
  <c r="N149" i="66"/>
  <c r="R149" i="66"/>
  <c r="T149" i="66" s="1"/>
  <c r="Y101" i="66"/>
  <c r="Z245" i="66"/>
  <c r="Y245" i="66"/>
  <c r="O101" i="66"/>
  <c r="Z101" i="66"/>
  <c r="Q245" i="66" l="1"/>
  <c r="R245" i="66" s="1"/>
  <c r="T245" i="66" s="1"/>
  <c r="V245" i="66"/>
  <c r="X245" i="66" s="1"/>
  <c r="Q6" i="66"/>
  <c r="Q197" i="66"/>
  <c r="R197" i="66" s="1"/>
  <c r="T197" i="66" s="1"/>
  <c r="V197" i="66"/>
  <c r="X197" i="66" s="1"/>
  <c r="Q150" i="66"/>
  <c r="O149" i="66"/>
  <c r="U149" i="66" s="1"/>
  <c r="U53" i="66"/>
  <c r="V53" i="66"/>
  <c r="X53" i="66" s="1"/>
  <c r="Q53" i="66"/>
  <c r="R53" i="66" s="1"/>
  <c r="T53" i="66" s="1"/>
  <c r="Y149" i="66"/>
  <c r="O5" i="66"/>
  <c r="Y5" i="66"/>
  <c r="Z149" i="66"/>
  <c r="Z5" i="66"/>
  <c r="U101" i="66"/>
  <c r="V101" i="66"/>
  <c r="X101" i="66" s="1"/>
  <c r="Q101" i="66"/>
  <c r="R101" i="66" s="1"/>
  <c r="T101" i="66" s="1"/>
  <c r="Q149" i="66" l="1"/>
  <c r="Q5" i="66"/>
  <c r="U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<sst xmlns="http://schemas.openxmlformats.org/spreadsheetml/2006/main" count="4052" uniqueCount="345">
  <si>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</si>
  <si>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</si>
  <si>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</si>
  <si>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</si>
  <si>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</si>
  <si>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</si>
  <si>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</si>
  <si>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</si>
  <si>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</si>
  <si>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</si>
  <si>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</si>
  <si>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</si>
  <si>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</si>
  <si>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</si>
  <si>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</si>
  <si>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</si>
  <si>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</si>
  <si>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</si>
  <si>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</si>
  <si>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</si>
  <si>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</si>
  <si>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</si>
  <si>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</si>
  <si>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</si>
  <si>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</si>
  <si>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</si>
  <si>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</si>
  <si>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</si>
  <si>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</si>
  <si>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</si>
  <si>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</si>
  <si>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</si>
  <si>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</si>
  <si>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</si>
  <si>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</si>
  <si>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</si>
  <si>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</si>
  <si>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</si>
  <si>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</si>
  <si>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</si>
  <si>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</si>
  <si>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</si>
  <si>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</si>
  <si>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</si>
  <si>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</si>
  <si>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</si>
  <si>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</si>
  <si>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</si>
  <si>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</si>
  <si>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</si>
  <si>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</si>
  <si>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</si>
  <si>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</si>
  <si>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</si>
  <si>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</si>
  <si>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</si>
  <si>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</si>
  <si>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</si>
  <si>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</si>
  <si>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</si>
  <si>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</si>
  <si>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</si>
  <si>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</si>
  <si>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</si>
  <si>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</si>
  <si>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</si>
  <si>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</si>
  <si>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</si>
  <si>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</si>
  <si>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</si>
  <si>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</si>
  <si>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</si>
  <si>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</si>
  <si>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</si>
  <si>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</si>
  <si>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</si>
  <si>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</si>
  <si>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</si>
  <si>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</si>
  <si>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</si>
  <si>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</si>
  <si>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</si>
  <si>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</si>
  <si>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</si>
  <si>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</si>
  <si>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</si>
  <si>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</si>
  <si>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</si>
  <si>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</si>
  <si>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</si>
  <si>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</si>
  <si>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</si>
  <si>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</si>
  <si>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</si>
  <si>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</si>
  <si>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</si>
  <si>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</si>
  <si>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</si>
  <si>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</si>
  <si>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</si>
  <si>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</si>
  <si>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</si>
  <si>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</si>
  <si>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</si>
  <si>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</si>
  <si>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</si>
  <si>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</si>
  <si>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</si>
  <si>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</si>
  <si>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</si>
  <si>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</si>
  <si>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</si>
  <si>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</si>
  <si>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</si>
  <si>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</si>
  <si>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</si>
  <si>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</si>
  <si>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</si>
  <si>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</si>
  <si>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</si>
  <si>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</si>
  <si>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</si>
  <si>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</si>
  <si>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</si>
  <si>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</si>
  <si>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</si>
  <si>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</si>
  <si>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</si>
  <si>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</si>
  <si>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</si>
  <si>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</si>
  <si>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</si>
  <si>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</si>
  <si>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</si>
  <si>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</si>
  <si>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</si>
  <si>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</si>
  <si>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</si>
  <si>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</si>
  <si>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</si>
  <si>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</si>
  <si>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</si>
  <si>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</si>
  <si>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</si>
  <si>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</si>
  <si>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</si>
  <si>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</si>
  <si>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</si>
  <si>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</si>
  <si>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</si>
  <si>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</si>
  <si>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</si>
  <si>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</si>
  <si>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</si>
  <si>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</si>
  <si>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</si>
  <si>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</si>
  <si>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</si>
  <si>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</si>
  <si>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</si>
  <si>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</si>
  <si>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</si>
  <si>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</si>
  <si>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</si>
  <si>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</si>
  <si>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</si>
  <si>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</si>
  <si>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</si>
  <si>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</si>
  <si>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</si>
  <si>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</si>
  <si>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</si>
  <si>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</si>
  <si>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</si>
  <si>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</si>
  <si>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</si>
  <si>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</si>
  <si>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</si>
  <si>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</si>
  <si>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</si>
  <si>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</si>
  <si>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</si>
  <si>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</si>
  <si>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</si>
  <si>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</si>
  <si>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</si>
  <si>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</si>
  <si>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</si>
  <si>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</si>
  <si>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</si>
  <si>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</si>
  <si>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</si>
  <si>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</si>
  <si>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</si>
  <si>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</si>
  <si>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</si>
  <si>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</si>
  <si>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</si>
  <si>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</si>
  <si>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</si>
  <si>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</si>
  <si>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</si>
  <si>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</si>
  <si>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</si>
  <si>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</si>
  <si>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</si>
  <si>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</si>
  <si>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</si>
  <si>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</si>
  <si>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</si>
  <si>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</si>
  <si>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</si>
  <si>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</si>
  <si>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</si>
  <si>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</si>
  <si>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</si>
  <si>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</si>
  <si>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</si>
  <si>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</si>
  <si>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</si>
  <si>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</si>
  <si>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</si>
  <si>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</si>
  <si>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</si>
  <si>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</si>
  <si>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</si>
  <si>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</si>
  <si>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</si>
  <si>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</si>
  <si>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</si>
  <si>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</si>
  <si>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</si>
  <si>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</si>
  <si>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</si>
  <si>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</si>
  <si>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</si>
  <si>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</si>
  <si>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</si>
  <si>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</si>
  <si>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</si>
  <si>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</si>
  <si>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</si>
  <si>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</si>
  <si>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</si>
  <si>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</si>
  <si>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</si>
  <si>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</si>
  <si>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</si>
  <si>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</si>
  <si>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</si>
  <si>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</si>
  <si>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</si>
  <si>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</si>
  <si>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</si>
  <si>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</si>
  <si>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</si>
  <si>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</si>
  <si>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</si>
  <si>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</si>
  <si>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</si>
  <si>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</si>
  <si>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</si>
  <si>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</si>
  <si>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</si>
  <si>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</si>
  <si>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</si>
  <si>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</si>
  <si>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</si>
  <si>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</si>
  <si>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</si>
  <si>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</si>
  <si>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</si>
  <si>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</si>
  <si>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</si>
  <si>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</si>
  <si>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</si>
  <si>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</si>
  <si>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</si>
  <si>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</si>
  <si>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</si>
  <si>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</si>
  <si>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</si>
  <si>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</si>
  <si>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</si>
  <si>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</si>
  <si>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</si>
  <si>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</si>
  <si>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</si>
  <si>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</si>
  <si>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</si>
  <si>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</si>
  <si>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</si>
  <si>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</si>
  <si>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</si>
  <si>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</si>
  <si>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</si>
  <si>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</si>
  <si>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</si>
  <si>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</si>
  <si>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</si>
  <si>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</si>
  <si>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</si>
  <si>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</si>
  <si>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</si>
  <si>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</si>
  <si>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</si>
  <si>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</si>
  <si>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</si>
  <si>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</si>
  <si>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</si>
  <si>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</si>
  <si>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</si>
  <si>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</si>
  <si>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</si>
  <si>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</si>
  <si>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</si>
  <si>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</si>
  <si>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</si>
  <si>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</si>
  <si>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</si>
  <si>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</si>
  <si>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</si>
  <si>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</si>
  <si>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</si>
  <si>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</si>
  <si>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</si>
  <si>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</si>
  <si>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</si>
  <si>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</si>
  <si>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</si>
  <si>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</si>
  <si>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</si>
  <si>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</si>
  <si>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</si>
  <si>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</si>
  <si>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</si>
  <si>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</si>
  <si>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</si>
  <si>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Danmark</t>
  </si>
  <si>
    <t>Fordeling af forbrug af produkter efter tømmerproduktion</t>
  </si>
  <si>
    <t>*De 62% kommer fra 10B KF21 (sektornotat landbrug)</t>
  </si>
  <si>
    <t xml:space="preserve">Biogasgylle overskud: </t>
  </si>
  <si>
    <t>Kunstgødning import:</t>
  </si>
  <si>
    <t>ton vv</t>
  </si>
  <si>
    <t>gødning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</si>
</sst>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82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171" fontId="0" fillId="4" borderId="1" xfId="5" applyNumberFormat="1" applyFont="1" applyFill="1" applyBorder="1"/>
    <xf numFmtId="171" fontId="0" fillId="3" borderId="1" xfId="5" applyNumberFormat="1" applyFont="1" applyFill="1" applyBorder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2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2228369.9999999995</c:v>
                </c:pt>
                <c:pt idx="2">
                  <c:v>1886540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</c:v>
                </c:pt>
                <c:pt idx="2">
                  <c:v>651650.00000000012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811900</c:v>
                </c:pt>
                <c:pt idx="2">
                  <c:v>1075000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4409198.4139820281</c:v>
                </c:pt>
                <c:pt idx="2">
                  <c:v>2751010.6362999445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6029088.3887261674</c:v>
                </c:pt>
                <c:pt idx="2">
                  <c:v>4256145.2345297476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-2465700.867643958</c:v>
                </c:pt>
                <c:pt idx="2">
                  <c:v>-5288328.8186776675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-311923.80729170947</c:v>
                </c:pt>
                <c:pt idx="2">
                  <c:v>-244678.56203733059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-965946.66666666698</c:v>
                </c:pt>
                <c:pt idx="2">
                  <c:v>-1631666.6666666665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6670104.6479239594</c:v>
                </c:pt>
                <c:pt idx="2">
                  <c:v>-197697.29237007059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249070.41145368534</c:v>
                </c:pt>
                <c:pt idx="2">
                  <c:v>216951.70801995497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21590.944766009088</c:v>
                </c:pt>
                <c:pt idx="2">
                  <c:v>18865.364198504856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298013.90675097884</c:v>
                </c:pt>
                <c:pt idx="2">
                  <c:v>160356.6559175018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86085.718291457015</c:v>
                </c:pt>
                <c:pt idx="2">
                  <c:v>75461.443395327253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16716.162692950904</c:v>
                </c:pt>
                <c:pt idx="2">
                  <c:v>14313.043935558482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65820.275689989794</c:v>
                </c:pt>
                <c:pt idx="2">
                  <c:v>56596.151034252514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883591.45920908672</c:v>
                </c:pt>
                <c:pt idx="2">
                  <c:v>754615.39892948361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111977.52639575016</c:v>
                </c:pt>
                <c:pt idx="2">
                  <c:v>94326.964105956184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61589.234291461878</c:v>
                </c:pt>
                <c:pt idx="2">
                  <c:v>52763.968072249161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197847.00478896068</c:v>
                </c:pt>
                <c:pt idx="2">
                  <c:v>171674.86292287466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10867.259065585897</c:v>
                </c:pt>
                <c:pt idx="2">
                  <c:v>9432.6844828219237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126838.32883502003</c:v>
                </c:pt>
                <c:pt idx="2">
                  <c:v>179222.0901799573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6954.7525926161206</c:v>
                </c:pt>
                <c:pt idx="2">
                  <c:v>5504.0224764256391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91124.170336585928</c:v>
                </c:pt>
                <c:pt idx="2">
                  <c:v>76207.415665262117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5.9185756611736293</c:v>
                </c:pt>
                <c:pt idx="2">
                  <c:v>4.413950742288951</c:v>
                </c:pt>
                <c:pt idx="3">
                  <c:v>7.483154704207001</c:v>
                </c:pt>
                <c:pt idx="4">
                  <c:v>7.6088641505357533</c:v>
                </c:pt>
                <c:pt idx="5">
                  <c:v>8.2851701255222014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1.7339476307410988</c:v>
                </c:pt>
                <c:pt idx="2">
                  <c:v>1.9504339469703251</c:v>
                </c:pt>
                <c:pt idx="3">
                  <c:v>1.4201719861750002</c:v>
                </c:pt>
                <c:pt idx="4">
                  <c:v>0</c:v>
                </c:pt>
                <c:pt idx="5">
                  <c:v>2.6925000000000003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12.937347298228788</c:v>
                </c:pt>
                <c:pt idx="2">
                  <c:v>11.676881539930978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1.2409553954691868</c:v>
                </c:pt>
                <c:pt idx="2">
                  <c:v>0.44238509657731323</c:v>
                </c:pt>
                <c:pt idx="3">
                  <c:v>5.0922829580050024</c:v>
                </c:pt>
                <c:pt idx="4">
                  <c:v>10.44013238392133</c:v>
                </c:pt>
                <c:pt idx="5">
                  <c:v>8.4602640214703264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9.8390722963911195</c:v>
                </c:pt>
                <c:pt idx="2">
                  <c:v>8.3550634809899407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44.879863833162844</c:v>
                </c:pt>
                <c:pt idx="2">
                  <c:v>45.596526266723075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14.320480000000003</c:v>
                </c:pt>
                <c:pt idx="2">
                  <c:v>24.189999999999991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1228117.319874564</c:v>
                </c:pt>
                <c:pt idx="2">
                  <c:v>1156722.2438764875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224264.81188071458</c:v>
                </c:pt>
                <c:pt idx="2">
                  <c:v>392713.09498553735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1078311.3080653877</c:v>
                </c:pt>
                <c:pt idx="2">
                  <c:v>999175.72564844368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1579209.4799870809</c:v>
                </c:pt>
                <c:pt idx="2">
                  <c:v>1203819.8797974139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1494314.3329114441</c:v>
                </c:pt>
                <c:pt idx="2">
                  <c:v>1527619.6031409521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55232.015680024619</c:v>
                </c:pt>
                <c:pt idx="5">
                  <c:v>35257.571224615385</c:v>
                </c:pt>
                <c:pt idx="6">
                  <c:v>0</c:v>
                </c:pt>
                <c:pt idx="7">
                  <c:v>81052.166236837889</c:v>
                </c:pt>
                <c:pt idx="8">
                  <c:v>211273.23635515591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1512611.3283061129</c:v>
                </c:pt>
                <c:pt idx="2">
                  <c:v>1321975.9767089051</c:v>
                </c:pt>
                <c:pt idx="15">
                  <c:v>823764.99285714305</c:v>
                </c:pt>
                <c:pt idx="16">
                  <c:v>350967.65152171784</c:v>
                </c:pt>
                <c:pt idx="17">
                  <c:v>125115.58350994992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5606.6153976329697</c:v>
                </c:pt>
                <c:pt idx="2">
                  <c:v>7470.90409588078</c:v>
                </c:pt>
                <c:pt idx="15">
                  <c:v>4441.5</c:v>
                </c:pt>
                <c:pt idx="16">
                  <c:v>3436.3126630653683</c:v>
                </c:pt>
                <c:pt idx="17">
                  <c:v>1867.7260239701945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34331.900907712836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11152926.943241669</c:v>
                </c:pt>
                <c:pt idx="5">
                  <c:v>7119514.1300354563</c:v>
                </c:pt>
                <c:pt idx="18">
                  <c:v>0</c:v>
                </c:pt>
                <c:pt idx="19">
                  <c:v>5700756.0608161455</c:v>
                </c:pt>
                <c:pt idx="20">
                  <c:v>3639099.7209445592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629723.56088841078</c:v>
                </c:pt>
                <c:pt idx="5">
                  <c:v>401986.47517170728</c:v>
                </c:pt>
                <c:pt idx="9">
                  <c:v>1893765.2125355615</c:v>
                </c:pt>
                <c:pt idx="10">
                  <c:v>1083774.8488732176</c:v>
                </c:pt>
                <c:pt idx="11">
                  <c:v>675144.21380909206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1480000.0000000007</c:v>
                </c:pt>
                <c:pt idx="26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800000</c:v>
                </c:pt>
                <c:pt idx="2">
                  <c:v>800000</c:v>
                </c:pt>
                <c:pt idx="9">
                  <c:v>982731</c:v>
                </c:pt>
                <c:pt idx="10">
                  <c:v>182809.00000000006</c:v>
                </c:pt>
                <c:pt idx="11">
                  <c:v>182808.99999999994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600000.00000000012</c:v>
                </c:pt>
                <c:pt idx="2">
                  <c:v>500000.00000000012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5319268.9308093684</c:v>
                </c:pt>
                <c:pt idx="5">
                  <c:v>3395575.9333028104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6897517.7984649893</c:v>
                </c:pt>
                <c:pt idx="2">
                  <c:v>5456225.1637129262</c:v>
                </c:pt>
                <c:pt idx="15">
                  <c:v>9696490.333333334</c:v>
                </c:pt>
                <c:pt idx="16">
                  <c:v>4227510.9087366061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1242212.0827176087</c:v>
                </c:pt>
                <c:pt idx="5">
                  <c:v>792970.89637693239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750000.00000000012</c:v>
                </c:pt>
                <c:pt idx="3">
                  <c:v>6351407.0475792512</c:v>
                </c:pt>
                <c:pt idx="4">
                  <c:v>5194673.4173534214</c:v>
                </c:pt>
                <c:pt idx="5">
                  <c:v>3316039.9045004183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58390.640697656214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878488.59789206437</c:v>
                </c:pt>
                <c:pt idx="23">
                  <c:v>745987.81080267346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785800.95035671385</c:v>
                </c:pt>
                <c:pt idx="5">
                  <c:v>501619.08151384618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43516.133566079996</c:v>
                </c:pt>
                <c:pt idx="5">
                  <c:v>27778.692480000002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0">
                  <c:v>2668834</c:v>
                </c:pt>
                <c:pt idx="1">
                  <c:v>3645941.0625492036</c:v>
                </c:pt>
                <c:pt idx="2">
                  <c:v>6046494.3414125368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8560529.974906262</c:v>
                </c:pt>
                <c:pt idx="2">
                  <c:v>6609395.6836867323</c:v>
                </c:pt>
                <c:pt idx="15">
                  <c:v>14742130.666666664</c:v>
                </c:pt>
                <c:pt idx="16">
                  <c:v>5246776.4362328704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118550.69474978685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174650.63022250982</c:v>
                </c:pt>
                <c:pt idx="11">
                  <c:v>133081.08218496924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2874812.4442172255</c:v>
                </c:pt>
                <c:pt idx="11">
                  <c:v>2977033.0999848829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3">
                  <c:v>0</c:v>
                </c:pt>
                <c:pt idx="4">
                  <c:v>1972571.9885723072</c:v>
                </c:pt>
                <c:pt idx="5">
                  <c:v>1259198.9723076918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3">
                  <c:v>0</c:v>
                </c:pt>
                <c:pt idx="4">
                  <c:v>953003.32509715192</c:v>
                </c:pt>
                <c:pt idx="5">
                  <c:v>608353.36531200004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0">
                  <c:v>0</c:v>
                </c:pt>
                <c:pt idx="1">
                  <c:v>1727125.9811688233</c:v>
                </c:pt>
                <c:pt idx="2">
                  <c:v>1422603.3063451063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178014.39078613737</c:v>
                </c:pt>
                <c:pt idx="5">
                  <c:v>113636.17613576764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281116.35132546059</c:v>
                </c:pt>
                <c:pt idx="11">
                  <c:v>238716.0994568555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18044229.187614657</c:v>
                </c:pt>
                <c:pt idx="17">
                  <c:v>14349551.089183256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F-436A-8D9E-3B0A99E06D2B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1660014.4487791653</c:v>
                </c:pt>
                <c:pt idx="17">
                  <c:v>1616287.9310672511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F-436A-8D9E-3B0A99E06D2B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9">
                  <c:v>0</c:v>
                </c:pt>
                <c:pt idx="10">
                  <c:v>828800.00000000047</c:v>
                </c:pt>
                <c:pt idx="11">
                  <c:v>1400000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AF-436A-8D9E-3B0A99E06D2B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9">
                  <c:v>0</c:v>
                </c:pt>
                <c:pt idx="10">
                  <c:v>207200.00000000012</c:v>
                </c:pt>
                <c:pt idx="11">
                  <c:v>350000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AF-436A-8D9E-3B0A99E06D2B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792049.6289698272</c:v>
                </c:pt>
                <c:pt idx="14">
                  <c:v>870579.42418129975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AAF-436A-8D9E-3B0A99E06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1660014.4487791653</c:v>
                </c:pt>
                <c:pt idx="2">
                  <c:v>1616287.9310672511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3343.8010555246146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10506.319254641596</c:v>
                </c:pt>
                <c:pt idx="2">
                  <c:v>6706.74960651531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295986.95488590782</c:v>
                </c:pt>
                <c:pt idx="2">
                  <c:v>342995.31126165221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7A-4526-B402-C7B0D0412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835972.72038527858</c:v>
                </c:pt>
                <c:pt idx="2">
                  <c:v>583643.97890224867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4254375.7434823737</c:v>
                </c:pt>
                <c:pt idx="2">
                  <c:v>7186599.8576386888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576116.71098848025</c:v>
                </c:pt>
                <c:pt idx="2">
                  <c:v>205378.41066727636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153901.96523502804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1327159.1732761196</c:v>
                </c:pt>
                <c:pt idx="2">
                  <c:v>1079479.3223754542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651527.44368819008</c:v>
                </c:pt>
                <c:pt idx="2">
                  <c:v>92224.67040210776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1487443.4103780887</c:v>
                </c:pt>
                <c:pt idx="2">
                  <c:v>1187929.0646227887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54089.706503608206</c:v>
                </c:pt>
                <c:pt idx="2">
                  <c:v>44787.470491779066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2603685.0557626397</c:v>
                </c:pt>
                <c:pt idx="2">
                  <c:v>2142531.8661417775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506782.85975210578</c:v>
                </c:pt>
                <c:pt idx="2">
                  <c:v>1371945.625518437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146751.43669059611</c:v>
                </c:pt>
                <c:pt idx="2">
                  <c:v>59006.072343790955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67599.913366085384</c:v>
                </c:pt>
                <c:pt idx="2">
                  <c:v>300848.41353906074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724834.80451910477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1367.9773147687811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2559846.5142407757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107785.76819097856</c:v>
                </c:pt>
                <c:pt idx="2">
                  <c:v>258178.31605614454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103731.07060017808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74870.869608389519</c:v>
                </c:pt>
                <c:pt idx="2">
                  <c:v>44164.318545236878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1080224.9231294955</c:v>
                </c:pt>
                <c:pt idx="2">
                  <c:v>648616.74048751721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3645941.0625492036</c:v>
                </c:pt>
                <c:pt idx="2">
                  <c:v>1511623.5853531337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1058561.0852325046</c:v>
                </c:pt>
                <c:pt idx="2">
                  <c:v>355650.82658627635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848084.29990278604</c:v>
                </c:pt>
                <c:pt idx="2">
                  <c:v>709449.17746015533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1861865.4474307869</c:v>
                </c:pt>
                <c:pt idx="2">
                  <c:v>1558525.3424678326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F9-4D80-A8C9-E15ECE778EF2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261229.90815989478</c:v>
                </c:pt>
                <c:pt idx="2">
                  <c:v>259357.72926556907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F9-4D80-A8C9-E15ECE778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2228369.9999999995</c:v>
                </c:pt>
                <c:pt idx="2">
                  <c:v>1886540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</c:v>
                </c:pt>
                <c:pt idx="2">
                  <c:v>651650.00000000012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811900</c:v>
                </c:pt>
                <c:pt idx="2">
                  <c:v>1075000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4409198.4139820281</c:v>
                </c:pt>
                <c:pt idx="2">
                  <c:v>2751010.6362999445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6029088.3887261674</c:v>
                </c:pt>
                <c:pt idx="2">
                  <c:v>4256145.2345297476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-2465700.867643958</c:v>
                </c:pt>
                <c:pt idx="2">
                  <c:v>-5288328.8186776675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-311923.80729170947</c:v>
                </c:pt>
                <c:pt idx="2">
                  <c:v>-244678.56203733059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-965946.66666666698</c:v>
                </c:pt>
                <c:pt idx="2">
                  <c:v>-1631666.6666666665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6670104.6479239594</c:v>
                </c:pt>
                <c:pt idx="2">
                  <c:v>-197697.29237007059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249070.41145368534</c:v>
                </c:pt>
                <c:pt idx="2">
                  <c:v>216951.70801995497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21590.944766009088</c:v>
                </c:pt>
                <c:pt idx="2">
                  <c:v>18865.364198504856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298013.90675097884</c:v>
                </c:pt>
                <c:pt idx="2">
                  <c:v>160356.6559175018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86085.718291457015</c:v>
                </c:pt>
                <c:pt idx="2">
                  <c:v>75461.443395327253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16716.162692950904</c:v>
                </c:pt>
                <c:pt idx="2">
                  <c:v>14313.043935558482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65820.275689989794</c:v>
                </c:pt>
                <c:pt idx="2">
                  <c:v>56596.151034252514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883591.45920908672</c:v>
                </c:pt>
                <c:pt idx="2">
                  <c:v>754615.39892948361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111977.52639575016</c:v>
                </c:pt>
                <c:pt idx="2">
                  <c:v>94326.964105956184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61589.234291461878</c:v>
                </c:pt>
                <c:pt idx="2">
                  <c:v>52763.968072249161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197847.00478896068</c:v>
                </c:pt>
                <c:pt idx="2">
                  <c:v>171674.86292287466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10867.259065585897</c:v>
                </c:pt>
                <c:pt idx="2">
                  <c:v>9432.6844828219237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126838.32883502003</c:v>
                </c:pt>
                <c:pt idx="2">
                  <c:v>179222.0901799573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6954.7525926161206</c:v>
                </c:pt>
                <c:pt idx="2">
                  <c:v>5504.0224764256391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91124.170336585928</c:v>
                </c:pt>
                <c:pt idx="2">
                  <c:v>76207.415665262117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9597731.076909367</c:v>
                </c:pt>
                <c:pt idx="2">
                  <c:v>6343027.2216558158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1002383.4251010446</c:v>
                </c:pt>
                <c:pt idx="2">
                  <c:v>624279.37582031451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19328402.782654595</c:v>
                </c:pt>
                <c:pt idx="2">
                  <c:v>18416921.146918636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552772.32309063291</c:v>
                </c:pt>
                <c:pt idx="2">
                  <c:v>584743.27834418393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210555.77489895534</c:v>
                </c:pt>
                <c:pt idx="2">
                  <c:v>170920.62417968543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3731478.2173454049</c:v>
                </c:pt>
                <c:pt idx="2">
                  <c:v>4642959.853081366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972256.90230214107</c:v>
                </c:pt>
                <c:pt idx="2">
                  <c:v>830174.78648201993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1327159.1732761196</c:v>
                </c:pt>
                <c:pt idx="2">
                  <c:v>1079479.3223754542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185260.28214531712</c:v>
                </c:pt>
                <c:pt idx="2">
                  <c:v>158778.62508184306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17505210.447746005</c:v>
                </c:pt>
                <c:pt idx="2">
                  <c:v>10850838.521382123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1991486.5691634244</c:v>
                </c:pt>
                <c:pt idx="2">
                  <c:v>1713471.2400562391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848084.29990278604</c:v>
                </c:pt>
                <c:pt idx="2">
                  <c:v>709449.17746015533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2834177.1534986477</c:v>
                </c:pt>
                <c:pt idx="2">
                  <c:v>2382855.1724957675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6378219.6730499323</c:v>
                </c:pt>
                <c:pt idx="2">
                  <c:v>5343241.1278890474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5262273.3307195064</c:v>
                </c:pt>
                <c:pt idx="2">
                  <c:v>4366888.3180394787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1861865.4474307869</c:v>
                </c:pt>
                <c:pt idx="2">
                  <c:v>1558525.3424678326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174650.63022250982</c:v>
                </c:pt>
                <c:pt idx="2">
                  <c:v>133081.08218496924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878488.59789206437</c:v>
                </c:pt>
                <c:pt idx="2">
                  <c:v>745987.81080267346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893586.71854769241</c:v>
                </c:pt>
                <c:pt idx="2">
                  <c:v>759797.39756999072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2874812.4442172255</c:v>
                </c:pt>
                <c:pt idx="2">
                  <c:v>2977033.0999848829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792049.6289698272</c:v>
                </c:pt>
                <c:pt idx="2">
                  <c:v>870579.42418129975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Skovbrug!$H$49:$J$49</c15:sqref>
                  </c15:fullRef>
                </c:ext>
              </c:extLst>
              <c:f>Skovbrug!$I$49:$J$49</c:f>
              <c:numCache>
                <c:formatCode>General</c:formatCode>
                <c:ptCount val="2"/>
                <c:pt idx="0">
                  <c:v>531756.63839717361</c:v>
                </c:pt>
                <c:pt idx="1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Skovbrug!$H$50:$J$50</c15:sqref>
                  </c15:fullRef>
                </c:ext>
              </c:extLst>
              <c:f>Skovbrug!$I$50:$J$50</c:f>
              <c:numCache>
                <c:formatCode>General</c:formatCode>
                <c:ptCount val="2"/>
                <c:pt idx="0">
                  <c:v>70035.840400706598</c:v>
                </c:pt>
                <c:pt idx="1">
                  <c:v>148491.84298757909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Skovbrug!$H$51:$J$51</c15:sqref>
                  </c15:fullRef>
                </c:ext>
              </c:extLst>
              <c:f>Skovbrug!$I$51:$J$51</c:f>
              <c:numCache>
                <c:formatCode>General</c:formatCode>
                <c:ptCount val="2"/>
                <c:pt idx="0">
                  <c:v>70035.840400706598</c:v>
                </c:pt>
                <c:pt idx="1">
                  <c:v>148491.84298757909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Skovbrug!$H$52:$J$52</c15:sqref>
                  </c15:fullRef>
                </c:ext>
              </c:extLst>
              <c:f>Skovbrug!$I$52:$J$52</c:f>
              <c:numCache>
                <c:formatCode>General</c:formatCode>
                <c:ptCount val="2"/>
                <c:pt idx="0">
                  <c:v>70035.840400706598</c:v>
                </c:pt>
                <c:pt idx="1">
                  <c:v>148491.84298757909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Skovbrug!$H$53:$J$53</c15:sqref>
                  </c15:fullRef>
                </c:ext>
              </c:extLst>
              <c:f>Skovbrug!$I$53:$J$53</c:f>
              <c:numCache>
                <c:formatCode>General</c:formatCode>
                <c:ptCount val="2"/>
                <c:pt idx="0">
                  <c:v>70035.840400706598</c:v>
                </c:pt>
                <c:pt idx="1">
                  <c:v>148491.84298757909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Skovbrug!$H$54:$J$54</c15:sqref>
                  </c15:fullRef>
                </c:ext>
              </c:extLst>
              <c:f>Skovbrug!$I$54:$J$54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Skovbrug!$H$47:$J$47</c15:sqref>
                        </c15:fullRef>
                        <c15:formulaRef>
                          <c15:sqref>Skovbrug!$I$47:$J$47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Skovbrug!$H$48:$J$48</c15:sqref>
                        </c15:fullRef>
                        <c15:formulaRef>
                          <c15:sqref>Skovbrug!$I$48:$J$48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2030</c:v>
                      </c:pt>
                      <c:pt idx="1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71.823999999999998</c:v>
                </c:pt>
                <c:pt idx="4">
                  <c:v>35.375999999999998</c:v>
                </c:pt>
                <c:pt idx="5">
                  <c:v>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20.8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44.89</c:v>
                </c:pt>
                <c:pt idx="4">
                  <c:v>22.11</c:v>
                </c:pt>
                <c:pt idx="5">
                  <c:v>80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13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835972.72038527858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583643.97890224867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55232.015680024619</c:v>
                </c:pt>
                <c:pt idx="5">
                  <c:v>35257.571224615385</c:v>
                </c:pt>
                <c:pt idx="6">
                  <c:v>0</c:v>
                </c:pt>
                <c:pt idx="7">
                  <c:v>81052.166236837889</c:v>
                </c:pt>
                <c:pt idx="8">
                  <c:v>211273.23635515591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1512611.3283061129</c:v>
                </c:pt>
                <c:pt idx="2">
                  <c:v>1321975.9767089051</c:v>
                </c:pt>
                <c:pt idx="15">
                  <c:v>823764.99285714305</c:v>
                </c:pt>
                <c:pt idx="16">
                  <c:v>350967.65152171784</c:v>
                </c:pt>
                <c:pt idx="17">
                  <c:v>125115.58350994992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5606.6153976329697</c:v>
                </c:pt>
                <c:pt idx="2">
                  <c:v>7470.90409588078</c:v>
                </c:pt>
                <c:pt idx="15">
                  <c:v>4441.5</c:v>
                </c:pt>
                <c:pt idx="16">
                  <c:v>3436.3126630653683</c:v>
                </c:pt>
                <c:pt idx="17">
                  <c:v>1867.7260239701945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34331.900907712836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11152926.943241669</c:v>
                </c:pt>
                <c:pt idx="5">
                  <c:v>7119514.1300354563</c:v>
                </c:pt>
                <c:pt idx="18">
                  <c:v>0</c:v>
                </c:pt>
                <c:pt idx="19">
                  <c:v>5700756.0608161455</c:v>
                </c:pt>
                <c:pt idx="20">
                  <c:v>3639099.7209445592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629723.56088841078</c:v>
                </c:pt>
                <c:pt idx="5">
                  <c:v>401986.47517170728</c:v>
                </c:pt>
                <c:pt idx="9">
                  <c:v>1893765.2125355615</c:v>
                </c:pt>
                <c:pt idx="10">
                  <c:v>1083774.8488732176</c:v>
                </c:pt>
                <c:pt idx="11">
                  <c:v>675144.21380909206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1480000.0000000007</c:v>
                </c:pt>
                <c:pt idx="26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800000</c:v>
                </c:pt>
                <c:pt idx="2">
                  <c:v>800000</c:v>
                </c:pt>
                <c:pt idx="9">
                  <c:v>982731</c:v>
                </c:pt>
                <c:pt idx="10">
                  <c:v>182809.00000000006</c:v>
                </c:pt>
                <c:pt idx="11">
                  <c:v>182808.99999999994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600000.00000000012</c:v>
                </c:pt>
                <c:pt idx="2">
                  <c:v>500000.00000000012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5319268.9308093684</c:v>
                </c:pt>
                <c:pt idx="5">
                  <c:v>3395575.9333028104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6897517.7984649893</c:v>
                </c:pt>
                <c:pt idx="2">
                  <c:v>5456225.1637129262</c:v>
                </c:pt>
                <c:pt idx="15">
                  <c:v>9696490.333333334</c:v>
                </c:pt>
                <c:pt idx="16">
                  <c:v>4227510.9087366061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1242212.0827176087</c:v>
                </c:pt>
                <c:pt idx="5">
                  <c:v>792970.89637693239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750000.00000000012</c:v>
                </c:pt>
                <c:pt idx="3">
                  <c:v>6351407.0475792512</c:v>
                </c:pt>
                <c:pt idx="4">
                  <c:v>5194673.4173534214</c:v>
                </c:pt>
                <c:pt idx="5">
                  <c:v>3316039.9045004183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58390.640697656214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878488.59789206437</c:v>
                </c:pt>
                <c:pt idx="23">
                  <c:v>745987.81080267346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785800.95035671385</c:v>
                </c:pt>
                <c:pt idx="5">
                  <c:v>501619.08151384618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43516.133566079996</c:v>
                </c:pt>
                <c:pt idx="5">
                  <c:v>27778.692480000002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0">
                  <c:v>2668834</c:v>
                </c:pt>
                <c:pt idx="1">
                  <c:v>3645941.0625492036</c:v>
                </c:pt>
                <c:pt idx="2">
                  <c:v>6046494.3414125368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8560529.974906262</c:v>
                </c:pt>
                <c:pt idx="2">
                  <c:v>6609395.6836867323</c:v>
                </c:pt>
                <c:pt idx="15">
                  <c:v>14742130.666666664</c:v>
                </c:pt>
                <c:pt idx="16">
                  <c:v>5246776.4362328704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118550.69474978685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174650.63022250982</c:v>
                </c:pt>
                <c:pt idx="11">
                  <c:v>133081.08218496924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2874812.4442172255</c:v>
                </c:pt>
                <c:pt idx="11">
                  <c:v>2977033.0999848829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3">
                  <c:v>0</c:v>
                </c:pt>
                <c:pt idx="4">
                  <c:v>1972571.9885723072</c:v>
                </c:pt>
                <c:pt idx="5">
                  <c:v>1259198.9723076918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3">
                  <c:v>0</c:v>
                </c:pt>
                <c:pt idx="4">
                  <c:v>953003.32509715192</c:v>
                </c:pt>
                <c:pt idx="5">
                  <c:v>608353.36531200004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0">
                  <c:v>0</c:v>
                </c:pt>
                <c:pt idx="1">
                  <c:v>1727125.9811688233</c:v>
                </c:pt>
                <c:pt idx="2">
                  <c:v>1422603.3063451063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178014.39078613737</c:v>
                </c:pt>
                <c:pt idx="5">
                  <c:v>113636.17613576764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281116.35132546059</c:v>
                </c:pt>
                <c:pt idx="11">
                  <c:v>238716.0994568555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18044229.187614657</c:v>
                </c:pt>
                <c:pt idx="17">
                  <c:v>14349551.089183256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65-4B67-872B-D3A3359B9605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1660014.4487791653</c:v>
                </c:pt>
                <c:pt idx="17">
                  <c:v>1616287.9310672511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65-4B67-872B-D3A3359B9605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9">
                  <c:v>0</c:v>
                </c:pt>
                <c:pt idx="10">
                  <c:v>828800.00000000047</c:v>
                </c:pt>
                <c:pt idx="11">
                  <c:v>1400000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65-4B67-872B-D3A3359B9605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9">
                  <c:v>0</c:v>
                </c:pt>
                <c:pt idx="10">
                  <c:v>207200.00000000012</c:v>
                </c:pt>
                <c:pt idx="11">
                  <c:v>350000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65-4B67-872B-D3A3359B9605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792049.6289698272</c:v>
                </c:pt>
                <c:pt idx="14">
                  <c:v>870579.42418129975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65-4B67-872B-D3A3359B9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1660014.4487791653</c:v>
                </c:pt>
                <c:pt idx="2">
                  <c:v>1616287.9310672511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3343.8010555246146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10506.319254641596</c:v>
                </c:pt>
                <c:pt idx="2">
                  <c:v>6706.74960651531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295986.95488590782</c:v>
                </c:pt>
                <c:pt idx="2">
                  <c:v>342995.31126165221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81-46E5-A895-DBCA6525F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835972.72038527858</c:v>
                </c:pt>
                <c:pt idx="2">
                  <c:v>583643.97890224867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4254375.7434823737</c:v>
                </c:pt>
                <c:pt idx="2">
                  <c:v>7186599.8576386888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576116.71098848025</c:v>
                </c:pt>
                <c:pt idx="2">
                  <c:v>205378.41066727636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153901.96523502804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1327159.1732761196</c:v>
                </c:pt>
                <c:pt idx="2">
                  <c:v>1079479.3223754542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651527.44368819008</c:v>
                </c:pt>
                <c:pt idx="2">
                  <c:v>92224.67040210776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1487443.4103780887</c:v>
                </c:pt>
                <c:pt idx="2">
                  <c:v>1187929.0646227887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54089.706503608206</c:v>
                </c:pt>
                <c:pt idx="2">
                  <c:v>44787.470491779066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2603685.0557626397</c:v>
                </c:pt>
                <c:pt idx="2">
                  <c:v>2142531.8661417775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506782.85975210578</c:v>
                </c:pt>
                <c:pt idx="2">
                  <c:v>1371945.625518437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146751.43669059611</c:v>
                </c:pt>
                <c:pt idx="2">
                  <c:v>59006.072343790955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67599.913366085384</c:v>
                </c:pt>
                <c:pt idx="2">
                  <c:v>300848.41353906074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724834.80451910477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1367.9773147687811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2559846.5142407757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107785.76819097856</c:v>
                </c:pt>
                <c:pt idx="2">
                  <c:v>258178.31605614454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103731.07060017808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74870.869608389519</c:v>
                </c:pt>
                <c:pt idx="2">
                  <c:v>44164.318545236878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1080224.9231294955</c:v>
                </c:pt>
                <c:pt idx="2">
                  <c:v>648616.74048751721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3645941.0625492036</c:v>
                </c:pt>
                <c:pt idx="2">
                  <c:v>1511623.5853531337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1058561.0852325046</c:v>
                </c:pt>
                <c:pt idx="2">
                  <c:v>355650.82658627635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848084.29990278604</c:v>
                </c:pt>
                <c:pt idx="2">
                  <c:v>709449.17746015533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1861865.4474307869</c:v>
                </c:pt>
                <c:pt idx="2">
                  <c:v>1558525.3424678326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55-4DE2-86A7-0176FD856D27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261229.90815989478</c:v>
                </c:pt>
                <c:pt idx="2">
                  <c:v>259357.72926556907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55-4DE2-86A7-0176FD856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5.9185756611736293</c:v>
                </c:pt>
                <c:pt idx="2">
                  <c:v>4.413950742288951</c:v>
                </c:pt>
                <c:pt idx="3">
                  <c:v>7.483154704207001</c:v>
                </c:pt>
                <c:pt idx="4">
                  <c:v>7.6088641505357533</c:v>
                </c:pt>
                <c:pt idx="5">
                  <c:v>8.2851701255222014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1.7339476307410988</c:v>
                </c:pt>
                <c:pt idx="2">
                  <c:v>1.9504339469703251</c:v>
                </c:pt>
                <c:pt idx="3">
                  <c:v>1.4201719861750002</c:v>
                </c:pt>
                <c:pt idx="4">
                  <c:v>0</c:v>
                </c:pt>
                <c:pt idx="5">
                  <c:v>2.6925000000000003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12.937347298228788</c:v>
                </c:pt>
                <c:pt idx="2">
                  <c:v>11.676881539930978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1.2409553954691868</c:v>
                </c:pt>
                <c:pt idx="2">
                  <c:v>0.44238509657731323</c:v>
                </c:pt>
                <c:pt idx="3">
                  <c:v>5.0922829580050024</c:v>
                </c:pt>
                <c:pt idx="4">
                  <c:v>10.44013238392133</c:v>
                </c:pt>
                <c:pt idx="5">
                  <c:v>8.4602640214703264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9.8390722963911195</c:v>
                </c:pt>
                <c:pt idx="2">
                  <c:v>8.3550634809899407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44.879863833162844</c:v>
                </c:pt>
                <c:pt idx="2">
                  <c:v>45.596526266723075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14.320480000000003</c:v>
                </c:pt>
                <c:pt idx="2">
                  <c:v>24.189999999999991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1228117.319874564</c:v>
                </c:pt>
                <c:pt idx="2">
                  <c:v>1156722.2438764875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224264.81188071458</c:v>
                </c:pt>
                <c:pt idx="2">
                  <c:v>392713.09498553735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1078311.3080653877</c:v>
                </c:pt>
                <c:pt idx="2">
                  <c:v>999175.72564844368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1579209.4799870809</c:v>
                </c:pt>
                <c:pt idx="2">
                  <c:v>1203819.8797974139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1494314.3329114441</c:v>
                </c:pt>
                <c:pt idx="2">
                  <c:v>1527619.6031409521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100</xdr:row>
      <xdr:rowOff>31750</xdr:rowOff>
    </xdr:from>
    <xdr:to>
      <xdr:col>28</xdr:col>
      <xdr:colOff>0</xdr:colOff>
      <xdr:row>134</xdr:row>
      <xdr:rowOff>127000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31751</xdr:colOff>
      <xdr:row>137</xdr:row>
      <xdr:rowOff>15876</xdr:rowOff>
    </xdr:from>
    <xdr:to>
      <xdr:col>26</xdr:col>
      <xdr:colOff>583394</xdr:colOff>
      <xdr:row>185</xdr:row>
      <xdr:rowOff>51594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15</xdr:col>
      <xdr:colOff>529477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381000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3.576786805555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4824448.9512794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3.57678703704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3.576787268517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5863611.5685447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3.576787384256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2.1913160409102947E-5" maxValue="853064.00210361299"/>
    </cacheField>
    <cacheField name="Udbytte, hovedafgrøde" numFmtId="0">
      <sharedItems containsSemiMixedTypes="0" containsString="0" containsNumber="1" minValue="3.628490666341311E-4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1.6039118485583221E-4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3.576787500002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52644993.7987289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477117.2552370103"/>
    </cacheField>
    <cacheField name="Gødning" numFmtId="3">
      <sharedItems containsSemiMixedTypes="0" containsString="0" containsNumber="1" minValue="0" maxValue="14824448.951279402"/>
    </cacheField>
    <cacheField name="Energi" numFmtId="3">
      <sharedItems containsSemiMixedTypes="0" containsString="0" containsNumber="1" minValue="0" maxValue="452644993.79872894"/>
    </cacheField>
    <cacheField name="Materialer og processer" numFmtId="3">
      <sharedItems containsSemiMixedTypes="0" containsString="0" containsNumber="1" minValue="0" maxValue="5078828.5991281262"/>
    </cacheField>
    <cacheField name="Produktion minus forbrug [ton]" numFmtId="3">
      <sharedItems containsSemiMixedTypes="0" containsString="0" containsNumber="1" minValue="-4828427.5390456235" maxValue="5576499.9442551583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52644993.7987289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4.029843107034417"/>
    </cacheField>
    <cacheField name="Biogasproduktion [PJ]" numFmtId="0">
      <sharedItems containsSemiMixedTypes="0" containsString="0" containsNumber="1" minValue="0" maxValue="3.2597696353542869"/>
    </cacheField>
    <cacheField name="Biomasser til energi eksl. biogas [PJ]" numFmtId="0">
      <sharedItems containsSemiMixedTypes="0" containsString="0" containsNumber="1" minValue="0" maxValue="34.029843107034417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61245.6084427282"/>
    </cacheField>
    <cacheField name="Biogasproduktion [Ton TS]" numFmtId="0">
      <sharedItems containsSemiMixedTypes="0" containsString="0" containsNumber="1" minValue="0" maxValue="489425.89203051373"/>
    </cacheField>
    <cacheField name="Biomasser til energi eksl. biogas [Ton TS]" numFmtId="0">
      <sharedItems containsSemiMixedTypes="0" containsString="0" containsNumber="1" minValue="0" maxValue="1161245.6084427282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3.576787615741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52644993.7987289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477117.2552370103"/>
    </cacheField>
    <cacheField name="Gødning" numFmtId="3">
      <sharedItems containsSemiMixedTypes="0" containsString="0" containsNumber="1" minValue="0" maxValue="14824448.951279402"/>
    </cacheField>
    <cacheField name="Energi" numFmtId="3">
      <sharedItems containsSemiMixedTypes="0" containsString="0" containsNumber="1" minValue="0" maxValue="452644993.79872894"/>
    </cacheField>
    <cacheField name="Materialer og processer" numFmtId="3">
      <sharedItems containsSemiMixedTypes="0" containsString="0" containsNumber="1" minValue="0" maxValue="5078828.5991281262"/>
    </cacheField>
    <cacheField name="Produktion minus forbrug [ton]" numFmtId="3">
      <sharedItems containsSemiMixedTypes="0" containsString="0" containsNumber="1" minValue="-4828427.5390456235" maxValue="5576499.9442551583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52644993.7987289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4.029843107034417"/>
    </cacheField>
    <cacheField name="Biogasproduktion [PJ]" numFmtId="0">
      <sharedItems containsSemiMixedTypes="0" containsString="0" containsNumber="1" minValue="0" maxValue="3.2597696353542869"/>
    </cacheField>
    <cacheField name="Biomasser til energi eksl. biogas [PJ]" numFmtId="0">
      <sharedItems containsSemiMixedTypes="0" containsString="0" containsNumber="1" minValue="0" maxValue="34.029843107034417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61245.6084427282"/>
    </cacheField>
    <cacheField name="Biogasproduktion [Ton TS]" numFmtId="0">
      <sharedItems containsSemiMixedTypes="0" containsString="0" containsNumber="1" minValue="0" maxValue="489425.89203051373"/>
    </cacheField>
    <cacheField name="Biomasser til energi eksl. biogas [Ton TS]" numFmtId="0">
      <sharedItems containsSemiMixedTypes="0" containsString="0" containsNumber="1" minValue="0" maxValue="1161245.6084427282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3.576787847225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4628267.5003342489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3.576787962964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52644993.7987289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477117.2552370103"/>
    </cacheField>
    <cacheField name="Gødning" numFmtId="3">
      <sharedItems containsSemiMixedTypes="0" containsString="0" containsNumber="1" minValue="0" maxValue="14824448.951279402"/>
    </cacheField>
    <cacheField name="Energi" numFmtId="3">
      <sharedItems containsSemiMixedTypes="0" containsString="0" containsNumber="1" minValue="0" maxValue="452644993.79872894"/>
    </cacheField>
    <cacheField name="Materialer og processer" numFmtId="3">
      <sharedItems containsSemiMixedTypes="0" containsString="0" containsNumber="1" minValue="0" maxValue="5078828.5991281262"/>
    </cacheField>
    <cacheField name="Produktion minus forbrug [ton]" numFmtId="3">
      <sharedItems containsSemiMixedTypes="0" containsString="0" containsNumber="1" minValue="-4828427.5390456235" maxValue="5576499.9442551583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52644993.7987289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4.029843107034417"/>
    </cacheField>
    <cacheField name="Biogasproduktion [PJ]" numFmtId="0">
      <sharedItems containsSemiMixedTypes="0" containsString="0" containsNumber="1" minValue="0" maxValue="3.2597696353542869"/>
    </cacheField>
    <cacheField name="Biomasser til energi eksl. biogas [PJ]" numFmtId="0">
      <sharedItems containsSemiMixedTypes="0" containsString="0" containsNumber="1" minValue="0" maxValue="34.029843107034417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61245.6084427282"/>
    </cacheField>
    <cacheField name="Biogasproduktion [Ton TS]" numFmtId="0">
      <sharedItems containsSemiMixedTypes="0" containsString="0" containsNumber="1" minValue="0" maxValue="489425.89203051373"/>
    </cacheField>
    <cacheField name="Biomasser til energi eksl. biogas [Ton TS]" numFmtId="0">
      <sharedItems containsSemiMixedTypes="0" containsString="0" containsNumber="1" minValue="0" maxValue="1161245.60844272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97500.435238944279"/>
  </r>
  <r>
    <x v="0"/>
    <s v="Vestdanmark"/>
    <x v="4"/>
    <x v="1"/>
    <n v="48022.602431121806"/>
  </r>
  <r>
    <x v="0"/>
    <s v="Vestdanmark"/>
    <x v="5"/>
    <x v="1"/>
    <n v="43439.71273733316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28235.813279266553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63313.545971354491"/>
  </r>
  <r>
    <x v="0"/>
    <s v="Vestdanmark"/>
    <x v="4"/>
    <x v="2"/>
    <n v="31184.283836637289"/>
  </r>
  <r>
    <x v="0"/>
    <s v="Vestdanmark"/>
    <x v="5"/>
    <x v="2"/>
    <n v="112833.22962148272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18335.399813490942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84421.151879638346"/>
  </r>
  <r>
    <x v="0"/>
    <s v="Østdanmark"/>
    <x v="4"/>
    <x v="1"/>
    <n v="41580.567343702467"/>
  </r>
  <r>
    <x v="0"/>
    <s v="Østdanmark"/>
    <x v="5"/>
    <x v="1"/>
    <n v="37612.453499504722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24448.094774678073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55237.148778432362"/>
  </r>
  <r>
    <x v="0"/>
    <s v="Østdanmark"/>
    <x v="4"/>
    <x v="2"/>
    <n v="27206.356861018925"/>
  </r>
  <r>
    <x v="0"/>
    <s v="Østdanmark"/>
    <x v="5"/>
    <x v="2"/>
    <n v="98440.006733673188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15996.501094221892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477117.2552370103"/>
  </r>
  <r>
    <x v="1"/>
    <s v="Vestdanmark"/>
    <x v="15"/>
    <x v="1"/>
    <n v="6439814.3688225495"/>
  </r>
  <r>
    <x v="1"/>
    <s v="Vestdanmark"/>
    <x v="16"/>
    <x v="1"/>
    <n v="5172.4902040381994"/>
  </r>
  <r>
    <x v="1"/>
    <s v="Vestdanmark"/>
    <x v="17"/>
    <x v="1"/>
    <n v="1974779.4199139304"/>
  </r>
  <r>
    <x v="1"/>
    <s v="Vestdanmark"/>
    <x v="18"/>
    <x v="1"/>
    <n v="195082.24112879002"/>
  </r>
  <r>
    <x v="1"/>
    <s v="Vestdanmark"/>
    <x v="19"/>
    <x v="1"/>
    <n v="420706.10687194945"/>
  </r>
  <r>
    <x v="1"/>
    <s v="Vestdanmark"/>
    <x v="20"/>
    <x v="1"/>
    <n v="1333532.0474481385"/>
  </r>
  <r>
    <x v="1"/>
    <s v="Vestdanmark"/>
    <x v="21"/>
    <x v="1"/>
    <n v="1538704.1181694835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428758.06783893198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5772916.7070318246"/>
  </r>
  <r>
    <x v="1"/>
    <s v="Vestdanmark"/>
    <x v="15"/>
    <x v="2"/>
    <n v="5094162.6010199301"/>
  </r>
  <r>
    <x v="1"/>
    <s v="Vestdanmark"/>
    <x v="16"/>
    <x v="2"/>
    <n v="6892.4253779859373"/>
  </r>
  <r>
    <x v="1"/>
    <s v="Vestdanmark"/>
    <x v="17"/>
    <x v="2"/>
    <n v="3249666.458578188"/>
  </r>
  <r>
    <x v="1"/>
    <s v="Vestdanmark"/>
    <x v="18"/>
    <x v="2"/>
    <n v="197484.23354298095"/>
  </r>
  <r>
    <x v="1"/>
    <s v="Vestdanmark"/>
    <x v="19"/>
    <x v="2"/>
    <n v="330372.74489675317"/>
  </r>
  <r>
    <x v="1"/>
    <s v="Vestdanmark"/>
    <x v="20"/>
    <x v="2"/>
    <n v="1166509.8508162934"/>
  </r>
  <r>
    <x v="1"/>
    <s v="Vestdanmark"/>
    <x v="21"/>
    <x v="2"/>
    <n v="1268345.8654431151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550329.17750715138"/>
  </r>
  <r>
    <x v="1"/>
    <s v="Vestdanmark"/>
    <x v="25"/>
    <x v="2"/>
    <n v="0"/>
  </r>
  <r>
    <x v="1"/>
    <s v="Vestdanmark"/>
    <x v="26"/>
    <x v="2"/>
    <n v="427250.4423865863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083412.7196692515"/>
  </r>
  <r>
    <x v="1"/>
    <s v="Østdanmark"/>
    <x v="15"/>
    <x v="1"/>
    <n v="457703.4296424397"/>
  </r>
  <r>
    <x v="1"/>
    <s v="Østdanmark"/>
    <x v="16"/>
    <x v="1"/>
    <n v="434.12519359476988"/>
  </r>
  <r>
    <x v="1"/>
    <s v="Østdanmark"/>
    <x v="17"/>
    <x v="1"/>
    <n v="1671161.6426352733"/>
  </r>
  <r>
    <x v="1"/>
    <s v="Østdanmark"/>
    <x v="18"/>
    <x v="1"/>
    <n v="168912.75887120995"/>
  </r>
  <r>
    <x v="1"/>
    <s v="Østdanmark"/>
    <x v="19"/>
    <x v="1"/>
    <n v="179293.89312805064"/>
  </r>
  <r>
    <x v="1"/>
    <s v="Østdanmark"/>
    <x v="20"/>
    <x v="1"/>
    <n v="179079.28085797431"/>
  </r>
  <r>
    <x v="1"/>
    <s v="Østdanmark"/>
    <x v="21"/>
    <x v="1"/>
    <n v="188421.86299933988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371241.93216106802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836478.97665490792"/>
  </r>
  <r>
    <x v="1"/>
    <s v="Østdanmark"/>
    <x v="15"/>
    <x v="2"/>
    <n v="362062.56269299635"/>
  </r>
  <r>
    <x v="1"/>
    <s v="Østdanmark"/>
    <x v="16"/>
    <x v="2"/>
    <n v="578.47871789484259"/>
  </r>
  <r>
    <x v="1"/>
    <s v="Østdanmark"/>
    <x v="17"/>
    <x v="2"/>
    <n v="2796827.8828343488"/>
  </r>
  <r>
    <x v="1"/>
    <s v="Østdanmark"/>
    <x v="18"/>
    <x v="2"/>
    <n v="172292.76645701908"/>
  </r>
  <r>
    <x v="1"/>
    <s v="Østdanmark"/>
    <x v="19"/>
    <x v="2"/>
    <n v="169627.25510324695"/>
  </r>
  <r>
    <x v="1"/>
    <s v="Østdanmark"/>
    <x v="20"/>
    <x v="2"/>
    <n v="155466.12589261169"/>
  </r>
  <r>
    <x v="1"/>
    <s v="Østdanmark"/>
    <x v="21"/>
    <x v="2"/>
    <n v="154257.44090199118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199670.8224928487"/>
  </r>
  <r>
    <x v="1"/>
    <s v="Østdanmark"/>
    <x v="25"/>
    <x v="2"/>
    <n v="0"/>
  </r>
  <r>
    <x v="1"/>
    <s v="Østdanmark"/>
    <x v="26"/>
    <x v="2"/>
    <n v="372749.55761341366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738960.0403951732"/>
  </r>
  <r>
    <x v="2"/>
    <s v="Vestdanmark"/>
    <x v="22"/>
    <x v="1"/>
    <n v="561023.48468616733"/>
  </r>
  <r>
    <x v="2"/>
    <s v="Vestdanmark"/>
    <x v="2"/>
    <x v="1"/>
    <n v="0"/>
  </r>
  <r>
    <x v="2"/>
    <s v="Vestdanmark"/>
    <x v="5"/>
    <x v="1"/>
    <n v="49206.445220713846"/>
  </r>
  <r>
    <x v="2"/>
    <s v="Vestdanmark"/>
    <x v="25"/>
    <x v="1"/>
    <n v="700073.51609470148"/>
  </r>
  <r>
    <x v="2"/>
    <s v="Vestdanmark"/>
    <x v="24"/>
    <x v="1"/>
    <n v="4627957.3505216967"/>
  </r>
  <r>
    <x v="2"/>
    <s v="Vestdanmark"/>
    <x v="28"/>
    <x v="1"/>
    <n v="158593.80217920942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936191.571616387"/>
  </r>
  <r>
    <x v="2"/>
    <s v="Vestdanmark"/>
    <x v="29"/>
    <x v="1"/>
    <n v="1106692.197418018"/>
  </r>
  <r>
    <x v="2"/>
    <s v="Vestdanmark"/>
    <x v="30"/>
    <x v="1"/>
    <n v="1757373.0435969227"/>
  </r>
  <r>
    <x v="2"/>
    <s v="Vestdanmark"/>
    <x v="31"/>
    <x v="1"/>
    <n v="849034.84571740788"/>
  </r>
  <r>
    <x v="2"/>
    <s v="Vestdanmark"/>
    <x v="32"/>
    <x v="1"/>
    <n v="38768.714416319999"/>
  </r>
  <r>
    <x v="2"/>
    <s v="Vestdanmark"/>
    <x v="33"/>
    <x v="1"/>
    <n v="0"/>
  </r>
  <r>
    <x v="2"/>
    <s v="Vestdanmark"/>
    <x v="0"/>
    <x v="2"/>
    <n v="3027382.7402155618"/>
  </r>
  <r>
    <x v="2"/>
    <s v="Vestdanmark"/>
    <x v="22"/>
    <x v="2"/>
    <n v="358397.79190306552"/>
  </r>
  <r>
    <x v="2"/>
    <s v="Vestdanmark"/>
    <x v="2"/>
    <x v="2"/>
    <n v="0"/>
  </r>
  <r>
    <x v="2"/>
    <s v="Vestdanmark"/>
    <x v="5"/>
    <x v="2"/>
    <n v="31434.479653499999"/>
  </r>
  <r>
    <x v="2"/>
    <s v="Vestdanmark"/>
    <x v="25"/>
    <x v="2"/>
    <n v="447226.91507024999"/>
  </r>
  <r>
    <x v="2"/>
    <s v="Vestdanmark"/>
    <x v="24"/>
    <x v="2"/>
    <n v="2956471.058206012"/>
  </r>
  <r>
    <x v="2"/>
    <s v="Vestdanmark"/>
    <x v="28"/>
    <x v="2"/>
    <n v="101314.24095790923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6347522.3700933373"/>
  </r>
  <r>
    <x v="2"/>
    <s v="Vestdanmark"/>
    <x v="29"/>
    <x v="2"/>
    <n v="706986.51785111031"/>
  </r>
  <r>
    <x v="2"/>
    <s v="Vestdanmark"/>
    <x v="30"/>
    <x v="2"/>
    <n v="1122659.9876249996"/>
  </r>
  <r>
    <x v="2"/>
    <s v="Vestdanmark"/>
    <x v="31"/>
    <x v="2"/>
    <n v="542387.65802129998"/>
  </r>
  <r>
    <x v="2"/>
    <s v="Vestdanmark"/>
    <x v="32"/>
    <x v="2"/>
    <n v="24766.559727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80308.89041419514"/>
  </r>
  <r>
    <x v="2"/>
    <s v="Østdanmark"/>
    <x v="22"/>
    <x v="1"/>
    <n v="68700.076202243421"/>
  </r>
  <r>
    <x v="2"/>
    <s v="Østdanmark"/>
    <x v="2"/>
    <x v="1"/>
    <n v="0"/>
  </r>
  <r>
    <x v="2"/>
    <s v="Østdanmark"/>
    <x v="5"/>
    <x v="1"/>
    <n v="6025.5704593107703"/>
  </r>
  <r>
    <x v="2"/>
    <s v="Østdanmark"/>
    <x v="25"/>
    <x v="1"/>
    <n v="85727.434262012321"/>
  </r>
  <r>
    <x v="2"/>
    <s v="Østdanmark"/>
    <x v="24"/>
    <x v="1"/>
    <n v="566716.06683172472"/>
  </r>
  <r>
    <x v="2"/>
    <s v="Østdanmark"/>
    <x v="28"/>
    <x v="1"/>
    <n v="19420.588606927966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216735.3716252823"/>
  </r>
  <r>
    <x v="2"/>
    <s v="Østdanmark"/>
    <x v="29"/>
    <x v="1"/>
    <n v="135519.88529959068"/>
  </r>
  <r>
    <x v="2"/>
    <s v="Østdanmark"/>
    <x v="30"/>
    <x v="1"/>
    <n v="215198.9449753846"/>
  </r>
  <r>
    <x v="2"/>
    <s v="Østdanmark"/>
    <x v="31"/>
    <x v="1"/>
    <n v="103968.47937974401"/>
  </r>
  <r>
    <x v="2"/>
    <s v="Østdanmark"/>
    <x v="32"/>
    <x v="1"/>
    <n v="4747.4191497600004"/>
  </r>
  <r>
    <x v="2"/>
    <s v="Østdanmark"/>
    <x v="33"/>
    <x v="1"/>
    <n v="0"/>
  </r>
  <r>
    <x v="2"/>
    <s v="Østdanmark"/>
    <x v="0"/>
    <x v="2"/>
    <n v="368193.1930872486"/>
  </r>
  <r>
    <x v="2"/>
    <s v="Østdanmark"/>
    <x v="22"/>
    <x v="2"/>
    <n v="43588.683268641777"/>
  </r>
  <r>
    <x v="2"/>
    <s v="Østdanmark"/>
    <x v="2"/>
    <x v="2"/>
    <n v="0"/>
  </r>
  <r>
    <x v="2"/>
    <s v="Østdanmark"/>
    <x v="5"/>
    <x v="2"/>
    <n v="3823.0915711153852"/>
  </r>
  <r>
    <x v="2"/>
    <s v="Østdanmark"/>
    <x v="25"/>
    <x v="2"/>
    <n v="54392.166443596157"/>
  </r>
  <r>
    <x v="2"/>
    <s v="Østdanmark"/>
    <x v="24"/>
    <x v="2"/>
    <n v="359568.84629440639"/>
  </r>
  <r>
    <x v="2"/>
    <s v="Østdanmark"/>
    <x v="28"/>
    <x v="2"/>
    <n v="12321.935177858404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771991.75994211878"/>
  </r>
  <r>
    <x v="2"/>
    <s v="Østdanmark"/>
    <x v="29"/>
    <x v="2"/>
    <n v="85984.378525822089"/>
  </r>
  <r>
    <x v="2"/>
    <s v="Østdanmark"/>
    <x v="30"/>
    <x v="2"/>
    <n v="136538.9846826923"/>
  </r>
  <r>
    <x v="2"/>
    <s v="Østdanmark"/>
    <x v="31"/>
    <x v="2"/>
    <n v="65965.707290699997"/>
  </r>
  <r>
    <x v="2"/>
    <s v="Østdanmark"/>
    <x v="32"/>
    <x v="2"/>
    <n v="3012.1327530000003"/>
  </r>
  <r>
    <x v="2"/>
    <s v="Østdanmark"/>
    <x v="33"/>
    <x v="2"/>
    <n v="0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694779.36433719518"/>
  </r>
  <r>
    <x v="3"/>
    <s v="Vestdanmark"/>
    <x v="34"/>
    <x v="1"/>
    <n v="212472.91959491745"/>
  </r>
  <r>
    <x v="3"/>
    <s v="Vestdanmark"/>
    <x v="35"/>
    <x v="1"/>
    <n v="134802.2173997864"/>
  </r>
  <r>
    <x v="3"/>
    <s v="Vestdanmark"/>
    <x v="36"/>
    <x v="1"/>
    <n v="2226876.9610476061"/>
  </r>
  <r>
    <x v="3"/>
    <s v="Vestdanmark"/>
    <x v="26"/>
    <x v="1"/>
    <n v="97976.04202945920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3716.58108207851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388995.48453602241"/>
  </r>
  <r>
    <x v="3"/>
    <s v="Østdanmark"/>
    <x v="34"/>
    <x v="1"/>
    <n v="68643.431730543147"/>
  </r>
  <r>
    <x v="3"/>
    <s v="Østdanmark"/>
    <x v="35"/>
    <x v="1"/>
    <n v="39848.41282272341"/>
  </r>
  <r>
    <x v="3"/>
    <s v="Østdanmark"/>
    <x v="36"/>
    <x v="1"/>
    <n v="647935.48316961934"/>
  </r>
  <r>
    <x v="3"/>
    <s v="Østdanmark"/>
    <x v="26"/>
    <x v="1"/>
    <n v="84832.957970540854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333.04788774872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413997.02302441839"/>
  </r>
  <r>
    <x v="3"/>
    <s v="Vestdanmark"/>
    <x v="34"/>
    <x v="2"/>
    <n v="175163.13579435539"/>
  </r>
  <r>
    <x v="3"/>
    <s v="Vestdanmark"/>
    <x v="35"/>
    <x v="2"/>
    <n v="97651.319921337825"/>
  </r>
  <r>
    <x v="3"/>
    <s v="Vestdanmark"/>
    <x v="36"/>
    <x v="2"/>
    <n v="2347927.0937342439"/>
  </r>
  <r>
    <x v="3"/>
    <s v="Vestdanmark"/>
    <x v="26"/>
    <x v="2"/>
    <n v="97631.532652811788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691748.76447704039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261147.19078467367"/>
  </r>
  <r>
    <x v="3"/>
    <s v="Østdanmark"/>
    <x v="34"/>
    <x v="2"/>
    <n v="63552.963662500122"/>
  </r>
  <r>
    <x v="3"/>
    <s v="Østdanmark"/>
    <x v="35"/>
    <x v="2"/>
    <n v="35429.762263631419"/>
  </r>
  <r>
    <x v="3"/>
    <s v="Østdanmark"/>
    <x v="36"/>
    <x v="2"/>
    <n v="629106.00625063898"/>
  </r>
  <r>
    <x v="3"/>
    <s v="Østdanmark"/>
    <x v="26"/>
    <x v="2"/>
    <n v="85177.467347188154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78830.65970425931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4582749.2854678454"/>
  </r>
  <r>
    <x v="5"/>
    <s v="Vestdanmark"/>
    <x v="15"/>
    <x v="1"/>
    <n v="3946983.0002460787"/>
  </r>
  <r>
    <x v="5"/>
    <s v="Vestdanmark"/>
    <x v="16"/>
    <x v="1"/>
    <n v="3170.2359315072836"/>
  </r>
  <r>
    <x v="5"/>
    <s v="Vestdanmark"/>
    <x v="20"/>
    <x v="1"/>
    <n v="309416.30686181458"/>
  </r>
  <r>
    <x v="5"/>
    <s v="Vestdanmark"/>
    <x v="38"/>
    <x v="1"/>
    <n v="14824448.951279402"/>
  </r>
  <r>
    <x v="5"/>
    <s v="Vestdanmark"/>
    <x v="39"/>
    <x v="1"/>
    <n v="1144486.0287738238"/>
  </r>
  <r>
    <x v="5"/>
    <s v="Vestdanmark"/>
    <x v="14"/>
    <x v="2"/>
    <n v="1443229.1767579557"/>
  </r>
  <r>
    <x v="5"/>
    <s v="Vestdanmark"/>
    <x v="15"/>
    <x v="2"/>
    <n v="1273540.6502549821"/>
  </r>
  <r>
    <x v="5"/>
    <s v="Vestdanmark"/>
    <x v="16"/>
    <x v="2"/>
    <n v="1723.1063444964839"/>
  </r>
  <r>
    <x v="5"/>
    <s v="Vestdanmark"/>
    <x v="20"/>
    <x v="2"/>
    <n v="110401.82516654204"/>
  </r>
  <r>
    <x v="5"/>
    <s v="Vestdanmark"/>
    <x v="38"/>
    <x v="2"/>
    <n v="11134649.546942962"/>
  </r>
  <r>
    <x v="5"/>
    <s v="Vestdanmark"/>
    <x v="39"/>
    <x v="2"/>
    <n v="1136583.5049650094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664027.15076502506"/>
  </r>
  <r>
    <x v="5"/>
    <s v="Østdanmark"/>
    <x v="15"/>
    <x v="1"/>
    <n v="280527.90849052754"/>
  </r>
  <r>
    <x v="5"/>
    <s v="Østdanmark"/>
    <x v="16"/>
    <x v="1"/>
    <n v="266.07673155808476"/>
  </r>
  <r>
    <x v="5"/>
    <s v="Østdanmark"/>
    <x v="20"/>
    <x v="1"/>
    <n v="41551.344659903254"/>
  </r>
  <r>
    <x v="5"/>
    <s v="Østdanmark"/>
    <x v="38"/>
    <x v="1"/>
    <n v="3219780.2363352538"/>
  </r>
  <r>
    <x v="5"/>
    <s v="Østdanmark"/>
    <x v="39"/>
    <x v="1"/>
    <n v="515528.42000534153"/>
  </r>
  <r>
    <x v="5"/>
    <s v="Østdanmark"/>
    <x v="14"/>
    <x v="2"/>
    <n v="209119.74416372692"/>
  </r>
  <r>
    <x v="5"/>
    <s v="Østdanmark"/>
    <x v="15"/>
    <x v="2"/>
    <n v="90515.640673249072"/>
  </r>
  <r>
    <x v="5"/>
    <s v="Østdanmark"/>
    <x v="16"/>
    <x v="2"/>
    <n v="144.61967947371059"/>
  </r>
  <r>
    <x v="5"/>
    <s v="Østdanmark"/>
    <x v="20"/>
    <x v="2"/>
    <n v="14713.758343407888"/>
  </r>
  <r>
    <x v="5"/>
    <s v="Østdanmark"/>
    <x v="38"/>
    <x v="2"/>
    <n v="3214901.5422402946"/>
  </r>
  <r>
    <x v="5"/>
    <s v="Østdanmark"/>
    <x v="39"/>
    <x v="2"/>
    <n v="479704.42610224185"/>
  </r>
  <r>
    <x v="6"/>
    <s v="Vestdanmark"/>
    <x v="23"/>
    <x v="0"/>
    <n v="0"/>
  </r>
  <r>
    <x v="6"/>
    <s v="Vestdanmark"/>
    <x v="23"/>
    <x v="1"/>
    <n v="5078828.5991281262"/>
  </r>
  <r>
    <x v="6"/>
    <s v="Vestdanmark"/>
    <x v="23"/>
    <x v="2"/>
    <n v="3244500.462221988"/>
  </r>
  <r>
    <x v="6"/>
    <s v="Østdanmark"/>
    <x v="23"/>
    <x v="0"/>
    <n v="0"/>
  </r>
  <r>
    <x v="6"/>
    <s v="Østdanmark"/>
    <x v="23"/>
    <x v="1"/>
    <n v="621927.46168801945"/>
  </r>
  <r>
    <x v="6"/>
    <s v="Østdanmark"/>
    <x v="23"/>
    <x v="2"/>
    <n v="394599.25872257137"/>
  </r>
  <r>
    <x v="7"/>
    <s v="Vestdanmark"/>
    <x v="40"/>
    <x v="0"/>
    <n v="484833.6848947219"/>
  </r>
  <r>
    <x v="7"/>
    <s v="Vestdanmark"/>
    <x v="40"/>
    <x v="1"/>
    <n v="663977.87373411702"/>
  </r>
  <r>
    <x v="7"/>
    <s v="Vestdanmark"/>
    <x v="40"/>
    <x v="2"/>
    <n v="547384.79935736058"/>
  </r>
  <r>
    <x v="7"/>
    <s v="Østdanmark"/>
    <x v="40"/>
    <x v="0"/>
    <n v="193574.13238370849"/>
  </r>
  <r>
    <x v="7"/>
    <s v="Østdanmark"/>
    <x v="40"/>
    <x v="1"/>
    <n v="214510.72415794732"/>
  </r>
  <r>
    <x v="7"/>
    <s v="Østdanmark"/>
    <x v="40"/>
    <x v="2"/>
    <n v="198603.01144531288"/>
  </r>
  <r>
    <x v="8"/>
    <s v="Vestdanmark"/>
    <x v="22"/>
    <x v="0"/>
    <n v="0"/>
  </r>
  <r>
    <x v="8"/>
    <s v="Vestdanmark"/>
    <x v="22"/>
    <x v="1"/>
    <n v="1084674.6083721975"/>
  </r>
  <r>
    <x v="8"/>
    <s v="Vestdanmark"/>
    <x v="22"/>
    <x v="2"/>
    <n v="1792713.787726023"/>
  </r>
  <r>
    <x v="8"/>
    <s v="Østdanmark"/>
    <x v="22"/>
    <x v="0"/>
    <n v="0"/>
  </r>
  <r>
    <x v="8"/>
    <s v="Østdanmark"/>
    <x v="22"/>
    <x v="1"/>
    <n v="395325.39162780321"/>
  </r>
  <r>
    <x v="8"/>
    <s v="Østdanmark"/>
    <x v="22"/>
    <x v="2"/>
    <n v="707286.21227397677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607417.78068843065"/>
  </r>
  <r>
    <x v="3"/>
    <s v="Vestdanmark"/>
    <x v="42"/>
    <x v="1"/>
    <n v="151854.44517210766"/>
  </r>
  <r>
    <x v="3"/>
    <s v="Vestdanmark"/>
    <x v="41"/>
    <x v="2"/>
    <n v="1003919.7211265729"/>
  </r>
  <r>
    <x v="3"/>
    <s v="Vestdanmark"/>
    <x v="42"/>
    <x v="2"/>
    <n v="250979.93028164323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221382.21931156982"/>
  </r>
  <r>
    <x v="3"/>
    <s v="Østdanmark"/>
    <x v="42"/>
    <x v="1"/>
    <n v="55345.554827892454"/>
  </r>
  <r>
    <x v="3"/>
    <s v="Østdanmark"/>
    <x v="41"/>
    <x v="2"/>
    <n v="396080.27887342701"/>
  </r>
  <r>
    <x v="3"/>
    <s v="Østdanmark"/>
    <x v="42"/>
    <x v="2"/>
    <n v="99020.069718356754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621788.8908663751"/>
  </r>
  <r>
    <x v="0"/>
    <x v="2"/>
    <x v="1"/>
    <s v="JB1-10"/>
    <n v="660346.70696377289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71071.913970687048"/>
  </r>
  <r>
    <x v="0"/>
    <x v="2"/>
    <x v="1"/>
    <s v="OC6"/>
    <n v="0"/>
  </r>
  <r>
    <x v="0"/>
    <x v="3"/>
    <x v="1"/>
    <s v="OC6"/>
    <n v="75166.592141837755"/>
  </r>
  <r>
    <x v="0"/>
    <x v="4"/>
    <x v="1"/>
    <s v="OC6"/>
    <n v="0"/>
  </r>
  <r>
    <x v="0"/>
    <x v="0"/>
    <x v="1"/>
    <s v="OC12"/>
    <n v="0"/>
  </r>
  <r>
    <x v="0"/>
    <x v="1"/>
    <x v="1"/>
    <s v="OC12"/>
    <n v="1.8054136557038873"/>
  </r>
  <r>
    <x v="0"/>
    <x v="2"/>
    <x v="1"/>
    <s v="OC12"/>
    <n v="0"/>
  </r>
  <r>
    <x v="0"/>
    <x v="3"/>
    <x v="1"/>
    <s v="OC12"/>
    <n v="116447.37537965109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384286.7244577005"/>
  </r>
  <r>
    <x v="0"/>
    <x v="2"/>
    <x v="2"/>
    <s v="JB1-10"/>
    <n v="897848.87337244744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1.8054136557038873"/>
  </r>
  <r>
    <x v="0"/>
    <x v="2"/>
    <x v="2"/>
    <s v="OC6"/>
    <n v="0"/>
  </r>
  <r>
    <x v="0"/>
    <x v="3"/>
    <x v="2"/>
    <s v="OC6"/>
    <n v="146236.7006988691"/>
  </r>
  <r>
    <x v="0"/>
    <x v="4"/>
    <x v="2"/>
    <s v="OC6"/>
    <n v="0"/>
  </r>
  <r>
    <x v="0"/>
    <x v="0"/>
    <x v="2"/>
    <s v="OC12"/>
    <n v="0"/>
  </r>
  <r>
    <x v="0"/>
    <x v="1"/>
    <x v="2"/>
    <s v="OC12"/>
    <n v="1.8054136557038873"/>
  </r>
  <r>
    <x v="0"/>
    <x v="2"/>
    <x v="2"/>
    <s v="OC12"/>
    <n v="0"/>
  </r>
  <r>
    <x v="0"/>
    <x v="3"/>
    <x v="2"/>
    <s v="OC12"/>
    <n v="116447.37537965109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27847.10913362482"/>
  </r>
  <r>
    <x v="1"/>
    <x v="2"/>
    <x v="1"/>
    <s v="JB1-10"/>
    <n v="151553.29303622711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7660.0860293129354"/>
  </r>
  <r>
    <x v="1"/>
    <x v="2"/>
    <x v="1"/>
    <s v="OC6"/>
    <n v="0"/>
  </r>
  <r>
    <x v="1"/>
    <x v="3"/>
    <x v="1"/>
    <s v="OC6"/>
    <n v="8101.4078581622398"/>
  </r>
  <r>
    <x v="1"/>
    <x v="4"/>
    <x v="1"/>
    <s v="OC6"/>
    <n v="0"/>
  </r>
  <r>
    <x v="1"/>
    <x v="0"/>
    <x v="1"/>
    <s v="OC12"/>
    <n v="0"/>
  </r>
  <r>
    <x v="1"/>
    <x v="1"/>
    <x v="1"/>
    <s v="OC12"/>
    <n v="0.19458634428974619"/>
  </r>
  <r>
    <x v="1"/>
    <x v="2"/>
    <x v="1"/>
    <s v="OC12"/>
    <n v="0"/>
  </r>
  <r>
    <x v="1"/>
    <x v="3"/>
    <x v="1"/>
    <s v="OC12"/>
    <n v="12550.624620348905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02249.27554229938"/>
  </r>
  <r>
    <x v="1"/>
    <x v="2"/>
    <x v="2"/>
    <s v="JB1-10"/>
    <n v="177151.12662755256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0.19458634429065569"/>
  </r>
  <r>
    <x v="1"/>
    <x v="2"/>
    <x v="2"/>
    <s v="OC6"/>
    <n v="0"/>
  </r>
  <r>
    <x v="1"/>
    <x v="3"/>
    <x v="2"/>
    <s v="OC6"/>
    <n v="15761.299301130884"/>
  </r>
  <r>
    <x v="1"/>
    <x v="4"/>
    <x v="2"/>
    <s v="OC6"/>
    <n v="0"/>
  </r>
  <r>
    <x v="1"/>
    <x v="0"/>
    <x v="2"/>
    <s v="OC12"/>
    <n v="0"/>
  </r>
  <r>
    <x v="1"/>
    <x v="1"/>
    <x v="2"/>
    <s v="OC12"/>
    <n v="0.19458634428974619"/>
  </r>
  <r>
    <x v="1"/>
    <x v="2"/>
    <x v="2"/>
    <s v="OC12"/>
    <n v="0"/>
  </r>
  <r>
    <x v="1"/>
    <x v="3"/>
    <x v="2"/>
    <s v="OC12"/>
    <n v="12550.624620348905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4836920.0011490174"/>
  </r>
  <r>
    <x v="1"/>
    <x v="0"/>
    <x v="1"/>
    <n v="735284.33485275437"/>
  </r>
  <r>
    <x v="2"/>
    <x v="0"/>
    <x v="1"/>
    <n v="663977.87373411702"/>
  </r>
  <r>
    <x v="3"/>
    <x v="0"/>
    <x v="1"/>
    <n v="13481475.447011745"/>
  </r>
  <r>
    <x v="4"/>
    <x v="0"/>
    <x v="1"/>
    <n v="1502657.2310032574"/>
  </r>
  <r>
    <x v="5"/>
    <x v="0"/>
    <x v="1"/>
    <n v="2153496.967481425"/>
  </r>
  <r>
    <x v="6"/>
    <x v="0"/>
    <x v="1"/>
    <n v="668679.49055744556"/>
  </r>
  <r>
    <x v="7"/>
    <x v="0"/>
    <x v="1"/>
    <n v="4026803.5120526911"/>
  </r>
  <r>
    <x v="8"/>
    <x v="0"/>
    <x v="1"/>
    <n v="139807.2046539399"/>
  </r>
  <r>
    <x v="9"/>
    <x v="0"/>
    <x v="1"/>
    <n v="1412647.5447842737"/>
  </r>
  <r>
    <x v="10"/>
    <x v="0"/>
    <x v="1"/>
    <n v="1001970.2375971108"/>
  </r>
  <r>
    <x v="11"/>
    <x v="0"/>
    <x v="1"/>
    <n v="644035.8493924035"/>
  </r>
  <r>
    <x v="12"/>
    <x v="0"/>
    <x v="1"/>
    <n v="134802.2173997864"/>
  </r>
  <r>
    <x v="0"/>
    <x v="0"/>
    <x v="2"/>
    <n v="3920720.3662957777"/>
  </r>
  <r>
    <x v="1"/>
    <x v="0"/>
    <x v="2"/>
    <n v="609158.83584090974"/>
  </r>
  <r>
    <x v="2"/>
    <x v="0"/>
    <x v="2"/>
    <n v="547384.79935736058"/>
  </r>
  <r>
    <x v="3"/>
    <x v="0"/>
    <x v="2"/>
    <n v="7962057.7199019091"/>
  </r>
  <r>
    <x v="4"/>
    <x v="0"/>
    <x v="2"/>
    <n v="1257296.7096095001"/>
  </r>
  <r>
    <x v="5"/>
    <x v="0"/>
    <x v="2"/>
    <n v="1748472.631855153"/>
  </r>
  <r>
    <x v="6"/>
    <x v="0"/>
    <x v="2"/>
    <n v="557517.61958207632"/>
  </r>
  <r>
    <x v="7"/>
    <x v="0"/>
    <x v="2"/>
    <n v="3204301.4084430053"/>
  </r>
  <r>
    <x v="8"/>
    <x v="0"/>
    <x v="2"/>
    <n v="116507.263767978"/>
  </r>
  <r>
    <x v="9"/>
    <x v="0"/>
    <x v="2"/>
    <n v="1143602.1995332621"/>
  </r>
  <r>
    <x v="10"/>
    <x v="0"/>
    <x v="2"/>
    <n v="792091.46065631567"/>
  </r>
  <r>
    <x v="11"/>
    <x v="0"/>
    <x v="2"/>
    <n v="520573.94312179892"/>
  </r>
  <r>
    <x v="12"/>
    <x v="0"/>
    <x v="2"/>
    <n v="97651.319921337825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541299.6719009152"/>
  </r>
  <r>
    <x v="1"/>
    <x v="1"/>
    <x v="1"/>
    <n v="236972.56744938664"/>
  </r>
  <r>
    <x v="2"/>
    <x v="1"/>
    <x v="1"/>
    <n v="214510.72415794732"/>
  </r>
  <r>
    <x v="3"/>
    <x v="1"/>
    <x v="1"/>
    <n v="4023735.0007342594"/>
  </r>
  <r>
    <x v="4"/>
    <x v="1"/>
    <x v="1"/>
    <n v="488829.33816016692"/>
  </r>
  <r>
    <x v="5"/>
    <x v="1"/>
    <x v="1"/>
    <n v="680680.18601722247"/>
  </r>
  <r>
    <x v="6"/>
    <x v="1"/>
    <x v="1"/>
    <n v="224907.22799024681"/>
  </r>
  <r>
    <x v="7"/>
    <x v="1"/>
    <x v="1"/>
    <n v="1235469.8186668158"/>
  </r>
  <r>
    <x v="8"/>
    <x v="1"/>
    <x v="1"/>
    <n v="45453.077491377226"/>
  </r>
  <r>
    <x v="9"/>
    <x v="1"/>
    <x v="1"/>
    <n v="449217.90264651313"/>
  </r>
  <r>
    <x v="10"/>
    <x v="1"/>
    <x v="1"/>
    <n v="325188.93567900889"/>
  </r>
  <r>
    <x v="11"/>
    <x v="1"/>
    <x v="1"/>
    <n v="204048.45051038259"/>
  </r>
  <r>
    <x v="12"/>
    <x v="1"/>
    <x v="1"/>
    <n v="39848.41282272341"/>
  </r>
  <r>
    <x v="0"/>
    <x v="1"/>
    <x v="2"/>
    <n v="1422520.7615932694"/>
  </r>
  <r>
    <x v="1"/>
    <x v="1"/>
    <x v="2"/>
    <n v="221015.95064111016"/>
  </r>
  <r>
    <x v="2"/>
    <x v="1"/>
    <x v="2"/>
    <n v="198603.01144531288"/>
  </r>
  <r>
    <x v="3"/>
    <x v="1"/>
    <x v="2"/>
    <n v="2888780.8014802146"/>
  </r>
  <r>
    <x v="4"/>
    <x v="1"/>
    <x v="2"/>
    <n v="456174.53044673882"/>
  </r>
  <r>
    <x v="5"/>
    <x v="1"/>
    <x v="2"/>
    <n v="634382.54064061423"/>
  </r>
  <r>
    <x v="6"/>
    <x v="1"/>
    <x v="2"/>
    <n v="202279.77798791436"/>
  </r>
  <r>
    <x v="7"/>
    <x v="1"/>
    <x v="2"/>
    <n v="1162586.9095964739"/>
  </r>
  <r>
    <x v="8"/>
    <x v="1"/>
    <x v="2"/>
    <n v="42271.361313865054"/>
  </r>
  <r>
    <x v="9"/>
    <x v="1"/>
    <x v="2"/>
    <n v="414923.14293457061"/>
  </r>
  <r>
    <x v="10"/>
    <x v="1"/>
    <x v="2"/>
    <n v="287387.86171913851"/>
  </r>
  <r>
    <x v="11"/>
    <x v="1"/>
    <x v="2"/>
    <n v="188875.23433835641"/>
  </r>
  <r>
    <x v="12"/>
    <x v="1"/>
    <x v="2"/>
    <n v="35429.76226363141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561138.95623976586"/>
    <n v="3933584.0832407586"/>
    <n v="1736185.6747403902"/>
    <n v="1736185.6747403902"/>
  </r>
  <r>
    <x v="0"/>
    <x v="1"/>
    <x v="1"/>
    <s v="Konventionel"/>
    <x v="0"/>
    <s v="Halm"/>
    <n v="161327.44991893266"/>
    <n v="622723.95668708009"/>
    <n v="249997.45289925087"/>
    <n v="249997.45289925087"/>
  </r>
  <r>
    <x v="0"/>
    <x v="2"/>
    <x v="1"/>
    <s v="Konventionel"/>
    <x v="0"/>
    <s v="Halm"/>
    <n v="127659.1125445467"/>
    <n v="561700.09519600554"/>
    <n v="405687.89375531499"/>
    <n v="405687.89375531499"/>
  </r>
  <r>
    <x v="0"/>
    <x v="3"/>
    <x v="1"/>
    <s v="Konventionel"/>
    <x v="0"/>
    <s v="Græs"/>
    <n v="182370.16077792388"/>
    <n v="9049207.377800582"/>
    <n v="0"/>
    <n v="9049207.377800582"/>
  </r>
  <r>
    <x v="0"/>
    <x v="4"/>
    <x v="1"/>
    <s v="Konventionel"/>
    <x v="0"/>
    <s v="Grøntsager"/>
    <n v="56113.895623976576"/>
    <n v="1164363.334197514"/>
    <n v="0"/>
    <n v="1164363.334197514"/>
  </r>
  <r>
    <x v="0"/>
    <x v="5"/>
    <x v="1"/>
    <s v="Konventionel"/>
    <x v="0"/>
    <s v="Kartofler"/>
    <n v="42085.421717982426"/>
    <n v="1787405.7149748409"/>
    <n v="0"/>
    <n v="1787405.7149748409"/>
  </r>
  <r>
    <x v="0"/>
    <x v="6"/>
    <x v="1"/>
    <s v="Konventionel"/>
    <x v="0"/>
    <s v="Roer"/>
    <n v="7014.236952997072"/>
    <n v="569932.92495695606"/>
    <n v="0"/>
    <n v="569932.92495695606"/>
  </r>
  <r>
    <x v="0"/>
    <x v="7"/>
    <x v="1"/>
    <s v="Konventionel"/>
    <x v="0"/>
    <s v="Majs"/>
    <n v="70142.369529970732"/>
    <n v="3122036.8677789979"/>
    <n v="0"/>
    <n v="3122036.8677789979"/>
  </r>
  <r>
    <x v="0"/>
    <x v="8"/>
    <x v="1"/>
    <s v="Konventionel"/>
    <x v="0"/>
    <s v="Frugt"/>
    <n v="14028.473905994144"/>
    <n v="119101.74346189029"/>
    <n v="0"/>
    <n v="119101.74346189029"/>
  </r>
  <r>
    <x v="0"/>
    <x v="9"/>
    <x v="1"/>
    <s v="Konventionel"/>
    <x v="0"/>
    <s v="Øvrige"/>
    <n v="39235.776034734517"/>
    <n v="1169066.9662307997"/>
    <n v="0"/>
    <n v="1169066.9662307997"/>
  </r>
  <r>
    <x v="0"/>
    <x v="10"/>
    <x v="1"/>
    <s v="Konventionel"/>
    <x v="0"/>
    <s v="Halm"/>
    <n v="56668.45145378921"/>
    <n v="809727.61227932072"/>
    <n v="181905.72916666337"/>
    <n v="181905.72916666337"/>
  </r>
  <r>
    <x v="0"/>
    <x v="11"/>
    <x v="1"/>
    <s v="Konventionel"/>
    <x v="0"/>
    <s v="Juletræer"/>
    <n v="10643.311931460419"/>
    <n v="532165.59657302103"/>
    <n v="0"/>
    <n v="532165.59657302103"/>
  </r>
  <r>
    <x v="0"/>
    <x v="12"/>
    <x v="1"/>
    <s v="Konventionel"/>
    <x v="0"/>
    <s v="Pil &amp; poppel"/>
    <n v="4092.8205610553005"/>
    <n v="99824.891733056109"/>
    <n v="0"/>
    <n v="99824.891733056109"/>
  </r>
  <r>
    <x v="0"/>
    <x v="13"/>
    <x v="1"/>
    <s v="Konventionel"/>
    <x v="0"/>
    <s v="Græs"/>
    <n v="70142.369529970732"/>
    <n v="967263.27581829659"/>
    <n v="0"/>
    <n v="967263.27581829659"/>
  </r>
  <r>
    <x v="0"/>
    <x v="0"/>
    <x v="2"/>
    <s v="Konventionel"/>
    <x v="0"/>
    <s v="Halm"/>
    <n v="456814.61907104118"/>
    <n v="3202270.4796879985"/>
    <n v="1743636.2761901156"/>
    <n v="1743636.2761901156"/>
  </r>
  <r>
    <x v="0"/>
    <x v="1"/>
    <x v="2"/>
    <s v="Konventionel"/>
    <x v="0"/>
    <s v="Halm"/>
    <n v="131334.20298292433"/>
    <n v="506950.02351408789"/>
    <n v="251070.28250042663"/>
    <n v="251070.28250042663"/>
  </r>
  <r>
    <x v="0"/>
    <x v="2"/>
    <x v="2"/>
    <s v="Konventionel"/>
    <x v="0"/>
    <s v="Halm"/>
    <n v="103925.32583866185"/>
    <n v="457271.4336901122"/>
    <n v="407428.84741789004"/>
    <n v="407428.84741789004"/>
  </r>
  <r>
    <x v="0"/>
    <x v="3"/>
    <x v="2"/>
    <s v="Konventionel"/>
    <x v="0"/>
    <s v="Græs"/>
    <n v="97073.106552596262"/>
    <n v="4816767.5471398262"/>
    <n v="0"/>
    <n v="4816767.5471398262"/>
  </r>
  <r>
    <x v="0"/>
    <x v="4"/>
    <x v="2"/>
    <s v="Konventionel"/>
    <x v="0"/>
    <s v="Grøntsager"/>
    <n v="45681.461907104116"/>
    <n v="947890.33457241044"/>
    <n v="0"/>
    <n v="947890.33457241044"/>
  </r>
  <r>
    <x v="0"/>
    <x v="5"/>
    <x v="2"/>
    <s v="Konventionel"/>
    <x v="0"/>
    <s v="Kartofler"/>
    <n v="34261.096430328085"/>
    <n v="1455099.5822552568"/>
    <n v="0"/>
    <n v="1455099.5822552568"/>
  </r>
  <r>
    <x v="0"/>
    <x v="6"/>
    <x v="2"/>
    <s v="Konventionel"/>
    <x v="0"/>
    <s v="Roer"/>
    <n v="5710.1827383880145"/>
    <n v="463973.65414603503"/>
    <n v="0"/>
    <n v="463973.65414603503"/>
  </r>
  <r>
    <x v="0"/>
    <x v="7"/>
    <x v="2"/>
    <s v="Konventionel"/>
    <x v="0"/>
    <s v="Majs"/>
    <n v="57101.827383880147"/>
    <n v="2541602.3368565058"/>
    <n v="0"/>
    <n v="2541602.3368565058"/>
  </r>
  <r>
    <x v="0"/>
    <x v="8"/>
    <x v="2"/>
    <s v="Konventionel"/>
    <x v="0"/>
    <s v="Frugt"/>
    <n v="11420.365476776029"/>
    <n v="96958.902897828491"/>
    <n v="0"/>
    <n v="96958.902897828491"/>
  </r>
  <r>
    <x v="0"/>
    <x v="9"/>
    <x v="2"/>
    <s v="Konventionel"/>
    <x v="0"/>
    <s v="Øvrige"/>
    <n v="31941.243579612597"/>
    <n v="951719.4892793555"/>
    <n v="0"/>
    <n v="951719.4892793555"/>
  </r>
  <r>
    <x v="0"/>
    <x v="10"/>
    <x v="2"/>
    <s v="Konventionel"/>
    <x v="0"/>
    <s v="Halm"/>
    <n v="46132.91730390468"/>
    <n v="659186.8317847302"/>
    <n v="182686.35252346256"/>
    <n v="182686.35252346256"/>
  </r>
  <r>
    <x v="0"/>
    <x v="11"/>
    <x v="2"/>
    <s v="Konventionel"/>
    <x v="0"/>
    <s v="Juletræer"/>
    <n v="8664.5570255986549"/>
    <n v="433227.85127993277"/>
    <n v="0"/>
    <n v="433227.85127993277"/>
  </r>
  <r>
    <x v="0"/>
    <x v="12"/>
    <x v="2"/>
    <s v="Konventionel"/>
    <x v="0"/>
    <s v="Pil &amp; poppel"/>
    <n v="3331.9024543463102"/>
    <n v="81265.913520641712"/>
    <n v="0"/>
    <n v="81265.913520641712"/>
  </r>
  <r>
    <x v="0"/>
    <x v="13"/>
    <x v="2"/>
    <s v="Konventionel"/>
    <x v="0"/>
    <s v="Græs"/>
    <n v="108493.47202937228"/>
    <n v="1496124.9792850439"/>
    <n v="0"/>
    <n v="1496124.9792850439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87576.600106784259"/>
    <n v="411321.01772153366"/>
    <n v="181546.81419684191"/>
    <n v="181546.81419684191"/>
  </r>
  <r>
    <x v="0"/>
    <x v="1"/>
    <x v="1"/>
    <s v="Økologisk"/>
    <x v="0"/>
    <s v="Halm"/>
    <n v="25178.272530700477"/>
    <n v="55397.235222047188"/>
    <n v="22239.657804158789"/>
    <n v="22239.657804158789"/>
  </r>
  <r>
    <x v="0"/>
    <x v="2"/>
    <x v="1"/>
    <s v="Økologisk"/>
    <x v="0"/>
    <s v="Halm"/>
    <n v="19923.67652429342"/>
    <n v="48215.297188790079"/>
    <n v="34823.498394603637"/>
    <n v="34823.498394603637"/>
  </r>
  <r>
    <x v="0"/>
    <x v="3"/>
    <x v="1"/>
    <s v="Økologisk"/>
    <x v="0"/>
    <s v="Græs"/>
    <n v="28462.395034704889"/>
    <n v="1101597.1524652042"/>
    <n v="0"/>
    <n v="1101597.1524652042"/>
  </r>
  <r>
    <x v="0"/>
    <x v="4"/>
    <x v="1"/>
    <s v="Økologisk"/>
    <x v="0"/>
    <s v="Grøntsager"/>
    <n v="8757.6600106784263"/>
    <n v="103581.2237762991"/>
    <n v="0"/>
    <n v="103581.2237762991"/>
  </r>
  <r>
    <x v="0"/>
    <x v="5"/>
    <x v="1"/>
    <s v="Økologisk"/>
    <x v="0"/>
    <s v="Kartofler"/>
    <n v="6568.2450080088183"/>
    <n v="159006.78585816649"/>
    <n v="0"/>
    <n v="159006.78585816649"/>
  </r>
  <r>
    <x v="0"/>
    <x v="6"/>
    <x v="1"/>
    <s v="Økologisk"/>
    <x v="0"/>
    <s v="Roer"/>
    <n v="1094.7075013348033"/>
    <n v="50700.969451373152"/>
    <n v="0"/>
    <n v="50700.969451373152"/>
  </r>
  <r>
    <x v="0"/>
    <x v="7"/>
    <x v="1"/>
    <s v="Økologisk"/>
    <x v="0"/>
    <s v="Majs"/>
    <n v="10947.075013348032"/>
    <n v="404421.07634062041"/>
    <n v="0"/>
    <n v="404421.07634062041"/>
  </r>
  <r>
    <x v="0"/>
    <x v="8"/>
    <x v="1"/>
    <s v="Økologisk"/>
    <x v="0"/>
    <s v="Frugt"/>
    <n v="2189.4150026696066"/>
    <n v="10595.236022419027"/>
    <n v="0"/>
    <n v="10595.236022419027"/>
  </r>
  <r>
    <x v="0"/>
    <x v="9"/>
    <x v="1"/>
    <s v="Økologisk"/>
    <x v="0"/>
    <s v="Øvrige"/>
    <n v="6123.5026181377571"/>
    <n v="103999.65670689021"/>
    <n v="0"/>
    <n v="103999.65670689021"/>
  </r>
  <r>
    <x v="0"/>
    <x v="10"/>
    <x v="1"/>
    <s v="Økologisk"/>
    <x v="0"/>
    <s v="Halm"/>
    <n v="8844.2091864295289"/>
    <n v="72032.993947854004"/>
    <n v="16182.249548410109"/>
    <n v="16182.249548410109"/>
  </r>
  <r>
    <x v="0"/>
    <x v="11"/>
    <x v="1"/>
    <s v="Økologisk"/>
    <x v="0"/>
    <s v="Juletræer"/>
    <n v="1661.0949257192565"/>
    <n v="47341.205382998807"/>
    <n v="0"/>
    <n v="47341.205382998807"/>
  </r>
  <r>
    <x v="0"/>
    <x v="12"/>
    <x v="1"/>
    <s v="Økologisk"/>
    <x v="0"/>
    <s v="Pil &amp; poppel"/>
    <n v="638.76390259244579"/>
    <n v="8880.3762067730258"/>
    <n v="0"/>
    <n v="8880.3762067730258"/>
  </r>
  <r>
    <x v="0"/>
    <x v="13"/>
    <x v="1"/>
    <s v="Økologisk"/>
    <x v="0"/>
    <s v="Græs"/>
    <n v="10947.075013348032"/>
    <n v="150960.16443406939"/>
    <n v="0"/>
    <n v="150960.16443406939"/>
  </r>
  <r>
    <x v="0"/>
    <x v="0"/>
    <x v="2"/>
    <s v="Økologisk"/>
    <x v="0"/>
    <s v="Halm"/>
    <n v="96900.070712039029"/>
    <n v="455110.56211323367"/>
    <n v="247807.70107065581"/>
    <n v="247807.70107065581"/>
  </r>
  <r>
    <x v="0"/>
    <x v="1"/>
    <x v="2"/>
    <s v="Økologisk"/>
    <x v="0"/>
    <s v="Halm"/>
    <n v="27858.770329711224"/>
    <n v="61294.866479430631"/>
    <n v="30356.67961141522"/>
    <n v="30356.67961141522"/>
  </r>
  <r>
    <x v="0"/>
    <x v="2"/>
    <x v="2"/>
    <s v="Økologisk"/>
    <x v="0"/>
    <s v="Halm"/>
    <n v="22044.766086988879"/>
    <n v="53348.333930513094"/>
    <n v="47533.365532087177"/>
    <n v="47533.365532087177"/>
  </r>
  <r>
    <x v="0"/>
    <x v="3"/>
    <x v="2"/>
    <s v="Økologisk"/>
    <x v="0"/>
    <s v="Græs"/>
    <n v="20591.265026308294"/>
    <n v="796956.08507222577"/>
    <n v="0"/>
    <n v="796956.08507222577"/>
  </r>
  <r>
    <x v="0"/>
    <x v="4"/>
    <x v="2"/>
    <s v="Økologisk"/>
    <x v="0"/>
    <s v="Grøntsager"/>
    <n v="9690.0070712039033"/>
    <n v="114608.55863466416"/>
    <n v="0"/>
    <n v="114608.55863466416"/>
  </r>
  <r>
    <x v="0"/>
    <x v="5"/>
    <x v="2"/>
    <s v="Økologisk"/>
    <x v="0"/>
    <s v="Kartofler"/>
    <n v="7267.505303402927"/>
    <n v="175934.76767268102"/>
    <n v="0"/>
    <n v="175934.76767268102"/>
  </r>
  <r>
    <x v="0"/>
    <x v="6"/>
    <x v="2"/>
    <s v="Økologisk"/>
    <x v="0"/>
    <s v="Roer"/>
    <n v="1211.2508839004879"/>
    <n v="56098.632728566059"/>
    <n v="0"/>
    <n v="56098.632728566059"/>
  </r>
  <r>
    <x v="0"/>
    <x v="7"/>
    <x v="2"/>
    <s v="Økologisk"/>
    <x v="0"/>
    <s v="Majs"/>
    <n v="12112.508839004879"/>
    <n v="447476.0477920089"/>
    <n v="0"/>
    <n v="447476.0477920089"/>
  </r>
  <r>
    <x v="0"/>
    <x v="8"/>
    <x v="2"/>
    <s v="Økologisk"/>
    <x v="0"/>
    <s v="Frugt"/>
    <n v="2422.5017678009758"/>
    <n v="11723.212804919262"/>
    <n v="0"/>
    <n v="11723.212804919262"/>
  </r>
  <r>
    <x v="0"/>
    <x v="9"/>
    <x v="2"/>
    <s v="Økologisk"/>
    <x v="0"/>
    <s v="Øvrige"/>
    <n v="6775.4153047663094"/>
    <n v="115071.53824923116"/>
    <n v="0"/>
    <n v="115071.53824923116"/>
  </r>
  <r>
    <x v="0"/>
    <x v="10"/>
    <x v="2"/>
    <s v="Økologisk"/>
    <x v="0"/>
    <s v="Halm"/>
    <n v="9785.7703371919033"/>
    <n v="79701.680570335564"/>
    <n v="22088.440805109567"/>
    <n v="22088.440805109567"/>
  </r>
  <r>
    <x v="0"/>
    <x v="11"/>
    <x v="2"/>
    <s v="Økologisk"/>
    <x v="0"/>
    <s v="Juletræer"/>
    <n v="1837.9363387633509"/>
    <n v="52381.1856547555"/>
    <n v="0"/>
    <n v="52381.1856547555"/>
  </r>
  <r>
    <x v="0"/>
    <x v="12"/>
    <x v="2"/>
    <s v="Økologisk"/>
    <x v="0"/>
    <s v="Pil &amp; poppel"/>
    <n v="706.76718728558092"/>
    <n v="9825.7877256775901"/>
    <n v="0"/>
    <n v="9825.7877256775901"/>
  </r>
  <r>
    <x v="0"/>
    <x v="13"/>
    <x v="2"/>
    <s v="Økologisk"/>
    <x v="0"/>
    <s v="Græs"/>
    <n v="23013.766794109266"/>
    <n v="317359.8440907668"/>
    <n v="0"/>
    <n v="317359.8440907668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7988.68709801232"/>
    <n v="151320.83586847963"/>
    <n v="66789.233931450202"/>
    <n v="66789.233931450202"/>
  </r>
  <r>
    <x v="0"/>
    <x v="1"/>
    <x v="1"/>
    <s v="Konventionel"/>
    <x v="1"/>
    <s v="Halm"/>
    <n v="1542.0658644465243"/>
    <n v="7142.8490841163002"/>
    <n v="2867.5532044291281"/>
    <n v="2867.5532044291281"/>
  </r>
  <r>
    <x v="0"/>
    <x v="2"/>
    <x v="1"/>
    <s v="Konventionel"/>
    <x v="1"/>
    <s v="Halm"/>
    <n v="1651.2179103063932"/>
    <n v="8718.4305664177573"/>
    <n v="6296.8864765952239"/>
    <n v="6296.8864765952239"/>
  </r>
  <r>
    <x v="0"/>
    <x v="3"/>
    <x v="1"/>
    <s v="Konventionel"/>
    <x v="1"/>
    <s v="Græs"/>
    <n v="15238.021720870902"/>
    <n v="907332.76534753689"/>
    <n v="0"/>
    <n v="907332.76534753689"/>
  </r>
  <r>
    <x v="0"/>
    <x v="4"/>
    <x v="1"/>
    <s v="Konventionel"/>
    <x v="1"/>
    <s v="Grøntsager"/>
    <n v="71.268800751408534"/>
    <n v="1774.5931387100727"/>
    <n v="0"/>
    <n v="1774.5931387100727"/>
  </r>
  <r>
    <x v="0"/>
    <x v="5"/>
    <x v="1"/>
    <s v="Konventionel"/>
    <x v="1"/>
    <s v="Kartofler"/>
    <n v="1125.1496418632635"/>
    <n v="57343.340795151846"/>
    <n v="0"/>
    <n v="57343.340795151846"/>
  </r>
  <r>
    <x v="0"/>
    <x v="6"/>
    <x v="1"/>
    <s v="Konventionel"/>
    <x v="1"/>
    <s v="Roer"/>
    <n v="29.518660249897398"/>
    <n v="2878.2015474705927"/>
    <n v="0"/>
    <n v="2878.2015474705927"/>
  </r>
  <r>
    <x v="0"/>
    <x v="7"/>
    <x v="1"/>
    <s v="Konventionel"/>
    <x v="1"/>
    <s v="Majs"/>
    <n v="3810.4154462517859"/>
    <n v="203521.90981520037"/>
    <n v="0"/>
    <n v="203521.90981520037"/>
  </r>
  <r>
    <x v="0"/>
    <x v="8"/>
    <x v="1"/>
    <s v="Konventionel"/>
    <x v="1"/>
    <s v="Frugt"/>
    <n v="64.91370276951497"/>
    <n v="661.34080381581862"/>
    <n v="0"/>
    <n v="661.34080381581862"/>
  </r>
  <r>
    <x v="0"/>
    <x v="9"/>
    <x v="1"/>
    <s v="Konventionel"/>
    <x v="1"/>
    <s v="Øvrige"/>
    <n v="1148.0573462747577"/>
    <n v="41048.942200513149"/>
    <n v="0"/>
    <n v="41048.942200513149"/>
  </r>
  <r>
    <x v="0"/>
    <x v="10"/>
    <x v="1"/>
    <s v="Konventionel"/>
    <x v="1"/>
    <s v="Halm"/>
    <n v="2833.7440917610315"/>
    <n v="48589.16970625348"/>
    <n v="10915.582241463493"/>
    <n v="10915.582241463493"/>
  </r>
  <r>
    <x v="0"/>
    <x v="11"/>
    <x v="1"/>
    <s v="Konventionel"/>
    <x v="1"/>
    <s v="Juletræer"/>
    <n v="325.57753513414758"/>
    <n v="19534.652108048856"/>
    <n v="0"/>
    <n v="19534.652108048856"/>
  </r>
  <r>
    <x v="0"/>
    <x v="12"/>
    <x v="1"/>
    <s v="Konventionel"/>
    <x v="1"/>
    <s v="Pil &amp; poppel"/>
    <n v="534.71836671684468"/>
    <n v="15650.293660005213"/>
    <n v="0"/>
    <n v="15650.293660005213"/>
  </r>
  <r>
    <x v="0"/>
    <x v="13"/>
    <x v="1"/>
    <s v="Konventionel"/>
    <x v="1"/>
    <s v="Græs"/>
    <n v="15113.849399235503"/>
    <n v="250103.97985854914"/>
    <n v="0"/>
    <n v="250103.97985854914"/>
  </r>
  <r>
    <x v="0"/>
    <x v="0"/>
    <x v="2"/>
    <s v="Konventionel"/>
    <x v="1"/>
    <s v="Halm"/>
    <n v="0.43582889538516162"/>
    <n v="3.6661926679799794"/>
    <n v="1.9962419077150988"/>
    <n v="1.9962419077150988"/>
  </r>
  <r>
    <x v="0"/>
    <x v="1"/>
    <x v="2"/>
    <s v="Konventionel"/>
    <x v="1"/>
    <s v="Halm"/>
    <n v="3.7361084700125495E-2"/>
    <n v="0.1730565443309813"/>
    <n v="8.5707374412459486E-2"/>
    <n v="8.5707374412459486E-2"/>
  </r>
  <r>
    <x v="0"/>
    <x v="2"/>
    <x v="2"/>
    <s v="Konventionel"/>
    <x v="1"/>
    <s v="Halm"/>
    <n v="4.0005614304589723E-2"/>
    <n v="0.21122964352823376"/>
    <n v="0.1882056123836563"/>
    <n v="0.1882056123836563"/>
  </r>
  <r>
    <x v="0"/>
    <x v="3"/>
    <x v="2"/>
    <s v="Konventionel"/>
    <x v="1"/>
    <s v="Græs"/>
    <n v="0.36918592992793164"/>
    <n v="21.982807011628761"/>
    <n v="0"/>
    <n v="21.982807011628761"/>
  </r>
  <r>
    <x v="0"/>
    <x v="4"/>
    <x v="2"/>
    <s v="Konventionel"/>
    <x v="1"/>
    <s v="Grøntsager"/>
    <n v="1.7266964808312041E-3"/>
    <n v="4.2994742372696987E-2"/>
    <n v="0"/>
    <n v="4.2994742372696987E-2"/>
  </r>
  <r>
    <x v="0"/>
    <x v="5"/>
    <x v="2"/>
    <s v="Konventionel"/>
    <x v="1"/>
    <s v="Kartofler"/>
    <n v="2.7260061998102159E-2"/>
    <n v="1.3893112232302602"/>
    <n v="0"/>
    <n v="1.3893112232302602"/>
  </r>
  <r>
    <x v="0"/>
    <x v="6"/>
    <x v="2"/>
    <s v="Konventionel"/>
    <x v="1"/>
    <s v="Roer"/>
    <n v="7.1517643393687155E-4"/>
    <n v="6.9732904591384981E-2"/>
    <n v="0"/>
    <n v="6.9732904591384981E-2"/>
  </r>
  <r>
    <x v="0"/>
    <x v="7"/>
    <x v="2"/>
    <s v="Konventionel"/>
    <x v="1"/>
    <s v="Majs"/>
    <n v="9.2318530299077425E-2"/>
    <n v="4.9309173403343243"/>
    <n v="0"/>
    <n v="4.9309173403343243"/>
  </r>
  <r>
    <x v="0"/>
    <x v="8"/>
    <x v="2"/>
    <s v="Konventionel"/>
    <x v="1"/>
    <s v="Frugt"/>
    <n v="1.5727255257291396E-3"/>
    <n v="1.6022927656128474E-2"/>
    <n v="0"/>
    <n v="1.6022927656128474E-2"/>
  </r>
  <r>
    <x v="0"/>
    <x v="9"/>
    <x v="2"/>
    <s v="Konventionel"/>
    <x v="1"/>
    <s v="Øvrige"/>
    <n v="2.7815068567234969E-2"/>
    <n v="0.99453145404679411"/>
    <n v="0"/>
    <n v="0.99453145404679411"/>
  </r>
  <r>
    <x v="0"/>
    <x v="10"/>
    <x v="2"/>
    <s v="Konventionel"/>
    <x v="1"/>
    <s v="Halm"/>
    <n v="6.8655791864482674E-2"/>
    <n v="1.1772156603412456"/>
    <n v="0.32625232294002171"/>
    <n v="0.32625232294002171"/>
  </r>
  <r>
    <x v="0"/>
    <x v="11"/>
    <x v="2"/>
    <s v="Konventionel"/>
    <x v="1"/>
    <s v="Juletræer"/>
    <n v="7.888074139408327E-3"/>
    <n v="0.47328444836449962"/>
    <n v="0"/>
    <n v="0.47328444836449962"/>
  </r>
  <r>
    <x v="0"/>
    <x v="12"/>
    <x v="2"/>
    <s v="Konventionel"/>
    <x v="1"/>
    <s v="Pil &amp; poppel"/>
    <n v="1.2955126399086169E-2"/>
    <n v="0.37917443119276595"/>
    <n v="0"/>
    <n v="0.37917443119276595"/>
  </r>
  <r>
    <x v="0"/>
    <x v="13"/>
    <x v="2"/>
    <s v="Konventionel"/>
    <x v="1"/>
    <s v="Græs"/>
    <n v="0.36617748993000948"/>
    <n v="6.059505103361797"/>
    <n v="0"/>
    <n v="6.059505103361797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807.4829574932523"/>
    <n v="15823.086247750271"/>
    <n v="6983.9146926007761"/>
    <n v="6983.9146926007761"/>
  </r>
  <r>
    <x v="0"/>
    <x v="1"/>
    <x v="1"/>
    <s v="Økologisk"/>
    <x v="1"/>
    <s v="Halm"/>
    <n v="240.66923895986218"/>
    <n v="635.42455147138662"/>
    <n v="255.09620702985131"/>
    <n v="255.09620702985131"/>
  </r>
  <r>
    <x v="0"/>
    <x v="2"/>
    <x v="1"/>
    <s v="Økologisk"/>
    <x v="1"/>
    <s v="Halm"/>
    <n v="257.704529354177"/>
    <n v="748.37395324453018"/>
    <n v="540.51308773086191"/>
    <n v="540.51308773086191"/>
  </r>
  <r>
    <x v="0"/>
    <x v="3"/>
    <x v="1"/>
    <s v="Økologisk"/>
    <x v="1"/>
    <s v="Græs"/>
    <n v="2378.1883610607765"/>
    <n v="110453.34126138227"/>
    <n v="0"/>
    <n v="110453.34126138227"/>
  </r>
  <r>
    <x v="0"/>
    <x v="4"/>
    <x v="1"/>
    <s v="Økologisk"/>
    <x v="1"/>
    <s v="Grøntsager"/>
    <n v="11.122876417849888"/>
    <n v="157.86698499854344"/>
    <n v="0"/>
    <n v="157.86698499854344"/>
  </r>
  <r>
    <x v="0"/>
    <x v="5"/>
    <x v="1"/>
    <s v="Økologisk"/>
    <x v="1"/>
    <s v="Kartofler"/>
    <n v="175.60138919253245"/>
    <n v="5101.237079984895"/>
    <n v="0"/>
    <n v="5101.237079984895"/>
  </r>
  <r>
    <x v="0"/>
    <x v="6"/>
    <x v="1"/>
    <s v="Økologisk"/>
    <x v="1"/>
    <s v="Roer"/>
    <n v="4.6069585361111542"/>
    <n v="256.04347870273068"/>
    <n v="0"/>
    <n v="256.04347870273068"/>
  </r>
  <r>
    <x v="0"/>
    <x v="7"/>
    <x v="1"/>
    <s v="Økologisk"/>
    <x v="1"/>
    <s v="Majs"/>
    <n v="594.6891158890071"/>
    <n v="26363.734098026827"/>
    <n v="0"/>
    <n v="26363.734098026827"/>
  </r>
  <r>
    <x v="0"/>
    <x v="8"/>
    <x v="1"/>
    <s v="Økologisk"/>
    <x v="1"/>
    <s v="Frugt"/>
    <n v="10.131040316629504"/>
    <n v="58.832572085118187"/>
    <n v="0"/>
    <n v="58.832572085118187"/>
  </r>
  <r>
    <x v="0"/>
    <x v="9"/>
    <x v="1"/>
    <s v="Økologisk"/>
    <x v="1"/>
    <s v="Øvrige"/>
    <n v="179.17658005444198"/>
    <n v="3651.6949159878468"/>
    <n v="0"/>
    <n v="3651.6949159878468"/>
  </r>
  <r>
    <x v="0"/>
    <x v="10"/>
    <x v="1"/>
    <s v="Økologisk"/>
    <x v="1"/>
    <s v="Halm"/>
    <n v="442.26063859854253"/>
    <n v="4322.4700680880987"/>
    <n v="971.04514853250407"/>
    <n v="971.04514853250407"/>
  </r>
  <r>
    <x v="0"/>
    <x v="11"/>
    <x v="1"/>
    <s v="Økologisk"/>
    <x v="1"/>
    <s v="Juletræer"/>
    <n v="50.812678893768705"/>
    <n v="1737.7936181668899"/>
    <n v="0"/>
    <n v="1737.7936181668899"/>
  </r>
  <r>
    <x v="0"/>
    <x v="12"/>
    <x v="1"/>
    <s v="Økologisk"/>
    <x v="1"/>
    <s v="Pil &amp; poppel"/>
    <n v="83.453155499160744"/>
    <n v="1392.2428868640475"/>
    <n v="0"/>
    <n v="1392.2428868640475"/>
  </r>
  <r>
    <x v="0"/>
    <x v="13"/>
    <x v="1"/>
    <s v="Økologisk"/>
    <x v="1"/>
    <s v="Græs"/>
    <n v="2358.8088657766393"/>
    <n v="39033.569110871831"/>
    <n v="0"/>
    <n v="39033.569110871831"/>
  </r>
  <r>
    <x v="0"/>
    <x v="0"/>
    <x v="2"/>
    <s v="Økologisk"/>
    <x v="1"/>
    <s v="Halm"/>
    <n v="9.2448553566549435E-2"/>
    <n v="0.52104374584321522"/>
    <n v="0.28370831961163073"/>
    <n v="0.28370831961163073"/>
  </r>
  <r>
    <x v="0"/>
    <x v="1"/>
    <x v="2"/>
    <s v="Økologisk"/>
    <x v="1"/>
    <s v="Halm"/>
    <n v="7.9250785727538933E-3"/>
    <n v="2.0924109450927736E-2"/>
    <n v="1.0362800724415557E-2"/>
    <n v="1.0362800724415557E-2"/>
  </r>
  <r>
    <x v="0"/>
    <x v="2"/>
    <x v="2"/>
    <s v="Økologisk"/>
    <x v="1"/>
    <s v="Halm"/>
    <n v="8.4860393979432746E-3"/>
    <n v="2.464345841162727E-2"/>
    <n v="2.1957321444759904E-2"/>
    <n v="2.1957321444759904E-2"/>
  </r>
  <r>
    <x v="0"/>
    <x v="3"/>
    <x v="2"/>
    <s v="Økologisk"/>
    <x v="1"/>
    <s v="Græs"/>
    <n v="7.8312166954409748E-2"/>
    <n v="3.6371553419240317"/>
    <n v="0"/>
    <n v="3.6371553419240317"/>
  </r>
  <r>
    <x v="0"/>
    <x v="4"/>
    <x v="2"/>
    <s v="Økologisk"/>
    <x v="1"/>
    <s v="Grøntsager"/>
    <n v="3.6626895047934632E-4"/>
    <n v="5.1984552141533628E-3"/>
    <n v="0"/>
    <n v="5.1984552141533628E-3"/>
  </r>
  <r>
    <x v="0"/>
    <x v="5"/>
    <x v="2"/>
    <s v="Økologisk"/>
    <x v="1"/>
    <s v="Kartofler"/>
    <n v="5.7824373935368217E-3"/>
    <n v="0.16798035699056785"/>
    <n v="0"/>
    <n v="0.16798035699056785"/>
  </r>
  <r>
    <x v="0"/>
    <x v="6"/>
    <x v="2"/>
    <s v="Økologisk"/>
    <x v="1"/>
    <s v="Roer"/>
    <n v="1.5170409204721518E-4"/>
    <n v="8.4313421005947301E-3"/>
    <n v="0"/>
    <n v="8.4313421005947301E-3"/>
  </r>
  <r>
    <x v="0"/>
    <x v="7"/>
    <x v="2"/>
    <s v="Økologisk"/>
    <x v="1"/>
    <s v="Majs"/>
    <n v="1.9582718548289149E-2"/>
    <n v="0.86814029537401272"/>
    <n v="0"/>
    <n v="0.86814029537401272"/>
  </r>
  <r>
    <x v="0"/>
    <x v="8"/>
    <x v="2"/>
    <s v="Økologisk"/>
    <x v="1"/>
    <s v="Frugt"/>
    <n v="3.3360844485163561E-4"/>
    <n v="1.9373176166046242E-3"/>
    <n v="0"/>
    <n v="1.9373176166046242E-3"/>
  </r>
  <r>
    <x v="0"/>
    <x v="9"/>
    <x v="2"/>
    <s v="Økologisk"/>
    <x v="1"/>
    <s v="Øvrige"/>
    <n v="5.9001660597165087E-3"/>
    <n v="0.1202478939892942"/>
    <n v="0"/>
    <n v="0.1202478939892942"/>
  </r>
  <r>
    <x v="0"/>
    <x v="10"/>
    <x v="2"/>
    <s v="Økologisk"/>
    <x v="1"/>
    <s v="Halm"/>
    <n v="1.4563349789435716E-2"/>
    <n v="0.14233607529580511"/>
    <n v="3.9446871773657161E-2"/>
    <n v="3.9446871773657161E-2"/>
  </r>
  <r>
    <x v="0"/>
    <x v="11"/>
    <x v="2"/>
    <s v="Økologisk"/>
    <x v="1"/>
    <s v="Juletræer"/>
    <n v="1.6732278477532812E-3"/>
    <n v="5.722439239316221E-2"/>
    <n v="0"/>
    <n v="5.722439239316221E-2"/>
  </r>
  <r>
    <x v="0"/>
    <x v="12"/>
    <x v="2"/>
    <s v="Økologisk"/>
    <x v="1"/>
    <s v="Pil &amp; poppel"/>
    <n v="2.7480571149576727E-3"/>
    <n v="4.584563577148898E-2"/>
    <n v="0"/>
    <n v="4.584563577148898E-2"/>
  </r>
  <r>
    <x v="0"/>
    <x v="13"/>
    <x v="2"/>
    <s v="Økologisk"/>
    <x v="1"/>
    <s v="Græs"/>
    <n v="7.7674013015456553E-2"/>
    <n v="1.2853495673797752"/>
    <n v="0"/>
    <n v="1.2853495673797752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0.29674680641973877"/>
    <n v="2.9122731582033161"/>
    <n v="1.285404565201989"/>
    <n v="1.285404565201989"/>
  </r>
  <r>
    <x v="0"/>
    <x v="1"/>
    <x v="1"/>
    <s v="Konventionel"/>
    <x v="2"/>
    <s v="Halm"/>
    <n v="1.7086450333499009E-2"/>
    <n v="9.2335177602228646E-2"/>
    <n v="3.7068686639843931E-2"/>
    <n v="3.7068686639843931E-2"/>
  </r>
  <r>
    <x v="0"/>
    <x v="2"/>
    <x v="1"/>
    <s v="Konventionel"/>
    <x v="2"/>
    <s v="Halm"/>
    <n v="2.2126179468366147E-2"/>
    <n v="0.13629726552513546"/>
    <n v="9.8440700025529099E-2"/>
    <n v="9.8440700025529099E-2"/>
  </r>
  <r>
    <x v="0"/>
    <x v="3"/>
    <x v="1"/>
    <s v="Konventionel"/>
    <x v="2"/>
    <s v="Græs"/>
    <n v="0.51029954485989426"/>
    <n v="35.44948878232713"/>
    <n v="0"/>
    <n v="35.44948878232713"/>
  </r>
  <r>
    <x v="0"/>
    <x v="4"/>
    <x v="1"/>
    <s v="Konventionel"/>
    <x v="2"/>
    <s v="Grøntsager"/>
    <n v="5.9312754358377721E-4"/>
    <n v="1.7230355141108728E-2"/>
    <n v="0"/>
    <n v="1.7230355141108728E-2"/>
  </r>
  <r>
    <x v="0"/>
    <x v="5"/>
    <x v="1"/>
    <s v="Konventionel"/>
    <x v="2"/>
    <s v="Kartofler"/>
    <n v="3.1394414813143305E-2"/>
    <n v="1.8666886496674167"/>
    <n v="0"/>
    <n v="1.8666886496674167"/>
  </r>
  <r>
    <x v="0"/>
    <x v="6"/>
    <x v="1"/>
    <s v="Konventionel"/>
    <x v="2"/>
    <s v="Roer"/>
    <n v="3.3950117003646611E-4"/>
    <n v="3.8620031605222829E-2"/>
    <n v="0"/>
    <n v="3.8620031605222829E-2"/>
  </r>
  <r>
    <x v="0"/>
    <x v="7"/>
    <x v="1"/>
    <s v="Konventionel"/>
    <x v="2"/>
    <s v="Majs"/>
    <n v="4.2220294070089238E-2"/>
    <n v="2.6309154046835412"/>
    <n v="0"/>
    <n v="2.6309154046835412"/>
  </r>
  <r>
    <x v="0"/>
    <x v="8"/>
    <x v="1"/>
    <s v="Konventionel"/>
    <x v="2"/>
    <s v="Frugt"/>
    <n v="1.2099053290264164E-3"/>
    <n v="1.4380934740807986E-2"/>
    <n v="0"/>
    <n v="1.4380934740807986E-2"/>
  </r>
  <r>
    <x v="0"/>
    <x v="9"/>
    <x v="1"/>
    <s v="Konventionel"/>
    <x v="2"/>
    <s v="Øvrige"/>
    <n v="2.1398266344745977E-2"/>
    <n v="0.89261414925364546"/>
    <n v="0"/>
    <n v="0.89261414925364546"/>
  </r>
  <r>
    <x v="0"/>
    <x v="10"/>
    <x v="1"/>
    <s v="Konventionel"/>
    <x v="2"/>
    <s v="Halm"/>
    <n v="6.8082129291564208E-2"/>
    <n v="1.3619424919198089"/>
    <n v="0.3059610890362896"/>
    <n v="0.3059610890362896"/>
  </r>
  <r>
    <x v="0"/>
    <x v="11"/>
    <x v="1"/>
    <s v="Konventionel"/>
    <x v="2"/>
    <s v="Juletræer"/>
    <n v="6.0683334637179846E-3"/>
    <n v="0.42478334246025895"/>
    <n v="0"/>
    <n v="0.42478334246025895"/>
  </r>
  <r>
    <x v="0"/>
    <x v="12"/>
    <x v="1"/>
    <s v="Konventionel"/>
    <x v="2"/>
    <s v="Pil &amp; poppel"/>
    <n v="1.4324445842879414E-2"/>
    <n v="0.48912741902515072"/>
    <n v="0"/>
    <n v="0.48912741902515072"/>
  </r>
  <r>
    <x v="0"/>
    <x v="13"/>
    <x v="1"/>
    <s v="Konventionel"/>
    <x v="2"/>
    <s v="Græs"/>
    <n v="0.52979341323357754"/>
    <n v="10.228191635887448"/>
    <n v="0"/>
    <n v="10.228191635887448"/>
  </r>
  <r>
    <x v="0"/>
    <x v="0"/>
    <x v="2"/>
    <s v="Konventionel"/>
    <x v="2"/>
    <s v="Halm"/>
    <n v="0.28302441074714974"/>
    <n v="2.7776015670725269"/>
    <n v="1.5124040532709913"/>
    <n v="1.5124040532709913"/>
  </r>
  <r>
    <x v="0"/>
    <x v="1"/>
    <x v="2"/>
    <s v="Konventionel"/>
    <x v="2"/>
    <s v="Halm"/>
    <n v="1.6296325462585758E-2"/>
    <n v="8.8065342799813429E-2"/>
    <n v="4.3614931392998796E-2"/>
    <n v="4.3614931392998796E-2"/>
  </r>
  <r>
    <x v="0"/>
    <x v="2"/>
    <x v="2"/>
    <s v="Konventionel"/>
    <x v="2"/>
    <s v="Halm"/>
    <n v="2.1103003539193144E-2"/>
    <n v="0.12999450180142977"/>
    <n v="0.11582510110507394"/>
    <n v="0.11582510110507394"/>
  </r>
  <r>
    <x v="0"/>
    <x v="3"/>
    <x v="2"/>
    <s v="Konventionel"/>
    <x v="2"/>
    <s v="Græs"/>
    <n v="0.48670187804556381"/>
    <n v="33.810206064069227"/>
    <n v="0"/>
    <n v="33.810206064069227"/>
  </r>
  <r>
    <x v="0"/>
    <x v="4"/>
    <x v="2"/>
    <s v="Konventionel"/>
    <x v="2"/>
    <s v="Grøntsager"/>
    <n v="5.6569968029666602E-4"/>
    <n v="1.6433575712618147E-2"/>
    <n v="0"/>
    <n v="1.6433575712618147E-2"/>
  </r>
  <r>
    <x v="0"/>
    <x v="5"/>
    <x v="2"/>
    <s v="Konventionel"/>
    <x v="2"/>
    <s v="Kartofler"/>
    <n v="2.9942649966292749E-2"/>
    <n v="1.780367787255051"/>
    <n v="0"/>
    <n v="1.780367787255051"/>
  </r>
  <r>
    <x v="0"/>
    <x v="6"/>
    <x v="2"/>
    <s v="Konventionel"/>
    <x v="2"/>
    <s v="Roer"/>
    <n v="3.2380169396541565E-4"/>
    <n v="3.6834134189952412E-2"/>
    <n v="0"/>
    <n v="3.6834134189952412E-2"/>
  </r>
  <r>
    <x v="0"/>
    <x v="7"/>
    <x v="2"/>
    <s v="Konventionel"/>
    <x v="2"/>
    <s v="Majs"/>
    <n v="4.0267910529275863E-2"/>
    <n v="2.5092545767212968"/>
    <n v="0"/>
    <n v="2.5092545767212968"/>
  </r>
  <r>
    <x v="0"/>
    <x v="8"/>
    <x v="2"/>
    <s v="Konventionel"/>
    <x v="2"/>
    <s v="Frugt"/>
    <n v="1.1539559496494725E-3"/>
    <n v="1.3715920417533629E-2"/>
    <n v="0"/>
    <n v="1.3715920417533629E-2"/>
  </r>
  <r>
    <x v="0"/>
    <x v="9"/>
    <x v="2"/>
    <s v="Konventionel"/>
    <x v="2"/>
    <s v="Øvrige"/>
    <n v="2.040875113805252E-2"/>
    <n v="0.85133719437486421"/>
    <n v="0"/>
    <n v="0.85133719437486421"/>
  </r>
  <r>
    <x v="0"/>
    <x v="10"/>
    <x v="2"/>
    <s v="Konventionel"/>
    <x v="2"/>
    <s v="Halm"/>
    <n v="6.4933822734728863E-2"/>
    <n v="1.2989624922934593"/>
    <n v="0.35999311324133687"/>
    <n v="0.35999311324133687"/>
  </r>
  <r>
    <x v="0"/>
    <x v="11"/>
    <x v="2"/>
    <s v="Konventionel"/>
    <x v="2"/>
    <s v="Juletræer"/>
    <n v="5.7877168873610831E-3"/>
    <n v="0.4051401821152758"/>
    <n v="0"/>
    <n v="0.4051401821152758"/>
  </r>
  <r>
    <x v="0"/>
    <x v="12"/>
    <x v="2"/>
    <s v="Konventionel"/>
    <x v="2"/>
    <s v="Pil &amp; poppel"/>
    <n v="1.3662043722977473E-2"/>
    <n v="0.4665088100528893"/>
    <n v="0"/>
    <n v="0.4665088100528893"/>
  </r>
  <r>
    <x v="0"/>
    <x v="13"/>
    <x v="2"/>
    <s v="Konventionel"/>
    <x v="2"/>
    <s v="Græs"/>
    <n v="0.50529429585861441"/>
    <n v="9.7552116758464091"/>
    <n v="0"/>
    <n v="9.755211675846409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4.6313085394988143E-2"/>
    <n v="0.30452613544449708"/>
    <n v="0.13441022303181491"/>
    <n v="0.13441022303181491"/>
  </r>
  <r>
    <x v="0"/>
    <x v="1"/>
    <x v="1"/>
    <s v="Økologisk"/>
    <x v="2"/>
    <s v="Halm"/>
    <n v="2.6666714393322154E-3"/>
    <n v="8.2140947011462347E-3"/>
    <n v="3.2976132218913178E-3"/>
    <n v="3.2976132218913178E-3"/>
  </r>
  <r>
    <x v="0"/>
    <x v="2"/>
    <x v="1"/>
    <s v="Økologisk"/>
    <x v="2"/>
    <s v="Halm"/>
    <n v="3.4532187609588785E-3"/>
    <n v="1.1699505162128679E-2"/>
    <n v="8.4499676033474407E-3"/>
    <n v="8.4499676033474407E-3"/>
  </r>
  <r>
    <x v="0"/>
    <x v="3"/>
    <x v="1"/>
    <s v="Økologisk"/>
    <x v="2"/>
    <s v="Græs"/>
    <n v="7.9642125498364996E-2"/>
    <n v="4.3154117558139271"/>
    <n v="0"/>
    <n v="4.3154117558139271"/>
  </r>
  <r>
    <x v="0"/>
    <x v="4"/>
    <x v="1"/>
    <s v="Økologisk"/>
    <x v="2"/>
    <s v="Grøntsager"/>
    <n v="9.2569038593999904E-5"/>
    <n v="1.5328044255587476E-3"/>
    <n v="0"/>
    <n v="1.5328044255587476E-3"/>
  </r>
  <r>
    <x v="0"/>
    <x v="5"/>
    <x v="1"/>
    <s v="Økologisk"/>
    <x v="2"/>
    <s v="Kartofler"/>
    <n v="4.8997063581206323E-3"/>
    <n v="0.16605975906578929"/>
    <n v="0"/>
    <n v="0.16605975906578929"/>
  </r>
  <r>
    <x v="0"/>
    <x v="6"/>
    <x v="1"/>
    <s v="Økologisk"/>
    <x v="2"/>
    <s v="Roer"/>
    <n v="5.2985731739795291E-5"/>
    <n v="3.4356201526264695E-3"/>
    <n v="0"/>
    <n v="3.4356201526264695E-3"/>
  </r>
  <r>
    <x v="0"/>
    <x v="7"/>
    <x v="1"/>
    <s v="Økologisk"/>
    <x v="2"/>
    <s v="Majs"/>
    <n v="6.5892944502451414E-3"/>
    <n v="0.34080239432923787"/>
    <n v="0"/>
    <n v="0.34080239432923787"/>
  </r>
  <r>
    <x v="0"/>
    <x v="8"/>
    <x v="1"/>
    <s v="Økologisk"/>
    <x v="2"/>
    <s v="Frugt"/>
    <n v="1.8882915539718639E-4"/>
    <n v="1.2793213043990458E-3"/>
    <n v="0"/>
    <n v="1.2793213043990458E-3"/>
  </r>
  <r>
    <x v="0"/>
    <x v="9"/>
    <x v="1"/>
    <s v="Økologisk"/>
    <x v="2"/>
    <s v="Øvrige"/>
    <n v="3.3396138225904128E-3"/>
    <n v="7.940654194805552E-2"/>
    <n v="0"/>
    <n v="7.940654194805552E-2"/>
  </r>
  <r>
    <x v="0"/>
    <x v="10"/>
    <x v="1"/>
    <s v="Økologisk"/>
    <x v="2"/>
    <s v="Halm"/>
    <n v="1.0625534629319271E-2"/>
    <n v="0.12115777428118996"/>
    <n v="2.721815699577166E-2"/>
    <n v="2.721815699577166E-2"/>
  </r>
  <r>
    <x v="0"/>
    <x v="11"/>
    <x v="1"/>
    <s v="Økologisk"/>
    <x v="2"/>
    <s v="Juletræer"/>
    <n v="9.4708094520454093E-4"/>
    <n v="3.778852971366118E-2"/>
    <n v="0"/>
    <n v="3.778852971366118E-2"/>
  </r>
  <r>
    <x v="0"/>
    <x v="12"/>
    <x v="1"/>
    <s v="Økologisk"/>
    <x v="2"/>
    <s v="Pil &amp; poppel"/>
    <n v="2.2356071546690416E-3"/>
    <n v="4.3512549010387688E-2"/>
    <n v="0"/>
    <n v="4.3512549010387688E-2"/>
  </r>
  <r>
    <x v="0"/>
    <x v="13"/>
    <x v="1"/>
    <s v="Økologisk"/>
    <x v="2"/>
    <s v="Græs"/>
    <n v="8.2684521140500539E-2"/>
    <n v="1.5963073651385034"/>
    <n v="0"/>
    <n v="1.5963073651385034"/>
  </r>
  <r>
    <x v="0"/>
    <x v="0"/>
    <x v="2"/>
    <s v="Økologisk"/>
    <x v="2"/>
    <s v="Halm"/>
    <n v="6.0035481067577209E-2"/>
    <n v="0.39475610150212581"/>
    <n v="0.21494469726790755"/>
    <n v="0.21494469726790755"/>
  </r>
  <r>
    <x v="0"/>
    <x v="1"/>
    <x v="2"/>
    <s v="Økologisk"/>
    <x v="2"/>
    <s v="Halm"/>
    <n v="3.4567963102454641E-3"/>
    <n v="1.06479005385229E-2"/>
    <n v="5.2734417047898552E-3"/>
    <n v="5.2734417047898552E-3"/>
  </r>
  <r>
    <x v="0"/>
    <x v="2"/>
    <x v="2"/>
    <s v="Økologisk"/>
    <x v="2"/>
    <s v="Halm"/>
    <n v="4.4763946901318786E-3"/>
    <n v="1.5166025210166807E-2"/>
    <n v="1.3512928462258628E-2"/>
    <n v="1.3512928462258628E-2"/>
  </r>
  <r>
    <x v="0"/>
    <x v="3"/>
    <x v="2"/>
    <s v="Økologisk"/>
    <x v="2"/>
    <s v="Græs"/>
    <n v="0.10323979231269535"/>
    <n v="5.5940522760550913"/>
    <n v="0"/>
    <n v="5.5940522760550913"/>
  </r>
  <r>
    <x v="0"/>
    <x v="4"/>
    <x v="2"/>
    <s v="Økologisk"/>
    <x v="2"/>
    <s v="Grøntsager"/>
    <n v="1.1999690188111097E-4"/>
    <n v="1.9869686997983755E-3"/>
    <n v="0"/>
    <n v="1.9869686997983755E-3"/>
  </r>
  <r>
    <x v="0"/>
    <x v="5"/>
    <x v="2"/>
    <s v="Økologisk"/>
    <x v="2"/>
    <s v="Kartofler"/>
    <n v="6.3514712049711885E-3"/>
    <n v="0.21526265064083791"/>
    <n v="0"/>
    <n v="0.21526265064083791"/>
  </r>
  <r>
    <x v="0"/>
    <x v="6"/>
    <x v="2"/>
    <s v="Økologisk"/>
    <x v="2"/>
    <s v="Roer"/>
    <n v="6.8685207810845745E-5"/>
    <n v="4.4535816793306099E-3"/>
    <n v="0"/>
    <n v="4.4535816793306099E-3"/>
  </r>
  <r>
    <x v="0"/>
    <x v="7"/>
    <x v="2"/>
    <s v="Økologisk"/>
    <x v="2"/>
    <s v="Majs"/>
    <n v="8.5416779910585158E-3"/>
    <n v="0.4417808815379009"/>
    <n v="0"/>
    <n v="0.4417808815379009"/>
  </r>
  <r>
    <x v="0"/>
    <x v="8"/>
    <x v="2"/>
    <s v="Økologisk"/>
    <x v="2"/>
    <s v="Frugt"/>
    <n v="2.4477853477413049E-4"/>
    <n v="1.6583794686654296E-3"/>
    <n v="0"/>
    <n v="1.6583794686654296E-3"/>
  </r>
  <r>
    <x v="0"/>
    <x v="9"/>
    <x v="2"/>
    <s v="Økologisk"/>
    <x v="2"/>
    <s v="Øvrige"/>
    <n v="4.329129029283868E-3"/>
    <n v="0.10293440622896084"/>
    <n v="0"/>
    <n v="0.10293440622896084"/>
  </r>
  <r>
    <x v="0"/>
    <x v="10"/>
    <x v="2"/>
    <s v="Økologisk"/>
    <x v="2"/>
    <s v="Halm"/>
    <n v="1.3773841186154611E-2"/>
    <n v="0.15705637406820919"/>
    <n v="4.3526440055543465E-2"/>
    <n v="4.3526440055543465E-2"/>
  </r>
  <r>
    <x v="0"/>
    <x v="11"/>
    <x v="2"/>
    <s v="Økologisk"/>
    <x v="2"/>
    <s v="Juletræer"/>
    <n v="1.2276975215614421E-3"/>
    <n v="4.8985131110301533E-2"/>
    <n v="0"/>
    <n v="4.8985131110301533E-2"/>
  </r>
  <r>
    <x v="0"/>
    <x v="12"/>
    <x v="2"/>
    <s v="Økologisk"/>
    <x v="2"/>
    <s v="Pil &amp; poppel"/>
    <n v="2.8980092745709792E-3"/>
    <n v="5.6405156124576618E-2"/>
    <n v="0"/>
    <n v="5.6405156124576618E-2"/>
  </r>
  <r>
    <x v="0"/>
    <x v="13"/>
    <x v="2"/>
    <s v="Økologisk"/>
    <x v="2"/>
    <s v="Græs"/>
    <n v="0.10718363851546366"/>
    <n v="2.0692873251795416"/>
    <n v="0"/>
    <n v="2.0692873251795416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82635.09976023421"/>
    <n v="1280272.0493192419"/>
    <n v="565080.07576828043"/>
    <n v="565080.07576828043"/>
  </r>
  <r>
    <x v="1"/>
    <x v="1"/>
    <x v="1"/>
    <s v="Konventionel"/>
    <x v="0"/>
    <s v="Halm"/>
    <n v="52507.591181067335"/>
    <n v="202679.30195891994"/>
    <n v="81367.207252939435"/>
    <n v="81367.207252939435"/>
  </r>
  <r>
    <x v="1"/>
    <x v="2"/>
    <x v="1"/>
    <s v="Konventionel"/>
    <x v="0"/>
    <s v="Halm"/>
    <n v="41549.485195453271"/>
    <n v="182817.73485999441"/>
    <n v="132040.10900263098"/>
    <n v="132040.10900263098"/>
  </r>
  <r>
    <x v="1"/>
    <x v="3"/>
    <x v="1"/>
    <s v="Konventionel"/>
    <x v="0"/>
    <s v="Græs"/>
    <n v="59356.407422076118"/>
    <n v="2945264.936283417"/>
    <n v="0"/>
    <n v="2945264.936283417"/>
  </r>
  <r>
    <x v="1"/>
    <x v="4"/>
    <x v="1"/>
    <s v="Konventionel"/>
    <x v="0"/>
    <s v="Grøntsager"/>
    <n v="18263.509976023419"/>
    <n v="378967.83200248599"/>
    <n v="0"/>
    <n v="378967.83200248599"/>
  </r>
  <r>
    <x v="1"/>
    <x v="5"/>
    <x v="1"/>
    <s v="Konventionel"/>
    <x v="0"/>
    <s v="Kartofler"/>
    <n v="13697.632482017563"/>
    <n v="581750.77213309507"/>
    <n v="0"/>
    <n v="581750.77213309507"/>
  </r>
  <r>
    <x v="1"/>
    <x v="6"/>
    <x v="1"/>
    <s v="Konventionel"/>
    <x v="0"/>
    <s v="Roer"/>
    <n v="2282.9387470029274"/>
    <n v="185497.2916221483"/>
    <n v="0"/>
    <n v="185497.2916221483"/>
  </r>
  <r>
    <x v="1"/>
    <x v="7"/>
    <x v="1"/>
    <s v="Konventionel"/>
    <x v="0"/>
    <s v="Majs"/>
    <n v="22829.387470029276"/>
    <n v="1016136.0362910032"/>
    <n v="0"/>
    <n v="1016136.0362910032"/>
  </r>
  <r>
    <x v="1"/>
    <x v="8"/>
    <x v="1"/>
    <s v="Konventionel"/>
    <x v="0"/>
    <s v="Frugt"/>
    <n v="4565.8774940058547"/>
    <n v="38764.299924109706"/>
    <n v="0"/>
    <n v="38764.299924109706"/>
  </r>
  <r>
    <x v="1"/>
    <x v="9"/>
    <x v="1"/>
    <s v="Konventionel"/>
    <x v="0"/>
    <s v="Øvrige"/>
    <n v="12770.152188849457"/>
    <n v="380498.73320990009"/>
    <n v="0"/>
    <n v="380498.73320990009"/>
  </r>
  <r>
    <x v="1"/>
    <x v="10"/>
    <x v="1"/>
    <s v="Konventionel"/>
    <x v="0"/>
    <s v="Halm"/>
    <n v="18444.002451504257"/>
    <n v="263543.78287730424"/>
    <n v="59205.247869328668"/>
    <n v="59205.247869328668"/>
  </r>
  <r>
    <x v="1"/>
    <x v="11"/>
    <x v="1"/>
    <s v="Konventionel"/>
    <x v="0"/>
    <s v="Juletræer"/>
    <n v="3464.1015648020552"/>
    <n v="173205.07824010277"/>
    <n v="0"/>
    <n v="173205.07824010277"/>
  </r>
  <r>
    <x v="1"/>
    <x v="12"/>
    <x v="1"/>
    <s v="Konventionel"/>
    <x v="0"/>
    <s v="Pil &amp; poppel"/>
    <n v="1332.0990873242467"/>
    <n v="32490.221642054799"/>
    <n v="0"/>
    <n v="32490.221642054799"/>
  </r>
  <r>
    <x v="1"/>
    <x v="13"/>
    <x v="1"/>
    <s v="Konventionel"/>
    <x v="0"/>
    <s v="Græs"/>
    <n v="22829.387470029276"/>
    <n v="314817.25321170373"/>
    <n v="0"/>
    <n v="314817.25321170373"/>
  </r>
  <r>
    <x v="1"/>
    <x v="0"/>
    <x v="2"/>
    <s v="Konventionel"/>
    <x v="0"/>
    <s v="Halm"/>
    <n v="165742.2609289588"/>
    <n v="1161853.2491120012"/>
    <n v="632629.0941414847"/>
    <n v="632629.0941414847"/>
  </r>
  <r>
    <x v="1"/>
    <x v="1"/>
    <x v="2"/>
    <s v="Konventionel"/>
    <x v="0"/>
    <s v="Halm"/>
    <n v="47650.900017075655"/>
    <n v="183932.47406591204"/>
    <n v="91093.749053643376"/>
    <n v="91093.749053643376"/>
  </r>
  <r>
    <x v="1"/>
    <x v="2"/>
    <x v="2"/>
    <s v="Konventionel"/>
    <x v="0"/>
    <s v="Halm"/>
    <n v="37706.364361338121"/>
    <n v="165908.00318988774"/>
    <n v="147824.03084219"/>
    <n v="147824.03084219"/>
  </r>
  <r>
    <x v="1"/>
    <x v="3"/>
    <x v="2"/>
    <s v="Konventionel"/>
    <x v="0"/>
    <s v="Græs"/>
    <n v="35220.230447403745"/>
    <n v="1747627.8348001738"/>
    <n v="0"/>
    <n v="1747627.8348001738"/>
  </r>
  <r>
    <x v="1"/>
    <x v="4"/>
    <x v="2"/>
    <s v="Konventionel"/>
    <x v="0"/>
    <s v="Grøntsager"/>
    <n v="16574.226092895879"/>
    <n v="343915.19142758951"/>
    <n v="0"/>
    <n v="343915.19142758951"/>
  </r>
  <r>
    <x v="1"/>
    <x v="5"/>
    <x v="2"/>
    <s v="Konventionel"/>
    <x v="0"/>
    <s v="Kartofler"/>
    <n v="12430.669569671909"/>
    <n v="527941.71764950489"/>
    <n v="0"/>
    <n v="527941.71764950489"/>
  </r>
  <r>
    <x v="1"/>
    <x v="6"/>
    <x v="2"/>
    <s v="Konventionel"/>
    <x v="0"/>
    <s v="Roer"/>
    <n v="2071.7782616119848"/>
    <n v="168339.7142718753"/>
    <n v="0"/>
    <n v="168339.7142718753"/>
  </r>
  <r>
    <x v="1"/>
    <x v="7"/>
    <x v="2"/>
    <s v="Konventionel"/>
    <x v="0"/>
    <s v="Majs"/>
    <n v="20717.78261611985"/>
    <n v="922148.50424349459"/>
    <n v="0"/>
    <n v="922148.50424349459"/>
  </r>
  <r>
    <x v="1"/>
    <x v="8"/>
    <x v="2"/>
    <s v="Konventionel"/>
    <x v="0"/>
    <s v="Frugt"/>
    <n v="4143.5565232239696"/>
    <n v="35178.794882171504"/>
    <n v="0"/>
    <n v="35178.794882171504"/>
  </r>
  <r>
    <x v="1"/>
    <x v="9"/>
    <x v="2"/>
    <s v="Konventionel"/>
    <x v="0"/>
    <s v="Øvrige"/>
    <n v="11588.976593028619"/>
    <n v="345304.49188357411"/>
    <n v="0"/>
    <n v="345304.49188357411"/>
  </r>
  <r>
    <x v="1"/>
    <x v="10"/>
    <x v="2"/>
    <s v="Konventionel"/>
    <x v="0"/>
    <s v="Halm"/>
    <n v="16738.023911640095"/>
    <n v="239167.29306250089"/>
    <n v="66282.574690094785"/>
    <n v="66282.574690094785"/>
  </r>
  <r>
    <x v="1"/>
    <x v="11"/>
    <x v="2"/>
    <s v="Konventionel"/>
    <x v="0"/>
    <s v="Juletræer"/>
    <n v="3143.6893904380149"/>
    <n v="157184.46952190076"/>
    <n v="0"/>
    <n v="157184.46952190076"/>
  </r>
  <r>
    <x v="1"/>
    <x v="12"/>
    <x v="2"/>
    <s v="Konventionel"/>
    <x v="0"/>
    <s v="Pil &amp; poppel"/>
    <n v="1208.8865437387055"/>
    <n v="29485.037652163552"/>
    <n v="0"/>
    <n v="29485.037652163552"/>
  </r>
  <r>
    <x v="1"/>
    <x v="13"/>
    <x v="2"/>
    <s v="Konventionel"/>
    <x v="0"/>
    <s v="Græs"/>
    <n v="39363.786970627712"/>
    <n v="542826.62232495623"/>
    <n v="0"/>
    <n v="542826.6223249562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8503.743893215742"/>
    <n v="133873.53394326637"/>
    <n v="59088.431044209217"/>
    <n v="59088.431044209217"/>
  </r>
  <r>
    <x v="1"/>
    <x v="1"/>
    <x v="1"/>
    <s v="Økologisk"/>
    <x v="0"/>
    <s v="Halm"/>
    <n v="8194.826369299526"/>
    <n v="18030.256977732817"/>
    <n v="7238.3891307672693"/>
    <n v="7238.3891307672693"/>
  </r>
  <r>
    <x v="1"/>
    <x v="2"/>
    <x v="1"/>
    <s v="Økologisk"/>
    <x v="0"/>
    <s v="Halm"/>
    <n v="6484.6017357065812"/>
    <n v="15692.736200409927"/>
    <n v="11334.078720746074"/>
    <n v="11334.078720746074"/>
  </r>
  <r>
    <x v="1"/>
    <x v="3"/>
    <x v="1"/>
    <s v="Økologisk"/>
    <x v="0"/>
    <s v="Græs"/>
    <n v="9263.7167652951175"/>
    <n v="358539.18819727615"/>
    <n v="0"/>
    <n v="358539.18819727615"/>
  </r>
  <r>
    <x v="1"/>
    <x v="4"/>
    <x v="1"/>
    <s v="Økologisk"/>
    <x v="0"/>
    <s v="Grøntsager"/>
    <n v="2850.3743893215742"/>
    <n v="33712.803089700916"/>
    <n v="0"/>
    <n v="33712.803089700916"/>
  </r>
  <r>
    <x v="1"/>
    <x v="5"/>
    <x v="1"/>
    <s v="Økologisk"/>
    <x v="0"/>
    <s v="Kartofler"/>
    <n v="2137.7807919911802"/>
    <n v="51752.27967126204"/>
    <n v="0"/>
    <n v="51752.27967126204"/>
  </r>
  <r>
    <x v="1"/>
    <x v="6"/>
    <x v="1"/>
    <s v="Økologisk"/>
    <x v="0"/>
    <s v="Roer"/>
    <n v="356.29679866519677"/>
    <n v="16501.753283611917"/>
    <n v="0"/>
    <n v="16501.753283611917"/>
  </r>
  <r>
    <x v="1"/>
    <x v="7"/>
    <x v="1"/>
    <s v="Økologisk"/>
    <x v="0"/>
    <s v="Majs"/>
    <n v="3562.9679866519677"/>
    <n v="131627.79522127967"/>
    <n v="0"/>
    <n v="131627.79522127967"/>
  </r>
  <r>
    <x v="1"/>
    <x v="8"/>
    <x v="1"/>
    <s v="Økologisk"/>
    <x v="0"/>
    <s v="Frugt"/>
    <n v="712.59359733039355"/>
    <n v="3448.4541955609734"/>
    <n v="0"/>
    <n v="3448.4541955609734"/>
  </r>
  <r>
    <x v="1"/>
    <x v="9"/>
    <x v="1"/>
    <s v="Økologisk"/>
    <x v="0"/>
    <s v="Øvrige"/>
    <n v="1993.0295323637881"/>
    <n v="33848.991353181285"/>
    <n v="0"/>
    <n v="33848.991353181285"/>
  </r>
  <r>
    <x v="1"/>
    <x v="10"/>
    <x v="1"/>
    <s v="Økologisk"/>
    <x v="0"/>
    <s v="Halm"/>
    <n v="2878.5437352058666"/>
    <n v="23444.733054807584"/>
    <n v="5266.8714723061748"/>
    <n v="5266.8714723061748"/>
  </r>
  <r>
    <x v="1"/>
    <x v="11"/>
    <x v="1"/>
    <s v="Økologisk"/>
    <x v="0"/>
    <s v="Juletræer"/>
    <n v="540.64012861072547"/>
    <n v="15408.243665405678"/>
    <n v="0"/>
    <n v="15408.243665405678"/>
  </r>
  <r>
    <x v="1"/>
    <x v="12"/>
    <x v="1"/>
    <s v="Økologisk"/>
    <x v="0"/>
    <s v="Pil &amp; poppel"/>
    <n v="207.89985755927555"/>
    <n v="2890.3150928972454"/>
    <n v="0"/>
    <n v="2890.3150928972454"/>
  </r>
  <r>
    <x v="1"/>
    <x v="13"/>
    <x v="1"/>
    <s v="Økologisk"/>
    <x v="0"/>
    <s v="Græs"/>
    <n v="3562.9679866519677"/>
    <n v="49133.328535930639"/>
    <n v="0"/>
    <n v="49133.328535930639"/>
  </r>
  <r>
    <x v="1"/>
    <x v="0"/>
    <x v="2"/>
    <s v="Økologisk"/>
    <x v="0"/>
    <s v="Halm"/>
    <n v="35157.449287960953"/>
    <n v="165123.99207076619"/>
    <n v="89910.013682532212"/>
    <n v="89910.013682532212"/>
  </r>
  <r>
    <x v="1"/>
    <x v="1"/>
    <x v="2"/>
    <s v="Økologisk"/>
    <x v="0"/>
    <s v="Halm"/>
    <n v="10107.766670288775"/>
    <n v="22239.108227969366"/>
    <n v="11014.062385576879"/>
    <n v="11014.062385576879"/>
  </r>
  <r>
    <x v="1"/>
    <x v="2"/>
    <x v="2"/>
    <s v="Økologisk"/>
    <x v="0"/>
    <s v="Halm"/>
    <n v="7998.3197130111166"/>
    <n v="19355.933705486907"/>
    <n v="17246.136931588837"/>
    <n v="17246.136931588837"/>
  </r>
  <r>
    <x v="1"/>
    <x v="3"/>
    <x v="2"/>
    <s v="Økologisk"/>
    <x v="0"/>
    <s v="Græs"/>
    <n v="7470.957973691703"/>
    <n v="289152.9690305742"/>
    <n v="0"/>
    <n v="289152.9690305742"/>
  </r>
  <r>
    <x v="1"/>
    <x v="4"/>
    <x v="2"/>
    <s v="Økologisk"/>
    <x v="0"/>
    <s v="Grøntsager"/>
    <n v="3515.7449287960953"/>
    <n v="41582.473145335818"/>
    <n v="0"/>
    <n v="41582.473145335818"/>
  </r>
  <r>
    <x v="1"/>
    <x v="5"/>
    <x v="2"/>
    <s v="Økologisk"/>
    <x v="0"/>
    <s v="Kartofler"/>
    <n v="2636.8086965970715"/>
    <n v="63832.953133985575"/>
    <n v="0"/>
    <n v="63832.953133985575"/>
  </r>
  <r>
    <x v="1"/>
    <x v="6"/>
    <x v="2"/>
    <s v="Økologisk"/>
    <x v="0"/>
    <s v="Roer"/>
    <n v="439.46811609951192"/>
    <n v="20353.801816508556"/>
    <n v="0"/>
    <n v="20353.801816508556"/>
  </r>
  <r>
    <x v="1"/>
    <x v="7"/>
    <x v="2"/>
    <s v="Økologisk"/>
    <x v="0"/>
    <s v="Majs"/>
    <n v="4394.6811609951192"/>
    <n v="162354.02453499101"/>
    <n v="0"/>
    <n v="162354.02453499101"/>
  </r>
  <r>
    <x v="1"/>
    <x v="8"/>
    <x v="2"/>
    <s v="Økologisk"/>
    <x v="0"/>
    <s v="Frugt"/>
    <n v="878.93623219902383"/>
    <n v="4253.436108480736"/>
    <n v="0"/>
    <n v="4253.436108480736"/>
  </r>
  <r>
    <x v="1"/>
    <x v="9"/>
    <x v="2"/>
    <s v="Økologisk"/>
    <x v="0"/>
    <s v="Øvrige"/>
    <n v="2458.2677621575858"/>
    <n v="41750.452200468506"/>
    <n v="0"/>
    <n v="41750.452200468506"/>
  </r>
  <r>
    <x v="1"/>
    <x v="10"/>
    <x v="2"/>
    <s v="Økologisk"/>
    <x v="0"/>
    <s v="Halm"/>
    <n v="3550.4899206509294"/>
    <n v="28917.499979375105"/>
    <n v="8014.1658488932781"/>
    <n v="8014.1658488932781"/>
  </r>
  <r>
    <x v="1"/>
    <x v="11"/>
    <x v="2"/>
    <s v="Økologisk"/>
    <x v="0"/>
    <s v="Juletræer"/>
    <n v="666.84320403230618"/>
    <n v="19005.031314920725"/>
    <n v="0"/>
    <n v="19005.031314920725"/>
  </r>
  <r>
    <x v="1"/>
    <x v="12"/>
    <x v="2"/>
    <s v="Økologisk"/>
    <x v="0"/>
    <s v="Pil &amp; poppel"/>
    <n v="256.43047897487696"/>
    <n v="3565.0090979434117"/>
    <n v="0"/>
    <n v="3565.0090979434117"/>
  </r>
  <r>
    <x v="1"/>
    <x v="13"/>
    <x v="2"/>
    <s v="Økologisk"/>
    <x v="0"/>
    <s v="Græs"/>
    <n v="8349.8942058907251"/>
    <n v="115145.04109923312"/>
    <n v="0"/>
    <n v="115145.04109923312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2543.5266161074505"/>
    <n v="21396.145894695874"/>
    <n v="9443.7238942713921"/>
    <n v="9443.7238942713921"/>
  </r>
  <r>
    <x v="1"/>
    <x v="1"/>
    <x v="1"/>
    <s v="Konventionel"/>
    <x v="1"/>
    <s v="Halm"/>
    <n v="68.781025480452769"/>
    <n v="318.59371002545726"/>
    <n v="127.9019622752524"/>
    <n v="127.9019622752524"/>
  </r>
  <r>
    <x v="1"/>
    <x v="2"/>
    <x v="1"/>
    <s v="Konventionel"/>
    <x v="1"/>
    <s v="Halm"/>
    <n v="277.81730642917057"/>
    <n v="1466.8753779460208"/>
    <n v="1059.4507417215134"/>
    <n v="1059.4507417215134"/>
  </r>
  <r>
    <x v="1"/>
    <x v="3"/>
    <x v="1"/>
    <s v="Konventionel"/>
    <x v="1"/>
    <s v="Græs"/>
    <n v="816.89928733229783"/>
    <n v="48641.451164914346"/>
    <n v="0"/>
    <n v="48641.451164914346"/>
  </r>
  <r>
    <x v="1"/>
    <x v="4"/>
    <x v="1"/>
    <s v="Konventionel"/>
    <x v="1"/>
    <s v="Grøntsager"/>
    <n v="15.471187824817051"/>
    <n v="385.23257683794458"/>
    <n v="0"/>
    <n v="385.23257683794458"/>
  </r>
  <r>
    <x v="1"/>
    <x v="5"/>
    <x v="1"/>
    <s v="Konventionel"/>
    <x v="1"/>
    <s v="Kartofler"/>
    <n v="26.302435262527187"/>
    <n v="1340.5057006495601"/>
    <n v="0"/>
    <n v="1340.5057006495601"/>
  </r>
  <r>
    <x v="1"/>
    <x v="6"/>
    <x v="1"/>
    <s v="Konventionel"/>
    <x v="1"/>
    <s v="Roer"/>
    <n v="73.48347036613049"/>
    <n v="7164.9673911620484"/>
    <n v="0"/>
    <n v="7164.9673911620484"/>
  </r>
  <r>
    <x v="1"/>
    <x v="7"/>
    <x v="1"/>
    <s v="Konventionel"/>
    <x v="1"/>
    <s v="Majs"/>
    <n v="78.344719162303662"/>
    <n v="4184.5481398969632"/>
    <n v="0"/>
    <n v="4184.5481398969632"/>
  </r>
  <r>
    <x v="1"/>
    <x v="8"/>
    <x v="1"/>
    <s v="Konventionel"/>
    <x v="1"/>
    <s v="Frugt"/>
    <n v="16.900566419398675"/>
    <n v="172.18297068083373"/>
    <n v="0"/>
    <n v="172.18297068083373"/>
  </r>
  <r>
    <x v="1"/>
    <x v="9"/>
    <x v="1"/>
    <s v="Konventionel"/>
    <x v="1"/>
    <s v="Øvrige"/>
    <n v="120.67824120695344"/>
    <n v="4314.8664692035982"/>
    <n v="0"/>
    <n v="4314.8664692035982"/>
  </r>
  <r>
    <x v="1"/>
    <x v="10"/>
    <x v="1"/>
    <s v="Konventionel"/>
    <x v="1"/>
    <s v="Halm"/>
    <n v="876.11830838913772"/>
    <n v="15022.479020898631"/>
    <n v="3374.8077239149588"/>
    <n v="3374.8077239149588"/>
  </r>
  <r>
    <x v="1"/>
    <x v="11"/>
    <x v="1"/>
    <s v="Konventionel"/>
    <x v="1"/>
    <s v="Juletræer"/>
    <n v="26.483091404220694"/>
    <n v="1588.9854842532416"/>
    <n v="0"/>
    <n v="1588.9854842532416"/>
  </r>
  <r>
    <x v="1"/>
    <x v="12"/>
    <x v="1"/>
    <s v="Konventionel"/>
    <x v="1"/>
    <s v="Pil &amp; poppel"/>
    <n v="56.207011126951372"/>
    <n v="1645.0832524961379"/>
    <n v="0"/>
    <n v="1645.0832524961379"/>
  </r>
  <r>
    <x v="1"/>
    <x v="13"/>
    <x v="1"/>
    <s v="Konventionel"/>
    <x v="1"/>
    <s v="Græs"/>
    <n v="1628.961148843877"/>
    <n v="26956.049091068475"/>
    <n v="0"/>
    <n v="26956.049091068475"/>
  </r>
  <r>
    <x v="1"/>
    <x v="0"/>
    <x v="2"/>
    <s v="Konventionel"/>
    <x v="1"/>
    <s v="Halm"/>
    <n v="6.1624419250252083E-2"/>
    <n v="0.51838461473312047"/>
    <n v="0.28226042272218416"/>
    <n v="0.28226042272218416"/>
  </r>
  <r>
    <x v="1"/>
    <x v="1"/>
    <x v="2"/>
    <s v="Konventionel"/>
    <x v="1"/>
    <s v="Halm"/>
    <n v="1.6664228020370887E-3"/>
    <n v="7.7188704190357948E-3"/>
    <n v="3.8228205677115386E-3"/>
    <n v="3.8228205677115386E-3"/>
  </r>
  <r>
    <x v="1"/>
    <x v="2"/>
    <x v="2"/>
    <s v="Konventionel"/>
    <x v="1"/>
    <s v="Halm"/>
    <n v="6.7309420148972078E-3"/>
    <n v="3.5539373838657261E-2"/>
    <n v="3.1665582090243616E-2"/>
    <n v="3.1665582090243616E-2"/>
  </r>
  <r>
    <x v="1"/>
    <x v="3"/>
    <x v="2"/>
    <s v="Konventionel"/>
    <x v="1"/>
    <s v="Græs"/>
    <n v="1.9791789812224642E-2"/>
    <n v="1.1784823325791041"/>
    <n v="0"/>
    <n v="1.1784823325791041"/>
  </r>
  <r>
    <x v="1"/>
    <x v="4"/>
    <x v="2"/>
    <s v="Konventionel"/>
    <x v="1"/>
    <s v="Grøntsager"/>
    <n v="3.7483506513290803E-4"/>
    <n v="9.3333931218094104E-3"/>
    <n v="0"/>
    <n v="9.3333931218094104E-3"/>
  </r>
  <r>
    <x v="1"/>
    <x v="5"/>
    <x v="2"/>
    <s v="Konventionel"/>
    <x v="1"/>
    <s v="Kartofler"/>
    <n v="6.37253916533074E-4"/>
    <n v="3.2477696431815778E-2"/>
    <n v="0"/>
    <n v="3.2477696431815778E-2"/>
  </r>
  <r>
    <x v="1"/>
    <x v="6"/>
    <x v="2"/>
    <s v="Konventionel"/>
    <x v="1"/>
    <s v="Roer"/>
    <n v="1.7803533712322671E-3"/>
    <n v="0.17359242542665901"/>
    <n v="0"/>
    <n v="0.17359242542665901"/>
  </r>
  <r>
    <x v="1"/>
    <x v="7"/>
    <x v="2"/>
    <s v="Konventionel"/>
    <x v="1"/>
    <s v="Majs"/>
    <n v="1.8981314326050301E-3"/>
    <n v="0.10138299607829987"/>
    <n v="0"/>
    <n v="0.10138299607829987"/>
  </r>
  <r>
    <x v="1"/>
    <x v="8"/>
    <x v="2"/>
    <s v="Konventionel"/>
    <x v="1"/>
    <s v="Frugt"/>
    <n v="4.094659690212412E-4"/>
    <n v="4.1716392923884056E-3"/>
    <n v="0"/>
    <n v="4.1716392923884056E-3"/>
  </r>
  <r>
    <x v="1"/>
    <x v="9"/>
    <x v="2"/>
    <s v="Konventionel"/>
    <x v="1"/>
    <s v="Øvrige"/>
    <n v="2.9237856145973122E-3"/>
    <n v="0.10454034120310714"/>
    <n v="0"/>
    <n v="0.10454034120310714"/>
  </r>
  <r>
    <x v="1"/>
    <x v="10"/>
    <x v="2"/>
    <s v="Konventionel"/>
    <x v="1"/>
    <s v="Halm"/>
    <n v="2.1226544910947009E-2"/>
    <n v="0.36396377356519294"/>
    <n v="0.10086854141682021"/>
    <n v="0.10086854141682021"/>
  </r>
  <r>
    <x v="1"/>
    <x v="11"/>
    <x v="2"/>
    <s v="Konventionel"/>
    <x v="1"/>
    <s v="Juletræer"/>
    <n v="6.4163084333437122E-4"/>
    <n v="3.8497850600062278E-2"/>
    <n v="0"/>
    <n v="3.8497850600062278E-2"/>
  </r>
  <r>
    <x v="1"/>
    <x v="12"/>
    <x v="2"/>
    <s v="Konventionel"/>
    <x v="1"/>
    <s v="Pil &amp; poppel"/>
    <n v="1.3617802921958929E-3"/>
    <n v="3.9856984161831012E-2"/>
    <n v="0"/>
    <n v="3.9856984161831012E-2"/>
  </r>
  <r>
    <x v="1"/>
    <x v="13"/>
    <x v="2"/>
    <s v="Konventionel"/>
    <x v="1"/>
    <s v="Græs"/>
    <n v="3.9466378744780817E-2"/>
    <n v="0.65308963546863297"/>
    <n v="0"/>
    <n v="0.65308963546863297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96.96658170463104"/>
    <n v="2237.319533150569"/>
    <n v="987.49690894433229"/>
    <n v="987.49690894433229"/>
  </r>
  <r>
    <x v="1"/>
    <x v="1"/>
    <x v="1"/>
    <s v="Økologisk"/>
    <x v="1"/>
    <s v="Halm"/>
    <n v="10.734610913134247"/>
    <n v="28.341949117293566"/>
    <n v="11.37809941859037"/>
    <n v="11.37809941859037"/>
  </r>
  <r>
    <x v="1"/>
    <x v="2"/>
    <x v="1"/>
    <s v="Økologisk"/>
    <x v="1"/>
    <s v="Halm"/>
    <n v="43.358770367558421"/>
    <n v="125.91386914738968"/>
    <n v="90.941291991702187"/>
    <n v="90.941291991702187"/>
  </r>
  <r>
    <x v="1"/>
    <x v="3"/>
    <x v="1"/>
    <s v="Økologisk"/>
    <x v="1"/>
    <s v="Græs"/>
    <n v="127.4929523582199"/>
    <n v="5921.32347706992"/>
    <n v="0"/>
    <n v="5921.32347706992"/>
  </r>
  <r>
    <x v="1"/>
    <x v="4"/>
    <x v="1"/>
    <s v="Økologisk"/>
    <x v="1"/>
    <s v="Grøntsager"/>
    <n v="2.4145784466477478"/>
    <n v="34.270111893271483"/>
    <n v="0"/>
    <n v="34.270111893271483"/>
  </r>
  <r>
    <x v="1"/>
    <x v="5"/>
    <x v="1"/>
    <s v="Økologisk"/>
    <x v="1"/>
    <s v="Kartofler"/>
    <n v="4.1050043473308326"/>
    <n v="119.25076724275564"/>
    <n v="0"/>
    <n v="119.25076724275564"/>
  </r>
  <r>
    <x v="1"/>
    <x v="6"/>
    <x v="1"/>
    <s v="Økologisk"/>
    <x v="1"/>
    <s v="Roer"/>
    <n v="11.468518496448112"/>
    <n v="637.39218583805734"/>
    <n v="0"/>
    <n v="637.39218583805734"/>
  </r>
  <r>
    <x v="1"/>
    <x v="7"/>
    <x v="1"/>
    <s v="Økologisk"/>
    <x v="1"/>
    <s v="Majs"/>
    <n v="12.227210505099418"/>
    <n v="542.05620702364729"/>
    <n v="0"/>
    <n v="542.05620702364729"/>
  </r>
  <r>
    <x v="1"/>
    <x v="8"/>
    <x v="1"/>
    <s v="Økologisk"/>
    <x v="1"/>
    <s v="Frugt"/>
    <n v="2.6376606550506607"/>
    <n v="15.317317449583994"/>
    <n v="0"/>
    <n v="15.317317449583994"/>
  </r>
  <r>
    <x v="1"/>
    <x v="9"/>
    <x v="1"/>
    <s v="Økologisk"/>
    <x v="1"/>
    <s v="Øvrige"/>
    <n v="18.834176373339556"/>
    <n v="383.84852578637788"/>
    <n v="0"/>
    <n v="383.84852578637788"/>
  </r>
  <r>
    <x v="1"/>
    <x v="10"/>
    <x v="1"/>
    <s v="Økologisk"/>
    <x v="1"/>
    <s v="Halm"/>
    <n v="136.73522732084808"/>
    <n v="1336.3927868880339"/>
    <n v="300.22133451474684"/>
    <n v="300.22133451474684"/>
  </r>
  <r>
    <x v="1"/>
    <x v="11"/>
    <x v="1"/>
    <s v="Økologisk"/>
    <x v="1"/>
    <s v="Juletræer"/>
    <n v="4.1331992364968713"/>
    <n v="141.35541388819297"/>
    <n v="0"/>
    <n v="141.35541388819297"/>
  </r>
  <r>
    <x v="1"/>
    <x v="12"/>
    <x v="1"/>
    <s v="Økologisk"/>
    <x v="1"/>
    <s v="Pil &amp; poppel"/>
    <n v="8.7721924880213127"/>
    <n v="146.34584540991651"/>
    <n v="0"/>
    <n v="146.34584540991651"/>
  </r>
  <r>
    <x v="1"/>
    <x v="13"/>
    <x v="1"/>
    <s v="Økologisk"/>
    <x v="1"/>
    <s v="Græs"/>
    <n v="254.23093074442014"/>
    <n v="4207.0134419586639"/>
    <n v="0"/>
    <n v="4207.0134419586639"/>
  </r>
  <r>
    <x v="1"/>
    <x v="0"/>
    <x v="2"/>
    <s v="Økologisk"/>
    <x v="1"/>
    <s v="Halm"/>
    <n v="1.3071846507629228E-2"/>
    <n v="7.3673449790858631E-2"/>
    <n v="4.0115193411122525E-2"/>
    <n v="4.0115193411122525E-2"/>
  </r>
  <r>
    <x v="1"/>
    <x v="1"/>
    <x v="2"/>
    <s v="Økologisk"/>
    <x v="1"/>
    <s v="Halm"/>
    <n v="3.5348362467453397E-4"/>
    <n v="9.3328160521069156E-4"/>
    <n v="4.6221375955057689E-4"/>
    <n v="4.6221375955057689E-4"/>
  </r>
  <r>
    <x v="1"/>
    <x v="2"/>
    <x v="2"/>
    <s v="Økologisk"/>
    <x v="1"/>
    <s v="Halm"/>
    <n v="1.4277755789175895E-3"/>
    <n v="4.1462602811766806E-3"/>
    <n v="3.6943179105284225E-3"/>
    <n v="3.6943179105284225E-3"/>
  </r>
  <r>
    <x v="1"/>
    <x v="3"/>
    <x v="2"/>
    <s v="Økologisk"/>
    <x v="1"/>
    <s v="Græs"/>
    <n v="4.1982584450173483E-3"/>
    <n v="0.19498525866308813"/>
    <n v="0"/>
    <n v="0.19498525866308813"/>
  </r>
  <r>
    <x v="1"/>
    <x v="4"/>
    <x v="2"/>
    <s v="Økologisk"/>
    <x v="1"/>
    <s v="Grøntsager"/>
    <n v="7.9510468361525957E-5"/>
    <n v="1.1284920774551376E-3"/>
    <n v="0"/>
    <n v="1.1284920774551376E-3"/>
  </r>
  <r>
    <x v="1"/>
    <x v="5"/>
    <x v="2"/>
    <s v="Økologisk"/>
    <x v="1"/>
    <s v="Kartofler"/>
    <n v="1.351750732039854E-4"/>
    <n v="3.926848750392271E-3"/>
    <n v="0"/>
    <n v="3.926848750392271E-3"/>
  </r>
  <r>
    <x v="1"/>
    <x v="6"/>
    <x v="2"/>
    <s v="Økologisk"/>
    <x v="1"/>
    <s v="Roer"/>
    <n v="3.7765071510987484E-4"/>
    <n v="2.0988902347041496E-2"/>
    <n v="0"/>
    <n v="2.0988902347041496E-2"/>
  </r>
  <r>
    <x v="1"/>
    <x v="7"/>
    <x v="2"/>
    <s v="Økologisk"/>
    <x v="1"/>
    <s v="Majs"/>
    <n v="4.0263394024955173E-4"/>
    <n v="1.784955173378552E-2"/>
    <n v="0"/>
    <n v="1.784955173378552E-2"/>
  </r>
  <r>
    <x v="1"/>
    <x v="8"/>
    <x v="2"/>
    <s v="Økologisk"/>
    <x v="1"/>
    <s v="Frugt"/>
    <n v="8.6856417671172357E-5"/>
    <n v="5.0438911444332531E-4"/>
    <n v="0"/>
    <n v="5.0438911444332531E-4"/>
  </r>
  <r>
    <x v="1"/>
    <x v="9"/>
    <x v="2"/>
    <s v="Økologisk"/>
    <x v="1"/>
    <s v="Øvrige"/>
    <n v="6.2019694855094509E-4"/>
    <n v="1.2639877618193865E-2"/>
    <n v="0"/>
    <n v="1.2639877618193865E-2"/>
  </r>
  <r>
    <x v="1"/>
    <x v="10"/>
    <x v="2"/>
    <s v="Økologisk"/>
    <x v="1"/>
    <s v="Halm"/>
    <n v="4.5026004356554256E-3"/>
    <n v="4.400652898560968E-2"/>
    <n v="1.2195923644033711E-2"/>
    <n v="1.2195923644033711E-2"/>
  </r>
  <r>
    <x v="1"/>
    <x v="11"/>
    <x v="2"/>
    <s v="Økologisk"/>
    <x v="1"/>
    <s v="Juletræer"/>
    <n v="1.3610351222244238E-4"/>
    <n v="4.6547401180075292E-3"/>
    <n v="0"/>
    <n v="4.6547401180075292E-3"/>
  </r>
  <r>
    <x v="1"/>
    <x v="12"/>
    <x v="2"/>
    <s v="Økologisk"/>
    <x v="1"/>
    <s v="Pil &amp; poppel"/>
    <n v="2.8886248622337122E-4"/>
    <n v="4.8190717213850223E-3"/>
    <n v="0"/>
    <n v="4.8190717213850223E-3"/>
  </r>
  <r>
    <x v="1"/>
    <x v="13"/>
    <x v="2"/>
    <s v="Økologisk"/>
    <x v="1"/>
    <s v="Græs"/>
    <n v="8.3716560973777481E-3"/>
    <n v="0.13853416509940697"/>
    <n v="0"/>
    <n v="0.13853416509940697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4.5754933628917617E-2"/>
    <n v="0.44903891863419743"/>
    <n v="0.1981945527121689"/>
    <n v="0.1981945527121689"/>
  </r>
  <r>
    <x v="1"/>
    <x v="1"/>
    <x v="1"/>
    <s v="Konventionel"/>
    <x v="2"/>
    <s v="Halm"/>
    <n v="8.3106047603679744E-4"/>
    <n v="4.4910508125028531E-3"/>
    <n v="1.8029678349615972E-3"/>
    <n v="1.8029678349615972E-3"/>
  </r>
  <r>
    <x v="1"/>
    <x v="2"/>
    <x v="1"/>
    <s v="Konventionel"/>
    <x v="2"/>
    <s v="Halm"/>
    <n v="4.0595359645178462E-3"/>
    <n v="2.5006741541429935E-2"/>
    <n v="1.8061119078297768E-2"/>
    <n v="1.8061119078297768E-2"/>
  </r>
  <r>
    <x v="1"/>
    <x v="3"/>
    <x v="1"/>
    <s v="Konventionel"/>
    <x v="2"/>
    <s v="Græs"/>
    <n v="2.9831848636857054E-2"/>
    <n v="2.0723588611051857"/>
    <n v="0"/>
    <n v="2.0723588611051857"/>
  </r>
  <r>
    <x v="1"/>
    <x v="4"/>
    <x v="1"/>
    <s v="Konventionel"/>
    <x v="2"/>
    <s v="Grøntsager"/>
    <n v="1.4040654632499296E-4"/>
    <n v="4.078810170741045E-3"/>
    <n v="0"/>
    <n v="4.078810170741045E-3"/>
  </r>
  <r>
    <x v="1"/>
    <x v="5"/>
    <x v="1"/>
    <s v="Konventionel"/>
    <x v="2"/>
    <s v="Kartofler"/>
    <n v="8.0030056464171814E-4"/>
    <n v="4.7585278758363492E-2"/>
    <n v="0"/>
    <n v="4.7585278758363492E-2"/>
  </r>
  <r>
    <x v="1"/>
    <x v="6"/>
    <x v="1"/>
    <s v="Konventionel"/>
    <x v="2"/>
    <s v="Roer"/>
    <n v="9.2161460426674424E-4"/>
    <n v="0.1048384756399913"/>
    <n v="0"/>
    <n v="0.1048384756399913"/>
  </r>
  <r>
    <x v="1"/>
    <x v="7"/>
    <x v="1"/>
    <s v="Konventionel"/>
    <x v="2"/>
    <s v="Majs"/>
    <n v="9.466157148310761E-4"/>
    <n v="5.8987411653983683E-2"/>
    <n v="0"/>
    <n v="5.8987411653983683E-2"/>
  </r>
  <r>
    <x v="1"/>
    <x v="8"/>
    <x v="1"/>
    <s v="Konventionel"/>
    <x v="2"/>
    <s v="Frugt"/>
    <n v="3.4350362462884858E-4"/>
    <n v="4.0828840823384947E-3"/>
    <n v="0"/>
    <n v="4.0828840823384947E-3"/>
  </r>
  <r>
    <x v="1"/>
    <x v="9"/>
    <x v="1"/>
    <s v="Konventionel"/>
    <x v="2"/>
    <s v="Øvrige"/>
    <n v="2.452782483126852E-3"/>
    <n v="0.10231615562716326"/>
    <n v="0"/>
    <n v="0.10231615562716326"/>
  </r>
  <r>
    <x v="1"/>
    <x v="10"/>
    <x v="1"/>
    <s v="Konventionel"/>
    <x v="2"/>
    <s v="Halm"/>
    <n v="2.2953573895167008E-2"/>
    <n v="0.45917258984910614"/>
    <n v="0.10315336108488055"/>
    <n v="0.10315336108488055"/>
  </r>
  <r>
    <x v="1"/>
    <x v="11"/>
    <x v="1"/>
    <s v="Konventionel"/>
    <x v="2"/>
    <s v="Juletræer"/>
    <n v="5.3826822503920445E-4"/>
    <n v="3.7678775752744309E-2"/>
    <n v="0"/>
    <n v="3.7678775752744309E-2"/>
  </r>
  <r>
    <x v="1"/>
    <x v="12"/>
    <x v="1"/>
    <s v="Konventionel"/>
    <x v="2"/>
    <s v="Pil &amp; poppel"/>
    <n v="1.6419437573988649E-3"/>
    <n v="5.6066372203863679E-2"/>
    <n v="0"/>
    <n v="5.6066372203863679E-2"/>
  </r>
  <r>
    <x v="1"/>
    <x v="13"/>
    <x v="1"/>
    <s v="Konventionel"/>
    <x v="2"/>
    <s v="Græs"/>
    <n v="5.7100799688875818E-2"/>
    <n v="1.1023880387934366"/>
    <n v="0"/>
    <n v="1.1023880387934366"/>
  </r>
  <r>
    <x v="1"/>
    <x v="0"/>
    <x v="2"/>
    <s v="Konventionel"/>
    <x v="2"/>
    <s v="Halm"/>
    <n v="4.3639098547811596E-2"/>
    <n v="0.42827411314822295"/>
    <n v="0.23319525460920743"/>
    <n v="0.23319525460920743"/>
  </r>
  <r>
    <x v="1"/>
    <x v="1"/>
    <x v="2"/>
    <s v="Konventionel"/>
    <x v="2"/>
    <s v="Halm"/>
    <n v="7.9262993379232123E-4"/>
    <n v="4.283372162213704E-3"/>
    <n v="2.1213678053840198E-3"/>
    <n v="2.1213678053840198E-3"/>
  </r>
  <r>
    <x v="1"/>
    <x v="2"/>
    <x v="2"/>
    <s v="Konventionel"/>
    <x v="2"/>
    <s v="Halm"/>
    <n v="3.8718117580661539E-3"/>
    <n v="2.3850360429687509E-2"/>
    <n v="2.1250671142851573E-2"/>
    <n v="2.1250671142851573E-2"/>
  </r>
  <r>
    <x v="1"/>
    <x v="3"/>
    <x v="2"/>
    <s v="Konventionel"/>
    <x v="2"/>
    <s v="Græs"/>
    <n v="2.8452341185441699E-2"/>
    <n v="1.9765272374702638"/>
    <n v="0"/>
    <n v="1.9765272374702638"/>
  </r>
  <r>
    <x v="1"/>
    <x v="4"/>
    <x v="2"/>
    <s v="Konventionel"/>
    <x v="2"/>
    <s v="Grøntsager"/>
    <n v="1.3391375805562911E-4"/>
    <n v="3.8901946715160251E-3"/>
    <n v="0"/>
    <n v="3.8901946715160251E-3"/>
  </r>
  <r>
    <x v="1"/>
    <x v="5"/>
    <x v="2"/>
    <s v="Konventionel"/>
    <x v="2"/>
    <s v="Kartofler"/>
    <n v="7.6329244604556935E-4"/>
    <n v="4.5384803440057665E-2"/>
    <n v="0"/>
    <n v="4.5384803440057665E-2"/>
  </r>
  <r>
    <x v="1"/>
    <x v="6"/>
    <x v="2"/>
    <s v="Konventionel"/>
    <x v="2"/>
    <s v="Roer"/>
    <n v="8.7899658788446707E-4"/>
    <n v="9.99904536450784E-2"/>
    <n v="0"/>
    <n v="9.99904536450784E-2"/>
  </r>
  <r>
    <x v="1"/>
    <x v="7"/>
    <x v="2"/>
    <s v="Konventionel"/>
    <x v="2"/>
    <s v="Majs"/>
    <n v="9.0284157772906114E-4"/>
    <n v="5.625967007460872E-2"/>
    <n v="0"/>
    <n v="5.625967007460872E-2"/>
  </r>
  <r>
    <x v="1"/>
    <x v="8"/>
    <x v="2"/>
    <s v="Konventionel"/>
    <x v="2"/>
    <s v="Frugt"/>
    <n v="3.2761906395237006E-4"/>
    <n v="3.894080194137871E-3"/>
    <n v="0"/>
    <n v="3.894080194137871E-3"/>
  </r>
  <r>
    <x v="1"/>
    <x v="9"/>
    <x v="2"/>
    <s v="Konventionel"/>
    <x v="2"/>
    <s v="Øvrige"/>
    <n v="2.3393590156990207E-3"/>
    <n v="9.7584772707988071E-2"/>
    <n v="0"/>
    <n v="9.7584772707988071E-2"/>
  </r>
  <r>
    <x v="1"/>
    <x v="10"/>
    <x v="2"/>
    <s v="Konventionel"/>
    <x v="2"/>
    <s v="Halm"/>
    <n v="2.1892136952037899E-2"/>
    <n v="0.43793917528960996"/>
    <n v="0.12137000726209812"/>
    <n v="0.12137000726209812"/>
  </r>
  <r>
    <x v="1"/>
    <x v="11"/>
    <x v="2"/>
    <s v="Konventionel"/>
    <x v="2"/>
    <s v="Juletræer"/>
    <n v="5.1337720885242047E-4"/>
    <n v="3.5936404619669425E-2"/>
    <n v="0"/>
    <n v="3.5936404619669425E-2"/>
  </r>
  <r>
    <x v="1"/>
    <x v="12"/>
    <x v="2"/>
    <s v="Konventionel"/>
    <x v="2"/>
    <s v="Pil &amp; poppel"/>
    <n v="1.56601572237464E-3"/>
    <n v="5.3473707593280385E-2"/>
    <n v="0"/>
    <n v="5.3473707593280385E-2"/>
  </r>
  <r>
    <x v="1"/>
    <x v="13"/>
    <x v="2"/>
    <s v="Konventionel"/>
    <x v="2"/>
    <s v="Græs"/>
    <n v="5.4460300281297752E-2"/>
    <n v="1.0514105572307344"/>
    <n v="0"/>
    <n v="1.0514105572307344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7.1409433987328075E-3"/>
    <n v="4.6954416405159731E-2"/>
    <n v="2.0724505540827377E-2"/>
    <n v="2.0724505540827377E-2"/>
  </r>
  <r>
    <x v="1"/>
    <x v="1"/>
    <x v="1"/>
    <s v="Økologisk"/>
    <x v="2"/>
    <s v="Halm"/>
    <n v="1.2970308007510711E-4"/>
    <n v="3.9952180349375088E-4"/>
    <n v="1.6039118485583221E-4"/>
    <n v="1.6039118485583221E-4"/>
  </r>
  <r>
    <x v="1"/>
    <x v="2"/>
    <x v="1"/>
    <s v="Økologisk"/>
    <x v="2"/>
    <s v="Halm"/>
    <n v="6.3356919677446158E-4"/>
    <n v="2.1465324386718758E-3"/>
    <n v="1.5503330538307624E-3"/>
    <n v="1.5503330538307624E-3"/>
  </r>
  <r>
    <x v="1"/>
    <x v="3"/>
    <x v="1"/>
    <s v="Økologisk"/>
    <x v="2"/>
    <s v="Græs"/>
    <n v="4.6558376485268237E-3"/>
    <n v="0.25227674921893189"/>
    <n v="0"/>
    <n v="0.25227674921893189"/>
  </r>
  <r>
    <x v="1"/>
    <x v="4"/>
    <x v="1"/>
    <s v="Økologisk"/>
    <x v="2"/>
    <s v="Grøntsager"/>
    <n v="2.1913160409102947E-5"/>
    <n v="3.628490666341311E-4"/>
    <n v="0"/>
    <n v="3.628490666341311E-4"/>
  </r>
  <r>
    <x v="1"/>
    <x v="5"/>
    <x v="1"/>
    <s v="Økologisk"/>
    <x v="2"/>
    <s v="Kartofler"/>
    <n v="1.2490240026200229E-4"/>
    <n v="4.2331643935908337E-3"/>
    <n v="0"/>
    <n v="4.2331643935908337E-3"/>
  </r>
  <r>
    <x v="1"/>
    <x v="6"/>
    <x v="1"/>
    <s v="Økologisk"/>
    <x v="2"/>
    <s v="Roer"/>
    <n v="1.4383580529018554E-4"/>
    <n v="9.3263823127136773E-3"/>
    <n v="0"/>
    <n v="9.3263823127136773E-3"/>
  </r>
  <r>
    <x v="1"/>
    <x v="7"/>
    <x v="1"/>
    <s v="Økologisk"/>
    <x v="2"/>
    <s v="Majs"/>
    <n v="1.4773771271930092E-4"/>
    <n v="7.6410860992241307E-3"/>
    <n v="0"/>
    <n v="7.6410860992241307E-3"/>
  </r>
  <r>
    <x v="1"/>
    <x v="8"/>
    <x v="1"/>
    <s v="Økologisk"/>
    <x v="2"/>
    <s v="Frugt"/>
    <n v="5.36103922831151E-5"/>
    <n v="3.6321147992595049E-4"/>
    <n v="0"/>
    <n v="3.6321147992595049E-4"/>
  </r>
  <r>
    <x v="1"/>
    <x v="9"/>
    <x v="1"/>
    <s v="Økologisk"/>
    <x v="2"/>
    <s v="Øvrige"/>
    <n v="3.8280420256893069E-4"/>
    <n v="9.1019978907632502E-3"/>
    <n v="0"/>
    <n v="9.1019978907632502E-3"/>
  </r>
  <r>
    <x v="1"/>
    <x v="10"/>
    <x v="1"/>
    <s v="Økologisk"/>
    <x v="2"/>
    <s v="Halm"/>
    <n v="3.5823496830607472E-3"/>
    <n v="4.0847781258830901E-2"/>
    <n v="9.176475301134749E-3"/>
    <n v="9.176475301134749E-3"/>
  </r>
  <r>
    <x v="1"/>
    <x v="11"/>
    <x v="1"/>
    <s v="Økologisk"/>
    <x v="2"/>
    <s v="Juletræer"/>
    <n v="8.4007179630396072E-5"/>
    <n v="3.351886467252803E-3"/>
    <n v="0"/>
    <n v="3.351886467252803E-3"/>
  </r>
  <r>
    <x v="1"/>
    <x v="12"/>
    <x v="1"/>
    <s v="Økologisk"/>
    <x v="2"/>
    <s v="Pil &amp; poppel"/>
    <n v="2.5625711820675929E-4"/>
    <n v="4.9876385446096065E-3"/>
    <n v="0"/>
    <n v="4.9876385446096065E-3"/>
  </r>
  <r>
    <x v="1"/>
    <x v="13"/>
    <x v="1"/>
    <s v="Økologisk"/>
    <x v="2"/>
    <s v="Græs"/>
    <n v="8.9116855005759964E-3"/>
    <n v="0.17204900027412021"/>
    <n v="0"/>
    <n v="0.17204900027412021"/>
  </r>
  <r>
    <x v="1"/>
    <x v="0"/>
    <x v="2"/>
    <s v="Økologisk"/>
    <x v="2"/>
    <s v="Halm"/>
    <n v="9.2567784798388234E-3"/>
    <n v="6.0866836080762599E-2"/>
    <n v="3.3141992245975242E-2"/>
    <n v="3.3141992245975242E-2"/>
  </r>
  <r>
    <x v="1"/>
    <x v="1"/>
    <x v="2"/>
    <s v="Økologisk"/>
    <x v="2"/>
    <s v="Halm"/>
    <n v="1.6813362231958326E-4"/>
    <n v="5.1789863415856597E-4"/>
    <n v="2.5649265283279502E-4"/>
    <n v="2.5649265283279502E-4"/>
  </r>
  <r>
    <x v="1"/>
    <x v="2"/>
    <x v="2"/>
    <s v="Økologisk"/>
    <x v="2"/>
    <s v="Halm"/>
    <n v="8.2129340322615392E-4"/>
    <n v="2.7825420501302097E-3"/>
    <n v="2.4792449666660174E-3"/>
    <n v="2.4792449666660174E-3"/>
  </r>
  <r>
    <x v="1"/>
    <x v="3"/>
    <x v="2"/>
    <s v="Økologisk"/>
    <x v="2"/>
    <s v="Græs"/>
    <n v="6.0353450999421779E-3"/>
    <n v="0.32702541565417098"/>
    <n v="0"/>
    <n v="0.32702541565417098"/>
  </r>
  <r>
    <x v="1"/>
    <x v="4"/>
    <x v="2"/>
    <s v="Økologisk"/>
    <x v="2"/>
    <s v="Grøntsager"/>
    <n v="2.8405948678466784E-5"/>
    <n v="4.7035990119239225E-4"/>
    <n v="0"/>
    <n v="4.7035990119239225E-4"/>
  </r>
  <r>
    <x v="1"/>
    <x v="5"/>
    <x v="2"/>
    <s v="Økologisk"/>
    <x v="2"/>
    <s v="Kartofler"/>
    <n v="1.6191051885815108E-4"/>
    <n v="5.4874353250251532E-3"/>
    <n v="0"/>
    <n v="5.4874353250251532E-3"/>
  </r>
  <r>
    <x v="1"/>
    <x v="6"/>
    <x v="2"/>
    <s v="Økologisk"/>
    <x v="2"/>
    <s v="Roer"/>
    <n v="1.8645382167246271E-4"/>
    <n v="1.2089754849814026E-2"/>
    <n v="0"/>
    <n v="1.2089754849814026E-2"/>
  </r>
  <r>
    <x v="1"/>
    <x v="7"/>
    <x v="2"/>
    <s v="Økologisk"/>
    <x v="2"/>
    <s v="Majs"/>
    <n v="1.9151184982131597E-4"/>
    <n v="9.9051116101053494E-3"/>
    <n v="0"/>
    <n v="9.9051116101053494E-3"/>
  </r>
  <r>
    <x v="1"/>
    <x v="8"/>
    <x v="2"/>
    <s v="Økologisk"/>
    <x v="2"/>
    <s v="Frugt"/>
    <n v="6.9494952959593638E-5"/>
    <n v="4.7082969620030604E-4"/>
    <n v="0"/>
    <n v="4.7082969620030604E-4"/>
  </r>
  <r>
    <x v="1"/>
    <x v="9"/>
    <x v="2"/>
    <s v="Økologisk"/>
    <x v="2"/>
    <s v="Øvrige"/>
    <n v="4.9622766999676197E-4"/>
    <n v="1.1798886154693104E-2"/>
    <n v="0"/>
    <n v="1.1798886154693104E-2"/>
  </r>
  <r>
    <x v="1"/>
    <x v="10"/>
    <x v="2"/>
    <s v="Økologisk"/>
    <x v="2"/>
    <s v="Halm"/>
    <n v="4.6437866261898574E-3"/>
    <n v="5.2950827557743746E-2"/>
    <n v="1.4674737241690045E-2"/>
    <n v="1.4674737241690045E-2"/>
  </r>
  <r>
    <x v="1"/>
    <x v="11"/>
    <x v="2"/>
    <s v="Økologisk"/>
    <x v="2"/>
    <s v="Juletræer"/>
    <n v="1.0889819581718008E-4"/>
    <n v="4.3450380131054853E-3"/>
    <n v="0"/>
    <n v="4.3450380131054853E-3"/>
  </r>
  <r>
    <x v="1"/>
    <x v="12"/>
    <x v="2"/>
    <s v="Økologisk"/>
    <x v="2"/>
    <s v="Pil &amp; poppel"/>
    <n v="3.3218515323098425E-4"/>
    <n v="6.4654573726420821E-3"/>
    <n v="0"/>
    <n v="6.4654573726420821E-3"/>
  </r>
  <r>
    <x v="1"/>
    <x v="13"/>
    <x v="2"/>
    <s v="Økologisk"/>
    <x v="2"/>
    <s v="Græs"/>
    <n v="1.1552184908154068E-2"/>
    <n v="0.22302648183682244"/>
    <n v="0"/>
    <n v="0.2230264818368224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735284.33485275437"/>
    <n v="49206.445220713846"/>
    <n v="0"/>
    <n v="43439.71273733316"/>
    <n v="0"/>
    <n v="0"/>
    <n v="0"/>
    <n v="0"/>
    <n v="642638.17689470737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442702887.09198487"/>
    <n v="0"/>
    <n v="0"/>
    <n v="0"/>
    <n v="0"/>
    <n v="0"/>
    <n v="442702887.09198487"/>
    <n v="0"/>
    <n v="0"/>
    <n v="0"/>
    <n v="442702887.09198487"/>
    <n v="0"/>
    <n v="0"/>
    <n v="0"/>
    <n v="0"/>
    <n v="0"/>
    <n v="0"/>
    <n v="0"/>
    <n v="0"/>
    <x v="0"/>
  </r>
  <r>
    <x v="4"/>
    <s v=""/>
    <n v="0"/>
    <x v="1"/>
    <s v="Vestdanmark"/>
    <n v="18319681.436583094"/>
    <n v="0"/>
    <n v="0"/>
    <n v="0"/>
    <n v="0"/>
    <n v="14824448.951279402"/>
    <n v="0"/>
    <n v="0"/>
    <n v="3495232.485303692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2481780.8357572313"/>
    <n v="0"/>
    <n v="0"/>
    <n v="0"/>
    <n v="1538704.1181694835"/>
    <n v="0"/>
    <n v="0"/>
    <n v="0"/>
    <n v="943076.71758774784"/>
    <n v="943076.71758774784"/>
    <n v="1538704.1181694835"/>
    <n v="0.53569216814405574"/>
    <n v="1.4097162319580414"/>
    <n v="0.87402406381398567"/>
    <n v="0.53569216814405574"/>
    <n v="40329.155171576873"/>
    <n v="106129.35571467598"/>
    <n v="65800.200543099112"/>
    <n v="40329.155171576873"/>
    <x v="0"/>
  </r>
  <r>
    <x v="6"/>
    <s v="Husdyrgødning"/>
    <n v="1"/>
    <x v="1"/>
    <s v="Vestdanmark"/>
    <n v="2150858.1410453846"/>
    <n v="0"/>
    <n v="0"/>
    <n v="0"/>
    <n v="1333532.0474481385"/>
    <n v="309416.30686181458"/>
    <n v="0"/>
    <n v="0"/>
    <n v="507909.78673543152"/>
    <n v="507909.78673543152"/>
    <n v="1333532.0474481385"/>
    <n v="1.0940376806281196"/>
    <n v="3.9664657108314101"/>
    <n v="2.8724280302032903"/>
    <n v="1.0940376806281198"/>
    <n v="152372.93602062945"/>
    <n v="552432.55025507102"/>
    <n v="400059.61423444154"/>
    <n v="152372.93602062948"/>
    <x v="0"/>
  </r>
  <r>
    <x v="7"/>
    <s v=""/>
    <n v="0"/>
    <x v="1"/>
    <s v="Vestdanmark"/>
    <n v="1748012.9176534868"/>
    <n v="1757373.0435969227"/>
    <n v="0"/>
    <n v="0"/>
    <n v="0"/>
    <n v="0"/>
    <n v="0"/>
    <n v="0"/>
    <n v="-9360.1259434358217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5172.4902040381994"/>
    <n v="3170.2359315072836"/>
    <n v="0"/>
    <n v="0"/>
    <n v="0"/>
    <n v="0"/>
    <n v="5172.4902040381994"/>
    <n v="0"/>
    <n v="2.4325704180571247E-3"/>
    <n v="2.4325704180571247E-3"/>
    <n v="0"/>
    <n v="0"/>
    <n v="325.86688285440658"/>
    <n v="325.86688285440658"/>
    <n v="0"/>
    <x v="0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x v="0"/>
  </r>
  <r>
    <x v="10"/>
    <s v=""/>
    <n v="0"/>
    <x v="1"/>
    <s v="Vestdanmark"/>
    <n v="1001970.2375971108"/>
    <n v="0"/>
    <n v="0"/>
    <n v="0"/>
    <n v="0"/>
    <n v="0"/>
    <n v="0"/>
    <n v="0"/>
    <n v="1001970.2375971108"/>
    <n v="0"/>
    <n v="0"/>
    <n v="0"/>
    <n v="0"/>
    <n v="0"/>
    <n v="0"/>
    <n v="0"/>
    <n v="0"/>
    <n v="0"/>
    <n v="0"/>
    <x v="0"/>
  </r>
  <r>
    <x v="11"/>
    <s v=""/>
    <n v="0"/>
    <x v="1"/>
    <s v="Vestdanmark"/>
    <n v="139807.2046539399"/>
    <n v="0"/>
    <n v="0"/>
    <n v="257923.29437791562"/>
    <n v="0"/>
    <n v="0"/>
    <n v="0"/>
    <n v="0"/>
    <n v="-118116.08972397572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3481475.447011745"/>
    <n v="9936191.571616387"/>
    <n v="0"/>
    <n v="0"/>
    <n v="0"/>
    <n v="0"/>
    <n v="0"/>
    <n v="5078828.5991281262"/>
    <n v="-1533544.7237327676"/>
    <n v="0"/>
    <n v="0"/>
    <n v="0"/>
    <n v="0"/>
    <n v="0"/>
    <n v="0"/>
    <n v="0"/>
    <n v="0"/>
    <n v="0"/>
    <n v="0"/>
    <x v="0"/>
  </r>
  <r>
    <x v="14"/>
    <s v=""/>
    <n v="0"/>
    <x v="1"/>
    <s v="Vestdanmark"/>
    <n v="849034.84571740788"/>
    <n v="849034.8457174078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502657.2310032574"/>
    <n v="0"/>
    <n v="0"/>
    <n v="270140.71358529059"/>
    <n v="0"/>
    <n v="0"/>
    <n v="0"/>
    <n v="0"/>
    <n v="1232516.5174179669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2924190.6957464674"/>
    <n v="561023.48468616733"/>
    <n v="583713.23835090676"/>
    <n v="0"/>
    <n v="0"/>
    <n v="0"/>
    <n v="694779.36433719518"/>
    <n v="1084674.6083721975"/>
    <n v="0"/>
    <n v="0"/>
    <n v="694779.36433719518"/>
    <n v="0"/>
    <n v="7.1811049582161264"/>
    <n v="0"/>
    <n v="7.1811049582161264"/>
    <n v="0"/>
    <n v="590562.45968661585"/>
    <n v="0"/>
    <n v="590562.45968661585"/>
    <x v="0"/>
  </r>
  <r>
    <x v="17"/>
    <s v="Bionedbrydeligt affald"/>
    <n v="1"/>
    <x v="1"/>
    <s v="Vestdanmark"/>
    <n v="526734.10986839118"/>
    <n v="0"/>
    <n v="0"/>
    <n v="0"/>
    <n v="428758.06783893198"/>
    <n v="0"/>
    <n v="97976.042029459204"/>
    <n v="0"/>
    <n v="0"/>
    <n v="0"/>
    <n v="526734.10986839118"/>
    <n v="0"/>
    <n v="2.4771511203079672"/>
    <n v="0.72806121225525533"/>
    <n v="1.7490899080527118"/>
    <n v="0"/>
    <n v="158020.23296051734"/>
    <n v="128627.42035167958"/>
    <n v="29392.812608837761"/>
    <x v="0"/>
  </r>
  <r>
    <x v="18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1"/>
    <s v="Vestdanmark"/>
    <n v="458632.55661358172"/>
    <n v="0"/>
    <n v="0"/>
    <n v="0"/>
    <n v="420706.10687194945"/>
    <n v="0"/>
    <n v="0"/>
    <n v="0"/>
    <n v="37926.44974163227"/>
    <n v="37926.44974163227"/>
    <n v="420706.10687194945"/>
    <n v="0.16434023716895907"/>
    <n v="1.7138683521085021"/>
    <n v="1.549528114939543"/>
    <n v="0.16434023716895907"/>
    <n v="15929.108891485554"/>
    <n v="192625.6737777043"/>
    <n v="176696.56488621875"/>
    <n v="15929.10889148555"/>
    <x v="0"/>
  </r>
  <r>
    <x v="20"/>
    <s v=""/>
    <n v="0"/>
    <x v="1"/>
    <s v="Vestdanmark"/>
    <n v="644035.8493924035"/>
    <n v="0"/>
    <n v="0"/>
    <n v="0"/>
    <n v="0"/>
    <n v="0"/>
    <n v="0"/>
    <n v="0"/>
    <n v="644035.8493924035"/>
    <n v="0"/>
    <n v="0"/>
    <n v="0"/>
    <n v="0"/>
    <n v="0"/>
    <n v="0"/>
    <n v="0"/>
    <n v="0"/>
    <n v="0"/>
    <n v="0"/>
    <x v="0"/>
  </r>
  <r>
    <x v="21"/>
    <s v=""/>
    <n v="0"/>
    <x v="1"/>
    <s v="Vestdanmark"/>
    <n v="2153496.967481425"/>
    <n v="0"/>
    <n v="0"/>
    <n v="123531.68309679118"/>
    <n v="0"/>
    <n v="0"/>
    <n v="0"/>
    <n v="0"/>
    <n v="2029965.2843846339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4836920.0011490174"/>
    <n v="4738960.0403951732"/>
    <n v="0"/>
    <n v="295933.04302308214"/>
    <n v="0"/>
    <n v="0"/>
    <n v="0"/>
    <n v="0"/>
    <n v="-197973.08226923831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1144486.0287738238"/>
    <n v="0"/>
    <n v="0"/>
    <n v="-1144486.0287738238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386797.369068628"/>
    <n v="0"/>
    <n v="0"/>
    <n v="0"/>
    <n v="6439814.3688225495"/>
    <n v="3946983.0002460787"/>
    <n v="0"/>
    <n v="0"/>
    <n v="0"/>
    <n v="0"/>
    <n v="6439814.3688225495"/>
    <n v="0"/>
    <n v="3.2597696353542869"/>
    <n v="3.2597696353542869"/>
    <n v="0"/>
    <n v="0"/>
    <n v="489425.89203051373"/>
    <n v="489425.89203051373"/>
    <n v="0"/>
    <x v="0"/>
  </r>
  <r>
    <x v="25"/>
    <s v=""/>
    <n v="0"/>
    <x v="1"/>
    <s v="Vestdanmark"/>
    <n v="1296795.0922933305"/>
    <n v="1106692.197418018"/>
    <n v="0"/>
    <n v="0"/>
    <n v="0"/>
    <n v="0"/>
    <n v="0"/>
    <n v="0"/>
    <n v="190102.89487531246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4026803.5120526911"/>
    <n v="4627957.3505216967"/>
    <n v="0"/>
    <n v="0"/>
    <n v="0"/>
    <n v="0"/>
    <n v="0"/>
    <n v="0"/>
    <n v="-601153.83846900566"/>
    <n v="0"/>
    <n v="0"/>
    <n v="0"/>
    <n v="0"/>
    <n v="0"/>
    <n v="0"/>
    <n v="0"/>
    <n v="0"/>
    <n v="0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84934.510833187902"/>
    <n v="0"/>
    <n v="0"/>
    <n v="48022.602431121806"/>
    <n v="0"/>
    <n v="0"/>
    <n v="0"/>
    <n v="0"/>
    <n v="36911.908402066096"/>
    <n v="0"/>
    <n v="0"/>
    <n v="0"/>
    <n v="0"/>
    <n v="0"/>
    <n v="0"/>
    <n v="0"/>
    <n v="0"/>
    <n v="0"/>
    <n v="0"/>
    <x v="0"/>
  </r>
  <r>
    <x v="30"/>
    <s v=""/>
    <n v="0"/>
    <x v="1"/>
    <s v="Vestdanmark"/>
    <n v="1412647.5447842737"/>
    <n v="0"/>
    <n v="0"/>
    <n v="0"/>
    <n v="0"/>
    <n v="0"/>
    <n v="0"/>
    <n v="0"/>
    <n v="1412647.5447842737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34802.2173997864"/>
    <n v="0"/>
    <n v="0"/>
    <n v="0"/>
    <n v="0"/>
    <n v="0"/>
    <n v="134802.2173997864"/>
    <n v="0"/>
    <n v="0"/>
    <n v="0"/>
    <n v="134802.2173997864"/>
    <n v="0"/>
    <n v="2.4803608001560695"/>
    <n v="0"/>
    <n v="2.4803608001560695"/>
    <n v="0"/>
    <n v="55942.920220911365"/>
    <n v="0"/>
    <n v="55942.920220911365"/>
    <x v="0"/>
  </r>
  <r>
    <x v="32"/>
    <s v="Pyrolyseprodukter"/>
    <n v="1"/>
    <x v="1"/>
    <s v="Vestdanmark"/>
    <n v="607417.78068843065"/>
    <n v="0"/>
    <n v="0"/>
    <n v="0"/>
    <n v="0"/>
    <n v="0"/>
    <n v="607417.78068843065"/>
    <n v="0"/>
    <n v="0"/>
    <n v="0"/>
    <n v="607417.78068843065"/>
    <n v="0"/>
    <n v="5.4433310546550349"/>
    <n v="0"/>
    <n v="5.4433310546550349"/>
    <n v="0"/>
    <n v="0"/>
    <n v="0"/>
    <n v="0"/>
    <x v="0"/>
  </r>
  <r>
    <x v="33"/>
    <s v="Pyrolyseprodukter"/>
    <n v="1"/>
    <x v="1"/>
    <s v="Vestdanmark"/>
    <n v="151854.44517210766"/>
    <n v="0"/>
    <n v="0"/>
    <n v="0"/>
    <n v="0"/>
    <n v="0"/>
    <n v="151854.44517210766"/>
    <n v="0"/>
    <n v="0"/>
    <n v="0"/>
    <n v="151854.44517210766"/>
    <n v="0"/>
    <n v="5.0519804559543458"/>
    <n v="0"/>
    <n v="5.0519804559543458"/>
    <n v="0"/>
    <n v="0"/>
    <n v="0"/>
    <n v="0"/>
    <x v="0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x v="0"/>
  </r>
  <r>
    <x v="35"/>
    <s v=""/>
    <n v="0"/>
    <x v="1"/>
    <s v="Vestdanmark"/>
    <n v="663977.87373411702"/>
    <n v="0"/>
    <n v="0"/>
    <n v="0"/>
    <n v="0"/>
    <n v="0"/>
    <n v="0"/>
    <n v="663977.87373411702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331988.93686705851"/>
    <n v="158593.80217920942"/>
    <n v="0"/>
    <n v="0"/>
    <n v="0"/>
    <n v="0"/>
    <n v="0"/>
    <n v="0"/>
    <n v="173395.13468784909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212472.91959491745"/>
    <n v="0"/>
    <n v="0"/>
    <n v="0"/>
    <n v="0"/>
    <n v="0"/>
    <n v="212472.91959491745"/>
    <n v="0"/>
    <n v="0"/>
    <n v="0"/>
    <n v="212472.91959491745"/>
    <n v="0"/>
    <n v="7.4365521858221095"/>
    <n v="0"/>
    <n v="7.4365521858221095"/>
    <n v="0"/>
    <n v="0"/>
    <n v="0"/>
    <n v="0"/>
    <x v="0"/>
  </r>
  <r>
    <x v="38"/>
    <s v="Græs og urter"/>
    <n v="1"/>
    <x v="1"/>
    <s v="Vestdanmark"/>
    <n v="668679.49055744556"/>
    <n v="700073.51609470148"/>
    <n v="0"/>
    <n v="0"/>
    <n v="0"/>
    <n v="0"/>
    <n v="0"/>
    <n v="0"/>
    <n v="-31394.025537255919"/>
    <n v="0"/>
    <n v="0"/>
    <n v="0"/>
    <n v="0"/>
    <n v="0"/>
    <n v="0"/>
    <n v="0"/>
    <n v="0"/>
    <n v="0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8768.714416319999"/>
    <n v="0"/>
    <n v="0"/>
    <n v="0"/>
    <n v="0"/>
    <n v="0"/>
    <n v="0"/>
    <n v="64985.94775470103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974779.4199139304"/>
    <n v="0"/>
    <n v="0"/>
    <n v="0"/>
    <n v="1974779.4199139304"/>
    <n v="1974779.4199139304"/>
    <n v="1974779.4199139304"/>
    <n v="0.98543467833125054"/>
    <n v="1.9708693566625011"/>
    <n v="0.98543467833125054"/>
    <n v="0.98543467833125054"/>
    <n v="118486.76519483581"/>
    <n v="236973.53038967162"/>
    <n v="118486.76519483581"/>
    <n v="118486.76519483581"/>
    <x v="0"/>
  </r>
  <r>
    <x v="42"/>
    <s v="Husdyrgødning"/>
    <n v="1"/>
    <x v="1"/>
    <s v="Vestdanmark"/>
    <n v="12059866.540704856"/>
    <n v="0"/>
    <n v="0"/>
    <n v="0"/>
    <n v="7477117.2552370103"/>
    <n v="4582749.2854678454"/>
    <n v="0"/>
    <n v="0"/>
    <n v="0"/>
    <n v="0"/>
    <n v="7477117.2552370103"/>
    <n v="0"/>
    <n v="3.2211421135561045"/>
    <n v="3.2211421135561045"/>
    <n v="0"/>
    <n v="0"/>
    <n v="373855.86276185053"/>
    <n v="373855.86276185053"/>
    <n v="0"/>
    <x v="0"/>
  </r>
  <r>
    <x v="43"/>
    <s v=""/>
    <n v="0"/>
    <x v="1"/>
    <s v="Vestdanmark"/>
    <n v="1102410.4206254377"/>
    <n v="0"/>
    <n v="0"/>
    <n v="97500.435238944279"/>
    <n v="0"/>
    <n v="0"/>
    <n v="0"/>
    <n v="0"/>
    <n v="1004909.9853864935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26876.9610476061"/>
    <n v="0"/>
    <n v="0"/>
    <n v="0"/>
    <n v="0"/>
    <n v="0"/>
    <n v="2226876.9610476061"/>
    <n v="0"/>
    <n v="0"/>
    <n v="0"/>
    <n v="2226876.9610476061"/>
    <n v="0"/>
    <n v="32.275394668492638"/>
    <n v="0"/>
    <n v="32.275394668492638"/>
    <n v="0"/>
    <n v="1101376.2303181284"/>
    <n v="0"/>
    <n v="1101376.2303181284"/>
    <x v="0"/>
  </r>
  <r>
    <x v="47"/>
    <s v=""/>
    <n v="0"/>
    <x v="1"/>
    <s v="Vestdanmark"/>
    <n v="613716.58108207851"/>
    <n v="0"/>
    <n v="0"/>
    <n v="0"/>
    <n v="0"/>
    <n v="0"/>
    <n v="0"/>
    <n v="613716.58108207851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609158.83584090974"/>
    <n v="31434.479653499999"/>
    <n v="0"/>
    <n v="112833.22962148272"/>
    <n v="0"/>
    <n v="0"/>
    <n v="0"/>
    <n v="0"/>
    <n v="464891.12656592706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52644993.79872894"/>
    <n v="0"/>
    <n v="0"/>
    <n v="0"/>
    <n v="0"/>
    <n v="0"/>
    <n v="452644993.79872894"/>
    <n v="0"/>
    <n v="0"/>
    <n v="0"/>
    <n v="452644993.79872894"/>
    <n v="0"/>
    <n v="0"/>
    <n v="0"/>
    <n v="0"/>
    <n v="0"/>
    <n v="0"/>
    <n v="0"/>
    <n v="0"/>
    <x v="0"/>
  </r>
  <r>
    <x v="4"/>
    <s v=""/>
    <n v="0"/>
    <x v="2"/>
    <s v="Vestdanmark"/>
    <n v="16711149.491198121"/>
    <n v="0"/>
    <n v="0"/>
    <n v="0"/>
    <n v="0"/>
    <n v="11134649.546942962"/>
    <n v="0"/>
    <n v="0"/>
    <n v="5576499.9442551583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585432.3318038937"/>
    <n v="0"/>
    <n v="0"/>
    <n v="0"/>
    <n v="1268345.8654431151"/>
    <n v="0"/>
    <n v="0"/>
    <n v="0"/>
    <n v="317086.46636077855"/>
    <n v="317086.46636077855"/>
    <n v="1268345.8654431151"/>
    <n v="0.1801133815374231"/>
    <n v="0.900566907687116"/>
    <n v="0.72045352614969294"/>
    <n v="0.18011338153742307"/>
    <n v="13559.691450532489"/>
    <n v="67798.457252662498"/>
    <n v="54238.765802130001"/>
    <n v="13559.691450532497"/>
    <x v="0"/>
  </r>
  <r>
    <x v="6"/>
    <s v="Husdyrgødning"/>
    <n v="1"/>
    <x v="2"/>
    <s v="Vestdanmark"/>
    <n v="1458137.3135203668"/>
    <n v="0"/>
    <n v="0"/>
    <n v="0"/>
    <n v="1166509.8508162934"/>
    <n v="110401.82516654204"/>
    <n v="0"/>
    <n v="0"/>
    <n v="181225.63753753132"/>
    <n v="181225.63753753132"/>
    <n v="1166509.8508162934"/>
    <n v="0.39036002325584246"/>
    <n v="2.9030222419141385"/>
    <n v="2.5126622186582961"/>
    <n v="0.3903600232558424"/>
    <n v="54367.691261259395"/>
    <n v="404320.6465061474"/>
    <n v="349952.95524488803"/>
    <n v="54367.691261259373"/>
    <x v="0"/>
  </r>
  <r>
    <x v="7"/>
    <s v=""/>
    <n v="0"/>
    <x v="2"/>
    <s v="Vestdanmark"/>
    <n v="1116680.4723967942"/>
    <n v="1122659.9876249996"/>
    <n v="0"/>
    <n v="0"/>
    <n v="0"/>
    <n v="0"/>
    <n v="0"/>
    <n v="0"/>
    <n v="-5979.5152282053605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6892.4253779859373"/>
    <n v="1723.1063444964839"/>
    <n v="0"/>
    <n v="0"/>
    <n v="0"/>
    <n v="0"/>
    <n v="6892.4253779859373"/>
    <n v="0"/>
    <n v="3.2414387310130063E-3"/>
    <n v="3.2414387310130063E-3"/>
    <n v="0"/>
    <n v="0"/>
    <n v="434.22279881311403"/>
    <n v="434.22279881311403"/>
    <n v="0"/>
    <x v="0"/>
  </r>
  <r>
    <x v="9"/>
    <s v=""/>
    <n v="0"/>
    <x v="2"/>
    <s v="Vestdanmark"/>
    <n v="173658.75124992887"/>
    <n v="0"/>
    <n v="0"/>
    <n v="18335.399813490942"/>
    <n v="0"/>
    <n v="0"/>
    <n v="0"/>
    <n v="0"/>
    <n v="155323.35143643792"/>
    <n v="0"/>
    <n v="0"/>
    <n v="0"/>
    <n v="0"/>
    <n v="0"/>
    <n v="0"/>
    <n v="0"/>
    <n v="0"/>
    <n v="0"/>
    <n v="0"/>
    <x v="0"/>
  </r>
  <r>
    <x v="10"/>
    <s v=""/>
    <n v="0"/>
    <x v="2"/>
    <s v="Vestdanmark"/>
    <n v="792091.46065631567"/>
    <n v="0"/>
    <n v="0"/>
    <n v="0"/>
    <n v="0"/>
    <n v="0"/>
    <n v="0"/>
    <n v="0"/>
    <n v="792091.46065631567"/>
    <n v="0"/>
    <n v="0"/>
    <n v="0"/>
    <n v="0"/>
    <n v="0"/>
    <n v="0"/>
    <n v="0"/>
    <n v="0"/>
    <n v="0"/>
    <n v="0"/>
    <x v="0"/>
  </r>
  <r>
    <x v="11"/>
    <s v=""/>
    <n v="0"/>
    <x v="2"/>
    <s v="Vestdanmark"/>
    <n v="116507.263767978"/>
    <n v="0"/>
    <n v="0"/>
    <n v="267978.92035102146"/>
    <n v="0"/>
    <n v="0"/>
    <n v="0"/>
    <n v="0"/>
    <n v="-151471.65658304346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7962057.7199019091"/>
    <n v="6347522.3700933373"/>
    <n v="0"/>
    <n v="0"/>
    <n v="0"/>
    <n v="0"/>
    <n v="0"/>
    <n v="3244500.462221988"/>
    <n v="-1629965.1124134166"/>
    <n v="0"/>
    <n v="0"/>
    <n v="0"/>
    <n v="0"/>
    <n v="0"/>
    <n v="0"/>
    <n v="0"/>
    <n v="0"/>
    <n v="0"/>
    <n v="0"/>
    <x v="0"/>
  </r>
  <r>
    <x v="14"/>
    <s v=""/>
    <n v="0"/>
    <x v="2"/>
    <s v="Vestdanmark"/>
    <n v="542387.65802129998"/>
    <n v="542387.6580212999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257296.7096095001"/>
    <n v="0"/>
    <n v="0"/>
    <n v="280672.65868343826"/>
    <n v="0"/>
    <n v="0"/>
    <n v="0"/>
    <n v="0"/>
    <n v="976624.05092606181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2932613.2066284004"/>
    <n v="358397.79190306552"/>
    <n v="367504.60397489293"/>
    <n v="0"/>
    <n v="0"/>
    <n v="0"/>
    <n v="413997.02302441839"/>
    <n v="1792713.787726023"/>
    <n v="0"/>
    <n v="0"/>
    <n v="413997.02302441839"/>
    <n v="0"/>
    <n v="4.2789930549585398"/>
    <n v="0"/>
    <n v="4.2789930549585398"/>
    <n v="0"/>
    <n v="351897.46957075561"/>
    <n v="0"/>
    <n v="351897.46957075561"/>
    <x v="0"/>
  </r>
  <r>
    <x v="17"/>
    <s v="Bionedbrydeligt affald"/>
    <n v="1"/>
    <x v="2"/>
    <s v="Vestdanmark"/>
    <n v="524881.97503939818"/>
    <n v="0"/>
    <n v="0"/>
    <n v="0"/>
    <n v="427250.44238658639"/>
    <n v="0"/>
    <n v="97631.532652811788"/>
    <n v="0"/>
    <n v="0"/>
    <n v="0"/>
    <n v="524881.97503939818"/>
    <n v="0"/>
    <n v="2.468440809392753"/>
    <n v="0.72550115870339082"/>
    <n v="1.7429396506893622"/>
    <n v="0"/>
    <n v="157464.59251181944"/>
    <n v="128175.13271597591"/>
    <n v="29289.459795843533"/>
    <x v="0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Vestdanmark"/>
    <n v="359965.86402345594"/>
    <n v="0"/>
    <n v="0"/>
    <n v="0"/>
    <n v="330372.74489675317"/>
    <n v="0"/>
    <n v="0"/>
    <n v="0"/>
    <n v="29593.119126702775"/>
    <n v="29593.119126702775"/>
    <n v="330372.74489675317"/>
    <n v="0.1282308322814896"/>
    <n v="1.3450466765617874"/>
    <n v="1.2168158442802979"/>
    <n v="0.12823083228148957"/>
    <n v="12429.110033215165"/>
    <n v="151185.66288985149"/>
    <n v="138756.55285663632"/>
    <n v="12429.110033215169"/>
    <x v="0"/>
  </r>
  <r>
    <x v="20"/>
    <s v=""/>
    <n v="0"/>
    <x v="2"/>
    <s v="Vestdanmark"/>
    <n v="520573.94312179892"/>
    <n v="0"/>
    <n v="0"/>
    <n v="0"/>
    <n v="0"/>
    <n v="0"/>
    <n v="0"/>
    <n v="0"/>
    <n v="520573.94312179892"/>
    <n v="0"/>
    <n v="0"/>
    <n v="0"/>
    <n v="0"/>
    <n v="0"/>
    <n v="0"/>
    <n v="0"/>
    <n v="0"/>
    <n v="0"/>
    <n v="0"/>
    <x v="0"/>
  </r>
  <r>
    <x v="21"/>
    <s v=""/>
    <n v="0"/>
    <x v="2"/>
    <s v="Vestdanmark"/>
    <n v="1748472.631855153"/>
    <n v="0"/>
    <n v="0"/>
    <n v="128347.79869443661"/>
    <n v="0"/>
    <n v="0"/>
    <n v="0"/>
    <n v="0"/>
    <n v="1620124.8331607163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3920720.3662957777"/>
    <n v="3027382.7402155618"/>
    <n v="0"/>
    <n v="307470.55071854044"/>
    <n v="0"/>
    <n v="0"/>
    <n v="0"/>
    <n v="0"/>
    <n v="585867.07536167558"/>
    <n v="585867.07536167558"/>
    <n v="0"/>
    <n v="2.0065127117231887"/>
    <n v="2.0065127117231887"/>
    <n v="0"/>
    <n v="2.0065127117231887"/>
    <n v="181618.79336211944"/>
    <n v="181618.79336211944"/>
    <n v="0"/>
    <n v="181618.79336211944"/>
    <x v="0"/>
  </r>
  <r>
    <x v="23"/>
    <s v=""/>
    <n v="0"/>
    <x v="2"/>
    <s v="Vestdanmark"/>
    <n v="0"/>
    <n v="0"/>
    <n v="0"/>
    <n v="0"/>
    <n v="0"/>
    <n v="1136583.5049650094"/>
    <n v="0"/>
    <n v="0"/>
    <n v="-1136583.5049650094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6367703.2512749117"/>
    <n v="0"/>
    <n v="0"/>
    <n v="0"/>
    <n v="5094162.6010199301"/>
    <n v="1273540.6502549821"/>
    <n v="0"/>
    <n v="0"/>
    <n v="0"/>
    <n v="0"/>
    <n v="5094162.6010199301"/>
    <n v="0"/>
    <n v="2.5786141670102789"/>
    <n v="2.5786141670102789"/>
    <n v="0"/>
    <n v="0"/>
    <n v="387156.35767751466"/>
    <n v="387156.35767751466"/>
    <n v="0"/>
    <x v="0"/>
  </r>
  <r>
    <x v="25"/>
    <s v=""/>
    <n v="0"/>
    <x v="2"/>
    <s v="Vestdanmark"/>
    <n v="795441.73503903183"/>
    <n v="706986.51785111031"/>
    <n v="0"/>
    <n v="0"/>
    <n v="0"/>
    <n v="0"/>
    <n v="0"/>
    <n v="0"/>
    <n v="88455.217187921517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3204301.4084430053"/>
    <n v="2956471.058206012"/>
    <n v="0"/>
    <n v="0"/>
    <n v="550329.17750715138"/>
    <n v="0"/>
    <n v="0"/>
    <n v="0"/>
    <n v="-302498.8272701581"/>
    <n v="0"/>
    <n v="550329.17750715138"/>
    <n v="0"/>
    <n v="1.9756817472506736"/>
    <n v="1.9756817472506736"/>
    <n v="0"/>
    <n v="0"/>
    <n v="165098.7532521454"/>
    <n v="165098.7532521454"/>
    <n v="0"/>
    <x v="0"/>
  </r>
  <r>
    <x v="27"/>
    <s v=""/>
    <n v="0"/>
    <x v="2"/>
    <s v="Vestdanmark"/>
    <n v="1534789.7228421343"/>
    <n v="0"/>
    <n v="0"/>
    <n v="490824.54885344987"/>
    <n v="0"/>
    <n v="0"/>
    <n v="0"/>
    <n v="0"/>
    <n v="1043965.1739886844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51394.057868840908"/>
    <n v="0"/>
    <n v="0"/>
    <n v="31184.283836637289"/>
    <n v="0"/>
    <n v="0"/>
    <n v="0"/>
    <n v="0"/>
    <n v="20209.774032203619"/>
    <n v="0"/>
    <n v="0"/>
    <n v="0"/>
    <n v="0"/>
    <n v="0"/>
    <n v="0"/>
    <n v="0"/>
    <n v="0"/>
    <n v="0"/>
    <n v="0"/>
    <x v="1"/>
  </r>
  <r>
    <x v="30"/>
    <s v=""/>
    <n v="0"/>
    <x v="2"/>
    <s v="Vestdanmark"/>
    <n v="1143602.1995332621"/>
    <n v="0"/>
    <n v="0"/>
    <n v="0"/>
    <n v="0"/>
    <n v="0"/>
    <n v="0"/>
    <n v="0"/>
    <n v="1143602.1995332621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97651.319921337825"/>
    <n v="0"/>
    <n v="0"/>
    <n v="0"/>
    <n v="0"/>
    <n v="0"/>
    <n v="97651.319921337825"/>
    <n v="0"/>
    <n v="0"/>
    <n v="0"/>
    <n v="97651.319921337825"/>
    <n v="0"/>
    <n v="1.7967842865526156"/>
    <n v="0"/>
    <n v="1.7967842865526156"/>
    <n v="0"/>
    <n v="40525.297767355201"/>
    <n v="0"/>
    <n v="40525.297767355201"/>
    <x v="0"/>
  </r>
  <r>
    <x v="32"/>
    <s v="Pyrolyseprodukter"/>
    <n v="1"/>
    <x v="2"/>
    <s v="Vestdanmark"/>
    <n v="1003919.7211265729"/>
    <n v="0"/>
    <n v="0"/>
    <n v="0"/>
    <n v="0"/>
    <n v="0"/>
    <n v="1003919.7211265729"/>
    <n v="0"/>
    <n v="0"/>
    <n v="0"/>
    <n v="1003919.7211265729"/>
    <n v="0"/>
    <n v="8.9965548723242712"/>
    <n v="0"/>
    <n v="8.9965548723242712"/>
    <n v="0"/>
    <n v="0"/>
    <n v="0"/>
    <n v="0"/>
    <x v="0"/>
  </r>
  <r>
    <x v="33"/>
    <s v="Pyrolyseprodukter"/>
    <n v="1"/>
    <x v="2"/>
    <s v="Vestdanmark"/>
    <n v="250979.93028164323"/>
    <n v="0"/>
    <n v="0"/>
    <n v="0"/>
    <n v="0"/>
    <n v="0"/>
    <n v="250979.93028164323"/>
    <n v="0"/>
    <n v="0"/>
    <n v="0"/>
    <n v="250979.93028164323"/>
    <n v="0"/>
    <n v="8.349743737712723"/>
    <n v="0"/>
    <n v="8.349743737712723"/>
    <n v="0"/>
    <n v="0"/>
    <n v="0"/>
    <n v="0"/>
    <x v="0"/>
  </r>
  <r>
    <x v="34"/>
    <s v=""/>
    <n v="0"/>
    <x v="2"/>
    <s v="Vestdanmark"/>
    <n v="2389980.9824422216"/>
    <n v="0"/>
    <n v="0"/>
    <n v="0"/>
    <n v="0"/>
    <n v="0"/>
    <n v="0"/>
    <n v="0"/>
    <n v="2389980.9824422216"/>
    <n v="0"/>
    <n v="0"/>
    <n v="0"/>
    <n v="0"/>
    <n v="0"/>
    <n v="0"/>
    <n v="0"/>
    <n v="0"/>
    <n v="0"/>
    <n v="0"/>
    <x v="0"/>
  </r>
  <r>
    <x v="35"/>
    <s v=""/>
    <n v="0"/>
    <x v="2"/>
    <s v="Vestdanmark"/>
    <n v="547384.79935736058"/>
    <n v="0"/>
    <n v="0"/>
    <n v="0"/>
    <n v="0"/>
    <n v="0"/>
    <n v="0"/>
    <n v="547384.79935736058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73692.39967868029"/>
    <n v="101314.24095790923"/>
    <n v="0"/>
    <n v="0"/>
    <n v="0"/>
    <n v="0"/>
    <n v="0"/>
    <n v="0"/>
    <n v="172378.15872077105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75163.13579435539"/>
    <n v="0"/>
    <n v="0"/>
    <n v="0"/>
    <n v="0"/>
    <n v="0"/>
    <n v="175163.13579435539"/>
    <n v="0"/>
    <n v="0"/>
    <n v="0"/>
    <n v="175163.13579435539"/>
    <n v="0"/>
    <n v="6.1307097528024377"/>
    <n v="0"/>
    <n v="6.1307097528024377"/>
    <n v="0"/>
    <n v="0"/>
    <n v="0"/>
    <n v="0"/>
    <x v="0"/>
  </r>
  <r>
    <x v="38"/>
    <s v="Græs og urter"/>
    <n v="1"/>
    <x v="2"/>
    <s v="Vestdanmark"/>
    <n v="557517.61958207632"/>
    <n v="447226.91507024999"/>
    <n v="0"/>
    <n v="0"/>
    <n v="0"/>
    <n v="0"/>
    <n v="0"/>
    <n v="0"/>
    <n v="110290.70451182633"/>
    <n v="110290.70451182633"/>
    <n v="0"/>
    <n v="0.29933338367327716"/>
    <n v="0.29933338367327716"/>
    <n v="0"/>
    <n v="0.29933338367327716"/>
    <n v="22058.140902365267"/>
    <n v="22058.140902365267"/>
    <n v="0"/>
    <n v="22058.140902365267"/>
    <x v="0"/>
  </r>
  <r>
    <x v="39"/>
    <s v=""/>
    <n v="0"/>
    <x v="2"/>
    <s v="Vestdanmark"/>
    <n v="92783.580859109119"/>
    <n v="0"/>
    <n v="0"/>
    <n v="0"/>
    <n v="0"/>
    <n v="0"/>
    <n v="0"/>
    <n v="0"/>
    <n v="92783.580859109119"/>
    <n v="0"/>
    <n v="0"/>
    <n v="0"/>
    <n v="0"/>
    <n v="0"/>
    <n v="0"/>
    <n v="0"/>
    <n v="0"/>
    <n v="0"/>
    <n v="0"/>
    <x v="0"/>
  </r>
  <r>
    <x v="40"/>
    <s v=""/>
    <n v="0"/>
    <x v="2"/>
    <s v="Vestdanmark"/>
    <n v="63050.124133731362"/>
    <n v="24766.559727"/>
    <n v="0"/>
    <n v="0"/>
    <n v="0"/>
    <n v="0"/>
    <n v="0"/>
    <n v="0"/>
    <n v="38283.564406731362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62083.073222735"/>
    <n v="0"/>
    <n v="0"/>
    <n v="0"/>
    <n v="3249666.458578188"/>
    <n v="0"/>
    <n v="0"/>
    <n v="0"/>
    <n v="812416.61464454699"/>
    <n v="812416.61464454699"/>
    <n v="3249666.458578188"/>
    <n v="0.40540401487377548"/>
    <n v="2.0270200743688775"/>
    <n v="1.6216160594951019"/>
    <n v="0.40540401487377564"/>
    <n v="48744.99687867282"/>
    <n v="243724.98439336408"/>
    <n v="194979.98751469128"/>
    <n v="48744.996878672799"/>
    <x v="0"/>
  </r>
  <r>
    <x v="42"/>
    <s v="Husdyrgødning"/>
    <n v="1"/>
    <x v="2"/>
    <s v="Vestdanmark"/>
    <n v="7216145.8837897805"/>
    <n v="0"/>
    <n v="0"/>
    <n v="0"/>
    <n v="5772916.7070318246"/>
    <n v="1443229.1767579557"/>
    <n v="0"/>
    <n v="0"/>
    <n v="0"/>
    <n v="0"/>
    <n v="5772916.7070318246"/>
    <n v="0"/>
    <n v="2.4869725173893107"/>
    <n v="2.4869725173893107"/>
    <n v="0"/>
    <n v="0"/>
    <n v="288645.83535159123"/>
    <n v="288645.83535159123"/>
    <n v="0"/>
    <x v="0"/>
  </r>
  <r>
    <x v="43"/>
    <s v=""/>
    <n v="0"/>
    <x v="2"/>
    <s v="Vestdanmark"/>
    <n v="670075.43744177814"/>
    <n v="0"/>
    <n v="0"/>
    <n v="63313.545971354491"/>
    <n v="0"/>
    <n v="0"/>
    <n v="0"/>
    <n v="0"/>
    <n v="606761.89147042367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347927.0937342439"/>
    <n v="0"/>
    <n v="0"/>
    <n v="0"/>
    <n v="0"/>
    <n v="0"/>
    <n v="2347927.0937342439"/>
    <n v="0"/>
    <n v="0"/>
    <n v="0"/>
    <n v="2347927.0937342439"/>
    <n v="0"/>
    <n v="34.029843107034417"/>
    <n v="0"/>
    <n v="34.029843107034417"/>
    <n v="0"/>
    <n v="1161245.6084427282"/>
    <n v="0"/>
    <n v="1161245.6084427282"/>
    <x v="0"/>
  </r>
  <r>
    <x v="47"/>
    <s v=""/>
    <n v="0"/>
    <x v="2"/>
    <s v="Vestdanmark"/>
    <n v="691748.76447704039"/>
    <n v="0"/>
    <n v="0"/>
    <n v="0"/>
    <n v="0"/>
    <n v="0"/>
    <n v="0"/>
    <n v="691748.76447704039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36972.56744938664"/>
    <n v="6025.5704593107703"/>
    <n v="0"/>
    <n v="37612.453499504722"/>
    <n v="0"/>
    <n v="0"/>
    <n v="0"/>
    <n v="0"/>
    <n v="193334.5434905711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20485929.66191712"/>
    <n v="0"/>
    <n v="0"/>
    <n v="0"/>
    <n v="0"/>
    <n v="0"/>
    <n v="120485929.66191712"/>
    <n v="0"/>
    <n v="0"/>
    <n v="0"/>
    <n v="120485929.66191712"/>
    <n v="0"/>
    <n v="0"/>
    <n v="0"/>
    <n v="0"/>
    <n v="0"/>
    <n v="0"/>
    <n v="0"/>
    <n v="0"/>
    <x v="0"/>
  </r>
  <r>
    <x v="4"/>
    <s v=""/>
    <n v="0"/>
    <x v="1"/>
    <s v="Østdanmark"/>
    <n v="3978923.4945139349"/>
    <n v="0"/>
    <n v="0"/>
    <n v="0"/>
    <n v="0"/>
    <n v="3219780.2363352538"/>
    <n v="0"/>
    <n v="0"/>
    <n v="759143.25817868114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303906.23064409656"/>
    <n v="0"/>
    <n v="0"/>
    <n v="0"/>
    <n v="188421.86299933988"/>
    <n v="0"/>
    <n v="0"/>
    <n v="0"/>
    <n v="115484.36764475668"/>
    <n v="115484.36764475668"/>
    <n v="188421.86299933988"/>
    <n v="6.559813230105413E-2"/>
    <n v="0.17262666395014245"/>
    <n v="0.10702853164908832"/>
    <n v="6.559813230105413E-2"/>
    <n v="4938.5027705378388"/>
    <n v="12996.059922467999"/>
    <n v="8057.5571519301593"/>
    <n v="4938.5027705378398"/>
    <x v="0"/>
  </r>
  <r>
    <x v="6"/>
    <s v="Husdyrgødning"/>
    <n v="1"/>
    <x v="1"/>
    <s v="Østdanmark"/>
    <n v="288837.5497709263"/>
    <n v="0"/>
    <n v="0"/>
    <n v="0"/>
    <n v="179079.28085797431"/>
    <n v="41551.344659903254"/>
    <n v="0"/>
    <n v="0"/>
    <n v="68206.924253048724"/>
    <n v="68206.924253048724"/>
    <n v="179079.28085797431"/>
    <n v="0.14691771484106694"/>
    <n v="0.53265448580914365"/>
    <n v="0.38573677096807668"/>
    <n v="0.14691771484106697"/>
    <n v="20462.077275914617"/>
    <n v="74185.861533306903"/>
    <n v="53723.78425739229"/>
    <n v="20462.077275914613"/>
    <x v="0"/>
  </r>
  <r>
    <x v="7"/>
    <s v=""/>
    <n v="0"/>
    <x v="1"/>
    <s v="Østdanmark"/>
    <n v="214052.75166417882"/>
    <n v="215198.9449753846"/>
    <n v="0"/>
    <n v="0"/>
    <n v="0"/>
    <n v="0"/>
    <n v="0"/>
    <n v="0"/>
    <n v="-1146.1933112057741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434.12519359476988"/>
    <n v="266.07673155808476"/>
    <n v="0"/>
    <n v="0"/>
    <n v="0"/>
    <n v="0"/>
    <n v="434.12519359476988"/>
    <n v="0"/>
    <n v="2.0416473729568434E-4"/>
    <n v="2.0416473729568434E-4"/>
    <n v="0"/>
    <n v="0"/>
    <n v="27.349887196470501"/>
    <n v="27.349887196470501"/>
    <n v="0"/>
    <x v="0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x v="0"/>
  </r>
  <r>
    <x v="10"/>
    <s v=""/>
    <n v="0"/>
    <x v="1"/>
    <s v="Østdanmark"/>
    <n v="325188.93567900889"/>
    <n v="0"/>
    <n v="0"/>
    <n v="0"/>
    <n v="0"/>
    <n v="0"/>
    <n v="0"/>
    <n v="0"/>
    <n v="325188.93567900889"/>
    <n v="0"/>
    <n v="0"/>
    <n v="0"/>
    <n v="0"/>
    <n v="0"/>
    <n v="0"/>
    <n v="0"/>
    <n v="0"/>
    <n v="0"/>
    <n v="0"/>
    <x v="0"/>
  </r>
  <r>
    <x v="11"/>
    <s v=""/>
    <n v="0"/>
    <x v="1"/>
    <s v="Østdanmark"/>
    <n v="45453.077491377226"/>
    <n v="0"/>
    <n v="0"/>
    <n v="223323.94265330929"/>
    <n v="0"/>
    <n v="0"/>
    <n v="0"/>
    <n v="0"/>
    <n v="-177870.86516193207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4023735.0007342594"/>
    <n v="1216735.3716252823"/>
    <n v="0"/>
    <n v="0"/>
    <n v="0"/>
    <n v="0"/>
    <n v="0"/>
    <n v="621927.46168801945"/>
    <n v="2185072.1674209577"/>
    <n v="651527.44368819008"/>
    <n v="0"/>
    <n v="1.1987290554558088"/>
    <n v="1.1987290554558088"/>
    <n v="0"/>
    <n v="1.1987290554558088"/>
    <n v="182427.68423269325"/>
    <n v="182427.68423269325"/>
    <n v="0"/>
    <n v="182427.68423269325"/>
    <x v="0"/>
  </r>
  <r>
    <x v="14"/>
    <s v=""/>
    <n v="0"/>
    <x v="1"/>
    <s v="Østdanmark"/>
    <n v="103968.47937974399"/>
    <n v="103968.47937974401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488829.33816016692"/>
    <n v="0"/>
    <n v="0"/>
    <n v="233902.44520004498"/>
    <n v="0"/>
    <n v="0"/>
    <n v="0"/>
    <n v="0"/>
    <n v="254926.89296012194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936016.68504196673"/>
    <n v="68700.076202243421"/>
    <n v="82995.732675897758"/>
    <n v="0"/>
    <n v="0"/>
    <n v="0"/>
    <n v="388995.48453602241"/>
    <n v="395325.39162780321"/>
    <n v="0"/>
    <n v="0"/>
    <n v="388995.48453602241"/>
    <n v="0"/>
    <n v="4.0205819949620647"/>
    <n v="0"/>
    <n v="4.0205819949620647"/>
    <n v="0"/>
    <n v="330646.16185561905"/>
    <n v="0"/>
    <n v="330646.16185561905"/>
    <x v="0"/>
  </r>
  <r>
    <x v="17"/>
    <s v="Bionedbrydeligt affald"/>
    <n v="1"/>
    <x v="1"/>
    <s v="Østdanmark"/>
    <n v="456074.89013160887"/>
    <n v="0"/>
    <n v="0"/>
    <n v="0"/>
    <n v="371241.93216106802"/>
    <n v="0"/>
    <n v="84832.957970540854"/>
    <n v="0"/>
    <n v="0"/>
    <n v="0"/>
    <n v="456074.89013160887"/>
    <n v="0"/>
    <n v="2.1448514608558935"/>
    <n v="0.63039478774474478"/>
    <n v="1.5144566731111486"/>
    <n v="0"/>
    <n v="136822.46703948267"/>
    <n v="111372.5796483204"/>
    <n v="25449.887391162265"/>
    <x v="0"/>
  </r>
  <r>
    <x v="18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1"/>
    <s v="Østdanmark"/>
    <n v="195457.14989002657"/>
    <n v="0"/>
    <n v="0"/>
    <n v="0"/>
    <n v="179293.89312805064"/>
    <n v="0"/>
    <n v="0"/>
    <n v="0"/>
    <n v="16163.256761975936"/>
    <n v="16163.256761975936"/>
    <n v="179293.89312805064"/>
    <n v="7.0037492773020793E-2"/>
    <n v="0.73040567783347843"/>
    <n v="0.66036818506045758"/>
    <n v="7.0037492773020849E-2"/>
    <n v="6788.567840029893"/>
    <n v="82092.002953811156"/>
    <n v="75303.435113781263"/>
    <n v="6788.567840029893"/>
    <x v="0"/>
  </r>
  <r>
    <x v="20"/>
    <s v=""/>
    <n v="0"/>
    <x v="1"/>
    <s v="Østdanmark"/>
    <n v="204048.45051038259"/>
    <n v="0"/>
    <n v="0"/>
    <n v="0"/>
    <n v="0"/>
    <n v="0"/>
    <n v="0"/>
    <n v="0"/>
    <n v="204048.45051038259"/>
    <n v="0"/>
    <n v="0"/>
    <n v="0"/>
    <n v="0"/>
    <n v="0"/>
    <n v="0"/>
    <n v="0"/>
    <n v="0"/>
    <n v="0"/>
    <n v="0"/>
    <x v="0"/>
  </r>
  <r>
    <x v="21"/>
    <s v=""/>
    <n v="0"/>
    <x v="1"/>
    <s v="Østdanmark"/>
    <n v="680680.18601722247"/>
    <n v="0"/>
    <n v="0"/>
    <n v="106960.41463921656"/>
    <n v="0"/>
    <n v="0"/>
    <n v="0"/>
    <n v="0"/>
    <n v="573719.77137800585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41299.6719009152"/>
    <n v="580308.89041419514"/>
    <n v="0"/>
    <n v="256234.83946537593"/>
    <n v="0"/>
    <n v="0"/>
    <n v="0"/>
    <n v="0"/>
    <n v="704755.94202134409"/>
    <n v="506782.85975210578"/>
    <n v="0"/>
    <n v="1.7356603450505974"/>
    <n v="1.7356603450505974"/>
    <n v="0"/>
    <n v="1.7356603450505974"/>
    <n v="157102.68652315278"/>
    <n v="157102.68652315278"/>
    <n v="0"/>
    <n v="157102.68652315278"/>
    <x v="0"/>
  </r>
  <r>
    <x v="23"/>
    <s v=""/>
    <n v="0"/>
    <x v="1"/>
    <s v="Østdanmark"/>
    <n v="0"/>
    <n v="0"/>
    <n v="0"/>
    <n v="0"/>
    <n v="0"/>
    <n v="515528.42000534153"/>
    <n v="0"/>
    <n v="0"/>
    <n v="-515528.42000534153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38231.33813296724"/>
    <n v="0"/>
    <n v="0"/>
    <n v="0"/>
    <n v="457703.4296424397"/>
    <n v="280527.90849052754"/>
    <n v="0"/>
    <n v="0"/>
    <n v="0"/>
    <n v="0"/>
    <n v="457703.4296424397"/>
    <n v="0"/>
    <n v="0.23168489905070658"/>
    <n v="0.23168489905070658"/>
    <n v="0"/>
    <n v="0"/>
    <n v="34785.460652825415"/>
    <n v="34785.460652825415"/>
    <n v="0"/>
    <x v="0"/>
  </r>
  <r>
    <x v="25"/>
    <s v=""/>
    <n v="0"/>
    <x v="1"/>
    <s v="Østdanmark"/>
    <n v="92168.427114874314"/>
    <n v="135519.88529959068"/>
    <n v="0"/>
    <n v="0"/>
    <n v="0"/>
    <n v="0"/>
    <n v="0"/>
    <n v="0"/>
    <n v="-43351.458184716364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235469.8186668158"/>
    <n v="566716.06683172472"/>
    <n v="0"/>
    <n v="0"/>
    <n v="0"/>
    <n v="0"/>
    <n v="0"/>
    <n v="0"/>
    <n v="668753.75183509104"/>
    <n v="67599.913366085384"/>
    <n v="0"/>
    <n v="0.24268368898424655"/>
    <n v="0.24268368898424655"/>
    <n v="0"/>
    <n v="0.24268368898424655"/>
    <n v="20279.974009825615"/>
    <n v="20279.974009825615"/>
    <n v="0"/>
    <n v="20279.974009825615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6036.6362564051497"/>
    <n v="0"/>
    <n v="0"/>
    <n v="41580.567343702467"/>
    <n v="0"/>
    <n v="0"/>
    <n v="0"/>
    <n v="0"/>
    <n v="-35543.931087297315"/>
    <n v="0"/>
    <n v="0"/>
    <n v="0"/>
    <n v="0"/>
    <n v="0"/>
    <n v="0"/>
    <n v="0"/>
    <n v="0"/>
    <n v="0"/>
    <n v="0"/>
    <x v="0"/>
  </r>
  <r>
    <x v="30"/>
    <s v=""/>
    <n v="0"/>
    <x v="1"/>
    <s v="Østdanmark"/>
    <n v="449217.90264651313"/>
    <n v="0"/>
    <n v="0"/>
    <n v="0"/>
    <n v="0"/>
    <n v="0"/>
    <n v="0"/>
    <n v="0"/>
    <n v="449217.9026465131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848.41282272341"/>
    <n v="0"/>
    <n v="0"/>
    <n v="0"/>
    <n v="0"/>
    <n v="0"/>
    <n v="39848.41282272341"/>
    <n v="0"/>
    <n v="0"/>
    <n v="0"/>
    <n v="39848.41282272341"/>
    <n v="0"/>
    <n v="0.73321079593811067"/>
    <n v="0"/>
    <n v="0.73321079593811067"/>
    <n v="0"/>
    <n v="16537.091321430216"/>
    <n v="0"/>
    <n v="16537.091321430216"/>
    <x v="0"/>
  </r>
  <r>
    <x v="32"/>
    <s v="Pyrolyseprodukter"/>
    <n v="1"/>
    <x v="1"/>
    <s v="Østdanmark"/>
    <n v="221382.21931156982"/>
    <n v="0"/>
    <n v="0"/>
    <n v="0"/>
    <n v="0"/>
    <n v="0"/>
    <n v="221382.21931156982"/>
    <n v="0"/>
    <n v="0"/>
    <n v="0"/>
    <n v="221382.21931156982"/>
    <n v="0"/>
    <n v="1.9839009453449672"/>
    <n v="0"/>
    <n v="1.9839009453449672"/>
    <n v="0"/>
    <n v="0"/>
    <n v="0"/>
    <n v="0"/>
    <x v="0"/>
  </r>
  <r>
    <x v="33"/>
    <s v="Pyrolyseprodukter"/>
    <n v="1"/>
    <x v="1"/>
    <s v="Østdanmark"/>
    <n v="55345.554827892454"/>
    <n v="0"/>
    <n v="0"/>
    <n v="0"/>
    <n v="0"/>
    <n v="0"/>
    <n v="55345.554827892454"/>
    <n v="0"/>
    <n v="0"/>
    <n v="0"/>
    <n v="55345.554827892454"/>
    <n v="0"/>
    <n v="1.8412675440456558"/>
    <n v="0"/>
    <n v="1.8412675440456558"/>
    <n v="0"/>
    <n v="0"/>
    <n v="0"/>
    <n v="0"/>
    <x v="0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x v="0"/>
  </r>
  <r>
    <x v="35"/>
    <s v=""/>
    <n v="0"/>
    <x v="1"/>
    <s v="Østdanmark"/>
    <n v="214510.72415794732"/>
    <n v="0"/>
    <n v="0"/>
    <n v="0"/>
    <n v="0"/>
    <n v="0"/>
    <n v="0"/>
    <n v="214510.72415794732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7255.36207897366"/>
    <n v="19420.588606927966"/>
    <n v="0"/>
    <n v="0"/>
    <n v="0"/>
    <n v="0"/>
    <n v="0"/>
    <n v="0"/>
    <n v="87834.773472045694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8643.431730543147"/>
    <n v="0"/>
    <n v="0"/>
    <n v="0"/>
    <n v="0"/>
    <n v="0"/>
    <n v="68643.431730543147"/>
    <n v="0"/>
    <n v="0"/>
    <n v="0"/>
    <n v="68643.431730543147"/>
    <n v="0"/>
    <n v="2.4025201105690099"/>
    <n v="0"/>
    <n v="2.4025201105690099"/>
    <n v="0"/>
    <n v="0"/>
    <n v="0"/>
    <n v="0"/>
    <x v="0"/>
  </r>
  <r>
    <x v="38"/>
    <s v="Græs og urter"/>
    <n v="1"/>
    <x v="1"/>
    <s v="Østdanmark"/>
    <n v="224907.22799024681"/>
    <n v="85727.434262012321"/>
    <n v="0"/>
    <n v="0"/>
    <n v="0"/>
    <n v="0"/>
    <n v="0"/>
    <n v="0"/>
    <n v="139179.79372823448"/>
    <n v="107785.76819097856"/>
    <n v="0"/>
    <n v="0.29253488630104346"/>
    <n v="0.29253488630104346"/>
    <n v="0"/>
    <n v="0.29253488630104346"/>
    <n v="21557.153638195712"/>
    <n v="21557.153638195712"/>
    <n v="0"/>
    <n v="21557.153638195712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4747.4191497600004"/>
    <n v="0"/>
    <n v="0"/>
    <n v="0"/>
    <n v="0"/>
    <n v="0"/>
    <n v="0"/>
    <n v="9884.921853688481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671161.6426352733"/>
    <n v="0"/>
    <n v="0"/>
    <n v="0"/>
    <n v="1671161.6426352733"/>
    <n v="1671161.6426352733"/>
    <n v="1671161.6426352733"/>
    <n v="0.83392637129142788"/>
    <n v="1.6678527425828558"/>
    <n v="0.83392637129142788"/>
    <n v="0.83392637129142788"/>
    <n v="100269.69855811639"/>
    <n v="200539.39711623278"/>
    <n v="100269.69855811639"/>
    <n v="100269.69855811639"/>
    <x v="0"/>
  </r>
  <r>
    <x v="42"/>
    <s v="Husdyrgødning"/>
    <n v="1"/>
    <x v="1"/>
    <s v="Østdanmark"/>
    <n v="1747439.8704342765"/>
    <n v="0"/>
    <n v="0"/>
    <n v="0"/>
    <n v="1083412.7196692515"/>
    <n v="664027.15076502506"/>
    <n v="0"/>
    <n v="0"/>
    <n v="0"/>
    <n v="0"/>
    <n v="1083412.7196692515"/>
    <n v="0"/>
    <n v="0.46673419963351359"/>
    <n v="0.46673419963351359"/>
    <n v="0"/>
    <n v="0"/>
    <n v="54170.635983462576"/>
    <n v="54170.635983462576"/>
    <n v="0"/>
    <x v="0"/>
  </r>
  <r>
    <x v="43"/>
    <s v=""/>
    <n v="0"/>
    <x v="1"/>
    <s v="Østdanmark"/>
    <n v="159736.08962264023"/>
    <n v="0"/>
    <n v="0"/>
    <n v="84421.151879638346"/>
    <n v="0"/>
    <n v="0"/>
    <n v="0"/>
    <n v="0"/>
    <n v="75314.937743001879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935.48316961934"/>
    <n v="0"/>
    <n v="0"/>
    <n v="0"/>
    <n v="0"/>
    <n v="0"/>
    <n v="647935.48316961934"/>
    <n v="0"/>
    <n v="0"/>
    <n v="0"/>
    <n v="647935.48316961934"/>
    <n v="0"/>
    <n v="9.3908975685760261"/>
    <n v="0"/>
    <n v="9.3908975685760261"/>
    <n v="0"/>
    <n v="320458.09105097421"/>
    <n v="0"/>
    <n v="320458.09105097421"/>
    <x v="0"/>
  </r>
  <r>
    <x v="47"/>
    <s v=""/>
    <n v="0"/>
    <x v="1"/>
    <s v="Østdanmark"/>
    <n v="178333.04788774872"/>
    <n v="0"/>
    <n v="0"/>
    <n v="0"/>
    <n v="0"/>
    <n v="0"/>
    <n v="0"/>
    <n v="178333.04788774872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21015.95064111016"/>
    <n v="3823.0915711153852"/>
    <n v="0"/>
    <n v="98440.006733673188"/>
    <n v="0"/>
    <n v="0"/>
    <n v="0"/>
    <n v="0"/>
    <n v="118752.85233632159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49232892.94223267"/>
    <n v="0"/>
    <n v="0"/>
    <n v="0"/>
    <n v="0"/>
    <n v="0"/>
    <n v="149232892.94223267"/>
    <n v="0"/>
    <n v="0"/>
    <n v="0"/>
    <n v="149232892.94223267"/>
    <n v="0"/>
    <n v="0"/>
    <n v="0"/>
    <n v="0"/>
    <n v="0"/>
    <n v="0"/>
    <n v="0"/>
    <n v="0"/>
    <x v="0"/>
  </r>
  <r>
    <x v="4"/>
    <s v=""/>
    <n v="0"/>
    <x v="2"/>
    <s v="Østdanmark"/>
    <n v="4825001.4556238251"/>
    <n v="0"/>
    <n v="0"/>
    <n v="0"/>
    <n v="0"/>
    <n v="3214901.5422402946"/>
    <n v="0"/>
    <n v="0"/>
    <n v="1610099.9133835305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92821.80112748899"/>
    <n v="0"/>
    <n v="0"/>
    <n v="0"/>
    <n v="154257.44090199118"/>
    <n v="0"/>
    <n v="0"/>
    <n v="0"/>
    <n v="38564.360225497803"/>
    <n v="38564.360225497803"/>
    <n v="154257.44090199118"/>
    <n v="2.1905562248559208E-2"/>
    <n v="0.10952781124279602"/>
    <n v="8.7622248994236818E-2"/>
    <n v="2.1905562248559204E-2"/>
    <n v="1649.1426822675"/>
    <n v="8245.7134113374996"/>
    <n v="6596.5707290699993"/>
    <n v="1649.1426822675003"/>
    <x v="0"/>
  </r>
  <r>
    <x v="6"/>
    <s v="Husdyrgødning"/>
    <n v="1"/>
    <x v="2"/>
    <s v="Østdanmark"/>
    <n v="194332.65736576461"/>
    <n v="0"/>
    <n v="0"/>
    <n v="0"/>
    <n v="155466.12589261169"/>
    <n v="14713.758343407888"/>
    <n v="0"/>
    <n v="0"/>
    <n v="24152.773129745037"/>
    <n v="24152.773129745037"/>
    <n v="155466.12589261169"/>
    <n v="5.2025073321470813E-2"/>
    <n v="0.38689910849415643"/>
    <n v="0.3348740351726856"/>
    <n v="5.2025073321470827E-2"/>
    <n v="7245.8319389235112"/>
    <n v="53885.669706707013"/>
    <n v="46639.837767783501"/>
    <n v="7245.8319389235112"/>
    <x v="0"/>
  </r>
  <r>
    <x v="7"/>
    <s v=""/>
    <n v="0"/>
    <x v="2"/>
    <s v="Østdanmark"/>
    <n v="135811.75030438235"/>
    <n v="136538.9846826923"/>
    <n v="0"/>
    <n v="0"/>
    <n v="0"/>
    <n v="0"/>
    <n v="0"/>
    <n v="0"/>
    <n v="-727.23437830994953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578.47871789484259"/>
    <n v="144.61967947371059"/>
    <n v="0"/>
    <n v="0"/>
    <n v="0"/>
    <n v="0"/>
    <n v="578.47871789484259"/>
    <n v="0"/>
    <n v="2.7205275623876551E-4"/>
    <n v="2.7205275623876551E-4"/>
    <n v="0"/>
    <n v="0"/>
    <n v="36.444159227375081"/>
    <n v="36.444159227375081"/>
    <n v="0"/>
    <x v="0"/>
  </r>
  <r>
    <x v="9"/>
    <s v=""/>
    <n v="0"/>
    <x v="2"/>
    <s v="Østdanmark"/>
    <n v="14575.114892812006"/>
    <n v="0"/>
    <n v="0"/>
    <n v="15996.501094221892"/>
    <n v="0"/>
    <n v="0"/>
    <n v="0"/>
    <n v="0"/>
    <n v="-1421.3862014098868"/>
    <n v="0"/>
    <n v="0"/>
    <n v="0"/>
    <n v="0"/>
    <n v="0"/>
    <n v="0"/>
    <n v="0"/>
    <n v="0"/>
    <n v="0"/>
    <n v="0"/>
    <x v="0"/>
  </r>
  <r>
    <x v="10"/>
    <s v=""/>
    <n v="0"/>
    <x v="2"/>
    <s v="Østdanmark"/>
    <n v="287387.86171913851"/>
    <n v="0"/>
    <n v="0"/>
    <n v="0"/>
    <n v="0"/>
    <n v="0"/>
    <n v="0"/>
    <n v="0"/>
    <n v="287387.86171913851"/>
    <n v="0"/>
    <n v="0"/>
    <n v="0"/>
    <n v="0"/>
    <n v="0"/>
    <n v="0"/>
    <n v="0"/>
    <n v="0"/>
    <n v="0"/>
    <n v="0"/>
    <x v="0"/>
  </r>
  <r>
    <x v="11"/>
    <s v=""/>
    <n v="0"/>
    <x v="2"/>
    <s v="Østdanmark"/>
    <n v="42271.361313865054"/>
    <n v="0"/>
    <n v="0"/>
    <n v="233795.01599247381"/>
    <n v="0"/>
    <n v="0"/>
    <n v="0"/>
    <n v="0"/>
    <n v="-191523.6546786087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888780.8014802146"/>
    <n v="771991.75994211878"/>
    <n v="0"/>
    <n v="0"/>
    <n v="0"/>
    <n v="0"/>
    <n v="0"/>
    <n v="394599.25872257137"/>
    <n v="1722189.7828155244"/>
    <n v="92224.67040210776"/>
    <n v="0"/>
    <n v="0.16968186545607802"/>
    <n v="0.16968186545607802"/>
    <n v="0"/>
    <n v="0.16968186545607802"/>
    <n v="25822.907712590175"/>
    <n v="25822.907712590175"/>
    <n v="0"/>
    <n v="25822.907712590175"/>
    <x v="0"/>
  </r>
  <r>
    <x v="14"/>
    <s v=""/>
    <n v="0"/>
    <x v="2"/>
    <s v="Østdanmark"/>
    <n v="65965.707290699997"/>
    <n v="65965.707290699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456174.53044673882"/>
    <n v="0"/>
    <n v="0"/>
    <n v="244869.51675001203"/>
    <n v="0"/>
    <n v="0"/>
    <n v="0"/>
    <n v="0"/>
    <n v="211305.01369672679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064014.7311507878"/>
    <n v="43588.683268641777"/>
    <n v="51992.644823495335"/>
    <n v="0"/>
    <n v="0"/>
    <n v="0"/>
    <n v="261147.19078467367"/>
    <n v="707286.21227397677"/>
    <n v="0"/>
    <n v="0"/>
    <n v="261147.19078467367"/>
    <n v="0"/>
    <n v="2.6991667899593614"/>
    <n v="0"/>
    <n v="2.6991667899593614"/>
    <n v="0"/>
    <n v="221975.11216697263"/>
    <n v="0"/>
    <n v="221975.11216697263"/>
    <x v="0"/>
  </r>
  <r>
    <x v="17"/>
    <s v="Bionedbrydeligt affald"/>
    <n v="1"/>
    <x v="2"/>
    <s v="Østdanmark"/>
    <n v="457927.02496060182"/>
    <n v="0"/>
    <n v="0"/>
    <n v="0"/>
    <n v="372749.55761341366"/>
    <n v="0"/>
    <n v="85177.467347188154"/>
    <n v="0"/>
    <n v="0"/>
    <n v="0"/>
    <n v="457927.02496060182"/>
    <n v="0"/>
    <n v="2.1535617717711055"/>
    <n v="0.63295484129660939"/>
    <n v="1.520606930474496"/>
    <n v="0"/>
    <n v="137378.10748818054"/>
    <n v="111824.86728402409"/>
    <n v="25553.240204156449"/>
    <x v="0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Østdanmark"/>
    <n v="184821.60646832324"/>
    <n v="0"/>
    <n v="0"/>
    <n v="0"/>
    <n v="169627.25510324695"/>
    <n v="0"/>
    <n v="0"/>
    <n v="0"/>
    <n v="15194.351365076291"/>
    <n v="15194.351365076291"/>
    <n v="169627.25510324695"/>
    <n v="6.5839099730553033E-2"/>
    <n v="0.69060350545025562"/>
    <n v="0.6247644057197026"/>
    <n v="6.5839099730553019E-2"/>
    <n v="6381.6275733320417"/>
    <n v="77625.074716695759"/>
    <n v="71243.447143363723"/>
    <n v="6381.6275733320363"/>
    <x v="0"/>
  </r>
  <r>
    <x v="20"/>
    <s v=""/>
    <n v="0"/>
    <x v="2"/>
    <s v="Østdanmark"/>
    <n v="188875.23433835641"/>
    <n v="0"/>
    <n v="0"/>
    <n v="0"/>
    <n v="0"/>
    <n v="0"/>
    <n v="0"/>
    <n v="0"/>
    <n v="188875.23433835641"/>
    <n v="0"/>
    <n v="0"/>
    <n v="0"/>
    <n v="0"/>
    <n v="0"/>
    <n v="0"/>
    <n v="0"/>
    <n v="0"/>
    <n v="0"/>
    <n v="0"/>
    <x v="0"/>
  </r>
  <r>
    <x v="21"/>
    <s v=""/>
    <n v="0"/>
    <x v="2"/>
    <s v="Østdanmark"/>
    <n v="634382.54064061423"/>
    <n v="0"/>
    <n v="0"/>
    <n v="111975.50765955324"/>
    <n v="0"/>
    <n v="0"/>
    <n v="0"/>
    <n v="0"/>
    <n v="522407.03298106097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422520.7615932694"/>
    <n v="368193.1930872486"/>
    <n v="0"/>
    <n v="268249.01834925939"/>
    <n v="0"/>
    <n v="0"/>
    <n v="0"/>
    <n v="0"/>
    <n v="786078.55015676143"/>
    <n v="786078.55015676143"/>
    <n v="0"/>
    <n v="2.6922089832898863"/>
    <n v="2.6922089832898863"/>
    <n v="0"/>
    <n v="2.6922089832898863"/>
    <n v="243684.35054859603"/>
    <n v="243684.35054859603"/>
    <n v="0"/>
    <n v="243684.35054859603"/>
    <x v="0"/>
  </r>
  <r>
    <x v="23"/>
    <s v=""/>
    <n v="0"/>
    <x v="2"/>
    <s v="Østdanmark"/>
    <n v="0"/>
    <n v="0"/>
    <n v="0"/>
    <n v="0"/>
    <n v="0"/>
    <n v="479704.42610224185"/>
    <n v="0"/>
    <n v="0"/>
    <n v="-479704.42610224185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452578.20336624543"/>
    <n v="0"/>
    <n v="0"/>
    <n v="0"/>
    <n v="362062.56269299635"/>
    <n v="90515.640673249072"/>
    <n v="0"/>
    <n v="0"/>
    <n v="0"/>
    <n v="0"/>
    <n v="362062.56269299635"/>
    <n v="0"/>
    <n v="0.18327244860956785"/>
    <n v="0.18327244860956785"/>
    <n v="0"/>
    <n v="0"/>
    <n v="27516.754764667723"/>
    <n v="27516.754764667723"/>
    <n v="0"/>
    <x v="0"/>
  </r>
  <r>
    <x v="25"/>
    <s v=""/>
    <n v="0"/>
    <x v="2"/>
    <s v="Østdanmark"/>
    <n v="56535.233681691527"/>
    <n v="85984.378525822089"/>
    <n v="0"/>
    <n v="0"/>
    <n v="0"/>
    <n v="0"/>
    <n v="0"/>
    <n v="0"/>
    <n v="-29449.144844130562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162586.9095964739"/>
    <n v="359568.84629440639"/>
    <n v="0"/>
    <n v="0"/>
    <n v="199670.8224928487"/>
    <n v="0"/>
    <n v="0"/>
    <n v="0"/>
    <n v="603347.24080921884"/>
    <n v="300848.41353906074"/>
    <n v="199670.8224928487"/>
    <n v="1.0800458046052281"/>
    <n v="1.7968640573545551"/>
    <n v="0.71681825274932687"/>
    <n v="1.0800458046052284"/>
    <n v="90254.524061718213"/>
    <n v="150155.77080957283"/>
    <n v="59901.24674785461"/>
    <n v="90254.524061718228"/>
    <x v="0"/>
  </r>
  <r>
    <x v="27"/>
    <s v=""/>
    <n v="0"/>
    <x v="2"/>
    <s v="Østdanmark"/>
    <n v="109083.65982189869"/>
    <n v="0"/>
    <n v="0"/>
    <n v="428214.02929147833"/>
    <n v="0"/>
    <n v="0"/>
    <n v="0"/>
    <n v="0"/>
    <n v="-319130.36946957966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3652.7817732906901"/>
    <n v="0"/>
    <n v="0"/>
    <n v="27206.356861018925"/>
    <n v="0"/>
    <n v="0"/>
    <n v="0"/>
    <n v="0"/>
    <n v="-23553.575087728233"/>
    <n v="0"/>
    <n v="0"/>
    <n v="0"/>
    <n v="0"/>
    <n v="0"/>
    <n v="0"/>
    <n v="0"/>
    <n v="0"/>
    <n v="0"/>
    <n v="0"/>
    <x v="1"/>
  </r>
  <r>
    <x v="30"/>
    <s v=""/>
    <n v="0"/>
    <x v="2"/>
    <s v="Østdanmark"/>
    <n v="414923.14293457061"/>
    <n v="0"/>
    <n v="0"/>
    <n v="0"/>
    <n v="0"/>
    <n v="0"/>
    <n v="0"/>
    <n v="0"/>
    <n v="414923.1429345706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5429.762263631419"/>
    <n v="0"/>
    <n v="0"/>
    <n v="0"/>
    <n v="0"/>
    <n v="0"/>
    <n v="35429.762263631419"/>
    <n v="0"/>
    <n v="0"/>
    <n v="0"/>
    <n v="35429.762263631419"/>
    <n v="0"/>
    <n v="0.65190762565081795"/>
    <n v="0"/>
    <n v="0.65190762565081795"/>
    <n v="0"/>
    <n v="14703.35133940704"/>
    <n v="0"/>
    <n v="14703.35133940704"/>
    <x v="0"/>
  </r>
  <r>
    <x v="32"/>
    <s v="Pyrolyseprodukter"/>
    <n v="1"/>
    <x v="2"/>
    <s v="Østdanmark"/>
    <n v="396080.27887342701"/>
    <n v="0"/>
    <n v="0"/>
    <n v="0"/>
    <n v="0"/>
    <n v="0"/>
    <n v="396080.27887342701"/>
    <n v="0"/>
    <n v="0"/>
    <n v="0"/>
    <n v="396080.27887342701"/>
    <n v="0"/>
    <n v="3.5494451276757242"/>
    <n v="0"/>
    <n v="3.5494451276757242"/>
    <n v="0"/>
    <n v="0"/>
    <n v="0"/>
    <n v="0"/>
    <x v="0"/>
  </r>
  <r>
    <x v="33"/>
    <s v="Pyrolyseprodukter"/>
    <n v="1"/>
    <x v="2"/>
    <s v="Østdanmark"/>
    <n v="99020.069718356754"/>
    <n v="0"/>
    <n v="0"/>
    <n v="0"/>
    <n v="0"/>
    <n v="0"/>
    <n v="99020.069718356754"/>
    <n v="0"/>
    <n v="0"/>
    <n v="0"/>
    <n v="99020.069718356754"/>
    <n v="0"/>
    <n v="3.2942562622872735"/>
    <n v="0"/>
    <n v="3.2942562622872735"/>
    <n v="0"/>
    <n v="0"/>
    <n v="0"/>
    <n v="0"/>
    <x v="0"/>
  </r>
  <r>
    <x v="34"/>
    <s v=""/>
    <n v="0"/>
    <x v="2"/>
    <s v="Østdanmark"/>
    <n v="169865.53179855406"/>
    <n v="0"/>
    <n v="0"/>
    <n v="0"/>
    <n v="0"/>
    <n v="0"/>
    <n v="0"/>
    <n v="0"/>
    <n v="169865.53179855406"/>
    <n v="0"/>
    <n v="0"/>
    <n v="0"/>
    <n v="0"/>
    <n v="0"/>
    <n v="0"/>
    <n v="0"/>
    <n v="0"/>
    <n v="0"/>
    <n v="0"/>
    <x v="0"/>
  </r>
  <r>
    <x v="35"/>
    <s v=""/>
    <n v="0"/>
    <x v="2"/>
    <s v="Østdanmark"/>
    <n v="198603.01144531288"/>
    <n v="0"/>
    <n v="0"/>
    <n v="0"/>
    <n v="0"/>
    <n v="0"/>
    <n v="0"/>
    <n v="198603.01144531288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301.505722656439"/>
    <n v="12321.935177858404"/>
    <n v="0"/>
    <n v="0"/>
    <n v="0"/>
    <n v="0"/>
    <n v="0"/>
    <n v="0"/>
    <n v="86979.57054479802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552.963662500122"/>
    <n v="0"/>
    <n v="0"/>
    <n v="0"/>
    <n v="0"/>
    <n v="0"/>
    <n v="63552.963662500122"/>
    <n v="0"/>
    <n v="0"/>
    <n v="0"/>
    <n v="63552.963662500122"/>
    <n v="0"/>
    <n v="2.2243537281875039"/>
    <n v="0"/>
    <n v="2.2243537281875039"/>
    <n v="0"/>
    <n v="0"/>
    <n v="0"/>
    <n v="0"/>
    <x v="0"/>
  </r>
  <r>
    <x v="38"/>
    <s v="Græs og urter"/>
    <n v="1"/>
    <x v="2"/>
    <s v="Østdanmark"/>
    <n v="202279.77798791436"/>
    <n v="54392.166443596157"/>
    <n v="0"/>
    <n v="0"/>
    <n v="0"/>
    <n v="0"/>
    <n v="0"/>
    <n v="0"/>
    <n v="147887.61154431821"/>
    <n v="147887.61154431821"/>
    <n v="0"/>
    <n v="0.40137289323574138"/>
    <n v="0.40137289323574138"/>
    <n v="0"/>
    <n v="0.40137289323574138"/>
    <n v="29577.522308863641"/>
    <n v="29577.522308863641"/>
    <n v="0"/>
    <n v="29577.522308863641"/>
    <x v="0"/>
  </r>
  <r>
    <x v="39"/>
    <s v=""/>
    <n v="0"/>
    <x v="2"/>
    <s v="Østdanmark"/>
    <n v="10947.489741068959"/>
    <n v="0"/>
    <n v="0"/>
    <n v="0"/>
    <n v="0"/>
    <n v="0"/>
    <n v="0"/>
    <n v="0"/>
    <n v="10947.489741068959"/>
    <n v="0"/>
    <n v="0"/>
    <n v="0"/>
    <n v="0"/>
    <n v="0"/>
    <n v="0"/>
    <n v="0"/>
    <n v="0"/>
    <n v="0"/>
    <n v="0"/>
    <x v="0"/>
  </r>
  <r>
    <x v="40"/>
    <s v=""/>
    <n v="0"/>
    <x v="2"/>
    <s v="Østdanmark"/>
    <n v="8892.8868915055173"/>
    <n v="3012.1327530000003"/>
    <n v="0"/>
    <n v="0"/>
    <n v="0"/>
    <n v="0"/>
    <n v="0"/>
    <n v="0"/>
    <n v="5880.754138505517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6034.8535429356"/>
    <n v="0"/>
    <n v="0"/>
    <n v="0"/>
    <n v="2796827.8828343488"/>
    <n v="0"/>
    <n v="0"/>
    <n v="0"/>
    <n v="699206.97070858674"/>
    <n v="699206.97070858674"/>
    <n v="2796827.8828343488"/>
    <n v="0.3489112704532919"/>
    <n v="1.7445563522664607"/>
    <n v="1.3956450818131687"/>
    <n v="0.34891127045329196"/>
    <n v="41952.418242515203"/>
    <n v="209762.09121257614"/>
    <n v="167809.67297006093"/>
    <n v="41952.41824251521"/>
    <x v="0"/>
  </r>
  <r>
    <x v="42"/>
    <s v="Husdyrgødning"/>
    <n v="1"/>
    <x v="2"/>
    <s v="Østdanmark"/>
    <n v="1045598.7208186348"/>
    <n v="0"/>
    <n v="0"/>
    <n v="0"/>
    <n v="836478.97665490792"/>
    <n v="209119.74416372692"/>
    <n v="0"/>
    <n v="0"/>
    <n v="0"/>
    <n v="0"/>
    <n v="836478.97665490792"/>
    <n v="0"/>
    <n v="0.36035514314293438"/>
    <n v="0.36035514314293438"/>
    <n v="0"/>
    <n v="0"/>
    <n v="41823.948832745402"/>
    <n v="41823.948832745402"/>
    <n v="0"/>
    <x v="0"/>
  </r>
  <r>
    <x v="43"/>
    <s v=""/>
    <n v="0"/>
    <x v="2"/>
    <s v="Østdanmark"/>
    <n v="97091.997795525866"/>
    <n v="0"/>
    <n v="0"/>
    <n v="55237.148778432362"/>
    <n v="0"/>
    <n v="0"/>
    <n v="0"/>
    <n v="0"/>
    <n v="41854.849017093504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29106.00625063898"/>
    <n v="0"/>
    <n v="0"/>
    <n v="0"/>
    <n v="0"/>
    <n v="0"/>
    <n v="629106.00625063898"/>
    <n v="0"/>
    <n v="0"/>
    <n v="0"/>
    <n v="629106.00625063898"/>
    <n v="0"/>
    <n v="9.1179912474852252"/>
    <n v="0"/>
    <n v="9.1179912474852252"/>
    <n v="0"/>
    <n v="311145.34559146187"/>
    <n v="0"/>
    <n v="311145.34559146187"/>
    <x v="0"/>
  </r>
  <r>
    <x v="47"/>
    <s v=""/>
    <n v="0"/>
    <x v="2"/>
    <s v="Østdanmark"/>
    <n v="178830.65970425931"/>
    <n v="0"/>
    <n v="0"/>
    <n v="0"/>
    <n v="0"/>
    <n v="0"/>
    <n v="0"/>
    <n v="178830.65970425931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735284.33485275437"/>
    <n v="49206.445220713846"/>
    <n v="0"/>
    <n v="43439.71273733316"/>
    <n v="0"/>
    <n v="0"/>
    <n v="0"/>
    <n v="0"/>
    <n v="642638.1768947073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442702887.09198487"/>
    <n v="0"/>
    <n v="0"/>
    <n v="0"/>
    <n v="0"/>
    <n v="0"/>
    <n v="442702887.09198487"/>
    <n v="0"/>
    <n v="0"/>
    <n v="0"/>
    <n v="442702887.09198487"/>
    <n v="0"/>
    <n v="0"/>
    <n v="0"/>
    <n v="0"/>
    <n v="0"/>
    <n v="0"/>
    <n v="0"/>
    <n v="0"/>
    <n v="0"/>
    <x v="1"/>
  </r>
  <r>
    <x v="4"/>
    <s v=""/>
    <n v="0"/>
    <x v="1"/>
    <s v="Vestdanmark"/>
    <n v="18319681.436583094"/>
    <n v="0"/>
    <n v="0"/>
    <n v="0"/>
    <n v="0"/>
    <n v="14824448.951279402"/>
    <n v="0"/>
    <n v="0"/>
    <n v="3495232.48530369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2481780.8357572313"/>
    <n v="0"/>
    <n v="0"/>
    <n v="0"/>
    <n v="1538704.1181694835"/>
    <n v="0"/>
    <n v="0"/>
    <n v="0"/>
    <n v="943076.71758774784"/>
    <n v="943076.71758774784"/>
    <n v="1538704.1181694835"/>
    <n v="0.53569216814405574"/>
    <n v="1.4097162319580414"/>
    <n v="0.87402406381398567"/>
    <n v="0.53569216814405574"/>
    <n v="40329.155171576873"/>
    <n v="106129.35571467598"/>
    <n v="65800.200543099112"/>
    <n v="40329.155171576873"/>
    <n v="0"/>
    <x v="0"/>
  </r>
  <r>
    <x v="6"/>
    <s v="Husdyrgødning"/>
    <n v="1"/>
    <x v="1"/>
    <s v="Vestdanmark"/>
    <n v="2150858.1410453846"/>
    <n v="0"/>
    <n v="0"/>
    <n v="0"/>
    <n v="1333532.0474481385"/>
    <n v="309416.30686181458"/>
    <n v="0"/>
    <n v="0"/>
    <n v="507909.78673543152"/>
    <n v="507909.78673543152"/>
    <n v="1333532.0474481385"/>
    <n v="1.0940376806281196"/>
    <n v="3.9664657108314101"/>
    <n v="2.8724280302032903"/>
    <n v="1.0940376806281198"/>
    <n v="152372.93602062945"/>
    <n v="552432.55025507102"/>
    <n v="400059.61423444154"/>
    <n v="152372.93602062948"/>
    <n v="0"/>
    <x v="0"/>
  </r>
  <r>
    <x v="7"/>
    <s v=""/>
    <n v="0"/>
    <x v="1"/>
    <s v="Vestdanmark"/>
    <n v="1748012.9176534868"/>
    <n v="1757373.0435969227"/>
    <n v="0"/>
    <n v="0"/>
    <n v="0"/>
    <n v="0"/>
    <n v="0"/>
    <n v="0"/>
    <n v="-9360.1259434358217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Vestdanmark"/>
    <n v="8342.726135545483"/>
    <n v="0"/>
    <n v="0"/>
    <n v="0"/>
    <n v="5172.4902040381994"/>
    <n v="3170.2359315072836"/>
    <n v="0"/>
    <n v="0"/>
    <n v="0"/>
    <n v="0"/>
    <n v="5172.4902040381994"/>
    <n v="0"/>
    <n v="2.4325704180571247E-3"/>
    <n v="2.4325704180571247E-3"/>
    <n v="0"/>
    <n v="0"/>
    <n v="325.86688285440658"/>
    <n v="325.86688285440658"/>
    <n v="0"/>
    <n v="0"/>
    <x v="1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01970.2375971108"/>
    <n v="0"/>
    <n v="0"/>
    <n v="0"/>
    <n v="0"/>
    <n v="0"/>
    <n v="0"/>
    <n v="0"/>
    <n v="1001970.2375971108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139807.2046539399"/>
    <n v="0"/>
    <n v="0"/>
    <n v="257923.29437791562"/>
    <n v="0"/>
    <n v="0"/>
    <n v="0"/>
    <n v="0"/>
    <n v="-118116.08972397572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3481475.447011745"/>
    <n v="9936191.571616387"/>
    <n v="0"/>
    <n v="0"/>
    <n v="0"/>
    <n v="0"/>
    <n v="0"/>
    <n v="5078828.5991281262"/>
    <n v="-1533544.7237327676"/>
    <n v="0"/>
    <n v="0"/>
    <n v="0"/>
    <n v="0"/>
    <n v="0"/>
    <n v="0"/>
    <n v="0"/>
    <n v="0"/>
    <n v="0"/>
    <n v="0"/>
    <n v="0"/>
    <x v="0"/>
  </r>
  <r>
    <x v="14"/>
    <s v=""/>
    <n v="0"/>
    <x v="1"/>
    <s v="Vestdanmark"/>
    <n v="849034.84571740788"/>
    <n v="849034.845717407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502657.2310032574"/>
    <n v="0"/>
    <n v="0"/>
    <n v="270140.71358529059"/>
    <n v="0"/>
    <n v="0"/>
    <n v="0"/>
    <n v="0"/>
    <n v="1232516.5174179669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2924190.6957464674"/>
    <n v="561023.48468616733"/>
    <n v="583713.23835090676"/>
    <n v="0"/>
    <n v="0"/>
    <n v="0"/>
    <n v="694779.36433719518"/>
    <n v="1084674.6083721975"/>
    <n v="0"/>
    <n v="0"/>
    <n v="694779.36433719518"/>
    <n v="0"/>
    <n v="7.1811049582161264"/>
    <n v="0"/>
    <n v="7.1811049582161264"/>
    <n v="0"/>
    <n v="590562.45968661585"/>
    <n v="0"/>
    <n v="590562.45968661585"/>
    <n v="0"/>
    <x v="1"/>
  </r>
  <r>
    <x v="17"/>
    <s v="Bionedbrydeligt affald"/>
    <n v="1"/>
    <x v="1"/>
    <s v="Vestdanmark"/>
    <n v="526734.10986839118"/>
    <n v="0"/>
    <n v="0"/>
    <n v="0"/>
    <n v="428758.06783893198"/>
    <n v="0"/>
    <n v="97976.042029459204"/>
    <n v="0"/>
    <n v="0"/>
    <n v="0"/>
    <n v="526734.10986839118"/>
    <n v="0"/>
    <n v="2.4771511203079672"/>
    <n v="0.72806121225525533"/>
    <n v="1.7490899080527118"/>
    <n v="0"/>
    <n v="158020.23296051734"/>
    <n v="128627.42035167958"/>
    <n v="29392.812608837761"/>
    <n v="0"/>
    <x v="1"/>
  </r>
  <r>
    <x v="18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8632.55661358172"/>
    <n v="0"/>
    <n v="0"/>
    <n v="0"/>
    <n v="420706.10687194945"/>
    <n v="0"/>
    <n v="0"/>
    <n v="0"/>
    <n v="37926.44974163227"/>
    <n v="37926.44974163227"/>
    <n v="420706.10687194945"/>
    <n v="0.16434023716895907"/>
    <n v="1.7138683521085021"/>
    <n v="1.549528114939543"/>
    <n v="0.16434023716895907"/>
    <n v="15929.108891485554"/>
    <n v="192625.6737777043"/>
    <n v="176696.56488621875"/>
    <n v="15929.10889148555"/>
    <n v="0"/>
    <x v="0"/>
  </r>
  <r>
    <x v="20"/>
    <s v=""/>
    <n v="0"/>
    <x v="1"/>
    <s v="Vestdanmark"/>
    <n v="644035.8493924035"/>
    <n v="0"/>
    <n v="0"/>
    <n v="0"/>
    <n v="0"/>
    <n v="0"/>
    <n v="0"/>
    <n v="0"/>
    <n v="644035.8493924035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153496.967481425"/>
    <n v="0"/>
    <n v="0"/>
    <n v="123531.68309679118"/>
    <n v="0"/>
    <n v="0"/>
    <n v="0"/>
    <n v="0"/>
    <n v="2029965.284384633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4836920.0011490174"/>
    <n v="4738960.0403951732"/>
    <n v="0"/>
    <n v="295933.04302308214"/>
    <n v="0"/>
    <n v="0"/>
    <n v="0"/>
    <n v="0"/>
    <n v="-197973.08226923831"/>
    <n v="0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1144486.0287738238"/>
    <n v="0"/>
    <n v="0"/>
    <n v="-1144486.0287738238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386797.369068628"/>
    <n v="0"/>
    <n v="0"/>
    <n v="0"/>
    <n v="6439814.3688225495"/>
    <n v="3946983.0002460787"/>
    <n v="0"/>
    <n v="0"/>
    <n v="0"/>
    <n v="0"/>
    <n v="6439814.3688225495"/>
    <n v="0"/>
    <n v="3.2597696353542869"/>
    <n v="3.2597696353542869"/>
    <n v="0"/>
    <n v="0"/>
    <n v="489425.89203051373"/>
    <n v="489425.89203051373"/>
    <n v="0"/>
    <n v="0"/>
    <x v="1"/>
  </r>
  <r>
    <x v="25"/>
    <s v=""/>
    <n v="0"/>
    <x v="1"/>
    <s v="Vestdanmark"/>
    <n v="1296795.0922933305"/>
    <n v="1106692.197418018"/>
    <n v="0"/>
    <n v="0"/>
    <n v="0"/>
    <n v="0"/>
    <n v="0"/>
    <n v="0"/>
    <n v="190102.8948753124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4026803.5120526911"/>
    <n v="4627957.3505216967"/>
    <n v="0"/>
    <n v="0"/>
    <n v="0"/>
    <n v="0"/>
    <n v="0"/>
    <n v="0"/>
    <n v="-601153.83846900566"/>
    <n v="0"/>
    <n v="0"/>
    <n v="0"/>
    <n v="0"/>
    <n v="0"/>
    <n v="0"/>
    <n v="0"/>
    <n v="0"/>
    <n v="0"/>
    <n v="0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84934.510833187902"/>
    <n v="0"/>
    <n v="0"/>
    <n v="48022.602431121806"/>
    <n v="0"/>
    <n v="0"/>
    <n v="0"/>
    <n v="0"/>
    <n v="36911.908402066096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412647.5447842737"/>
    <n v="0"/>
    <n v="0"/>
    <n v="0"/>
    <n v="0"/>
    <n v="0"/>
    <n v="0"/>
    <n v="0"/>
    <n v="1412647.5447842737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34802.2173997864"/>
    <n v="0"/>
    <n v="0"/>
    <n v="0"/>
    <n v="0"/>
    <n v="0"/>
    <n v="134802.2173997864"/>
    <n v="0"/>
    <n v="0"/>
    <n v="0"/>
    <n v="134802.2173997864"/>
    <n v="0"/>
    <n v="2.4803608001560695"/>
    <n v="0"/>
    <n v="2.4803608001560695"/>
    <n v="0"/>
    <n v="55942.920220911365"/>
    <n v="0"/>
    <n v="55942.920220911365"/>
    <n v="0"/>
    <x v="1"/>
  </r>
  <r>
    <x v="32"/>
    <s v="Pyrolyseprodukter"/>
    <n v="1"/>
    <x v="1"/>
    <s v="Vestdanmark"/>
    <n v="607417.78068843065"/>
    <n v="0"/>
    <n v="0"/>
    <n v="0"/>
    <n v="0"/>
    <n v="0"/>
    <n v="607417.78068843065"/>
    <n v="0"/>
    <n v="0"/>
    <n v="0"/>
    <n v="607417.78068843065"/>
    <n v="0"/>
    <n v="5.4433310546550349"/>
    <n v="0"/>
    <n v="5.4433310546550349"/>
    <n v="0"/>
    <n v="0"/>
    <n v="0"/>
    <n v="0"/>
    <n v="0"/>
    <x v="1"/>
  </r>
  <r>
    <x v="33"/>
    <s v="Pyrolyseprodukter"/>
    <n v="1"/>
    <x v="1"/>
    <s v="Vestdanmark"/>
    <n v="151854.44517210766"/>
    <n v="0"/>
    <n v="0"/>
    <n v="0"/>
    <n v="0"/>
    <n v="0"/>
    <n v="151854.44517210766"/>
    <n v="0"/>
    <n v="0"/>
    <n v="0"/>
    <n v="151854.44517210766"/>
    <n v="0"/>
    <n v="5.0519804559543458"/>
    <n v="0"/>
    <n v="5.0519804559543458"/>
    <n v="0"/>
    <n v="0"/>
    <n v="0"/>
    <n v="0"/>
    <n v="0"/>
    <x v="1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663977.87373411702"/>
    <n v="0"/>
    <n v="0"/>
    <n v="0"/>
    <n v="0"/>
    <n v="0"/>
    <n v="0"/>
    <n v="663977.8737341170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331988.93686705851"/>
    <n v="158593.80217920942"/>
    <n v="0"/>
    <n v="0"/>
    <n v="0"/>
    <n v="0"/>
    <n v="0"/>
    <n v="0"/>
    <n v="173395.13468784909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212472.91959491745"/>
    <n v="0"/>
    <n v="0"/>
    <n v="0"/>
    <n v="0"/>
    <n v="0"/>
    <n v="212472.91959491745"/>
    <n v="0"/>
    <n v="0"/>
    <n v="0"/>
    <n v="212472.91959491745"/>
    <n v="0"/>
    <n v="7.4365521858221095"/>
    <n v="0"/>
    <n v="7.4365521858221095"/>
    <n v="0"/>
    <n v="0"/>
    <n v="0"/>
    <n v="0"/>
    <n v="0"/>
    <x v="1"/>
  </r>
  <r>
    <x v="38"/>
    <s v="Græs og urter"/>
    <n v="1"/>
    <x v="1"/>
    <s v="Vestdanmark"/>
    <n v="668679.49055744556"/>
    <n v="700073.51609470148"/>
    <n v="0"/>
    <n v="0"/>
    <n v="0"/>
    <n v="0"/>
    <n v="0"/>
    <n v="0"/>
    <n v="-31394.025537255919"/>
    <n v="0"/>
    <n v="0"/>
    <n v="0"/>
    <n v="0"/>
    <n v="0"/>
    <n v="0"/>
    <n v="0"/>
    <n v="0"/>
    <n v="0"/>
    <n v="0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8768.714416319999"/>
    <n v="0"/>
    <n v="0"/>
    <n v="0"/>
    <n v="0"/>
    <n v="0"/>
    <n v="0"/>
    <n v="64985.94775470103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974779.4199139304"/>
    <n v="0"/>
    <n v="0"/>
    <n v="0"/>
    <n v="1974779.4199139304"/>
    <n v="1974779.4199139304"/>
    <n v="1974779.4199139304"/>
    <n v="0.98543467833125054"/>
    <n v="1.9708693566625011"/>
    <n v="0.98543467833125054"/>
    <n v="0.98543467833125054"/>
    <n v="118486.76519483581"/>
    <n v="236973.53038967162"/>
    <n v="118486.76519483581"/>
    <n v="118486.76519483581"/>
    <n v="0"/>
    <x v="0"/>
  </r>
  <r>
    <x v="42"/>
    <s v="Husdyrgødning"/>
    <n v="1"/>
    <x v="1"/>
    <s v="Vestdanmark"/>
    <n v="12059866.540704856"/>
    <n v="0"/>
    <n v="0"/>
    <n v="0"/>
    <n v="7477117.2552370103"/>
    <n v="4582749.2854678454"/>
    <n v="0"/>
    <n v="0"/>
    <n v="0"/>
    <n v="0"/>
    <n v="7477117.2552370103"/>
    <n v="0"/>
    <n v="3.2211421135561045"/>
    <n v="3.2211421135561045"/>
    <n v="0"/>
    <n v="0"/>
    <n v="373855.86276185053"/>
    <n v="373855.86276185053"/>
    <n v="0"/>
    <n v="0"/>
    <x v="1"/>
  </r>
  <r>
    <x v="43"/>
    <s v=""/>
    <n v="0"/>
    <x v="1"/>
    <s v="Vestdanmark"/>
    <n v="1102410.4206254377"/>
    <n v="0"/>
    <n v="0"/>
    <n v="97500.435238944279"/>
    <n v="0"/>
    <n v="0"/>
    <n v="0"/>
    <n v="0"/>
    <n v="1004909.9853864935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26876.9610476061"/>
    <n v="0"/>
    <n v="0"/>
    <n v="0"/>
    <n v="0"/>
    <n v="0"/>
    <n v="2226876.9610476061"/>
    <n v="0"/>
    <n v="0"/>
    <n v="0"/>
    <n v="2226876.9610476061"/>
    <n v="0"/>
    <n v="32.275394668492638"/>
    <n v="0"/>
    <n v="32.275394668492638"/>
    <n v="0"/>
    <n v="1101376.2303181284"/>
    <n v="0"/>
    <n v="1101376.2303181284"/>
    <n v="0"/>
    <x v="1"/>
  </r>
  <r>
    <x v="47"/>
    <s v=""/>
    <n v="0"/>
    <x v="1"/>
    <s v="Vestdanmark"/>
    <n v="613716.58108207851"/>
    <n v="0"/>
    <n v="0"/>
    <n v="0"/>
    <n v="0"/>
    <n v="0"/>
    <n v="0"/>
    <n v="613716.58108207851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609158.83584090974"/>
    <n v="31434.479653499999"/>
    <n v="0"/>
    <n v="112833.22962148272"/>
    <n v="0"/>
    <n v="0"/>
    <n v="0"/>
    <n v="0"/>
    <n v="464891.1265659270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52644993.79872894"/>
    <n v="0"/>
    <n v="0"/>
    <n v="0"/>
    <n v="0"/>
    <n v="0"/>
    <n v="452644993.79872894"/>
    <n v="0"/>
    <n v="0"/>
    <n v="0"/>
    <n v="452644993.79872894"/>
    <n v="0"/>
    <n v="0"/>
    <n v="0"/>
    <n v="0"/>
    <n v="0"/>
    <n v="0"/>
    <n v="0"/>
    <n v="0"/>
    <n v="0"/>
    <x v="1"/>
  </r>
  <r>
    <x v="4"/>
    <s v=""/>
    <n v="0"/>
    <x v="2"/>
    <s v="Vestdanmark"/>
    <n v="16711149.491198121"/>
    <n v="0"/>
    <n v="0"/>
    <n v="0"/>
    <n v="0"/>
    <n v="11134649.546942962"/>
    <n v="0"/>
    <n v="0"/>
    <n v="5576499.9442551583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585432.3318038937"/>
    <n v="0"/>
    <n v="0"/>
    <n v="0"/>
    <n v="1268345.8654431151"/>
    <n v="0"/>
    <n v="0"/>
    <n v="0"/>
    <n v="317086.46636077855"/>
    <n v="317086.46636077855"/>
    <n v="1268345.8654431151"/>
    <n v="0.1801133815374231"/>
    <n v="0.900566907687116"/>
    <n v="0.72045352614969294"/>
    <n v="0.18011338153742307"/>
    <n v="13559.691450532489"/>
    <n v="67798.457252662498"/>
    <n v="54238.765802130001"/>
    <n v="13559.691450532497"/>
    <n v="0"/>
    <x v="0"/>
  </r>
  <r>
    <x v="6"/>
    <s v="Husdyrgødning"/>
    <n v="1"/>
    <x v="2"/>
    <s v="Vestdanmark"/>
    <n v="1458137.3135203668"/>
    <n v="0"/>
    <n v="0"/>
    <n v="0"/>
    <n v="1166509.8508162934"/>
    <n v="110401.82516654204"/>
    <n v="0"/>
    <n v="0"/>
    <n v="181225.63753753132"/>
    <n v="181225.63753753132"/>
    <n v="1166509.8508162934"/>
    <n v="0.39036002325584246"/>
    <n v="2.9030222419141385"/>
    <n v="2.5126622186582961"/>
    <n v="0.3903600232558424"/>
    <n v="54367.691261259395"/>
    <n v="404320.6465061474"/>
    <n v="349952.95524488803"/>
    <n v="54367.691261259373"/>
    <n v="0"/>
    <x v="0"/>
  </r>
  <r>
    <x v="7"/>
    <s v=""/>
    <n v="0"/>
    <x v="2"/>
    <s v="Vestdanmark"/>
    <n v="1116680.4723967942"/>
    <n v="1122659.9876249996"/>
    <n v="0"/>
    <n v="0"/>
    <n v="0"/>
    <n v="0"/>
    <n v="0"/>
    <n v="0"/>
    <n v="-5979.5152282053605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Vestdanmark"/>
    <n v="8615.5317224824212"/>
    <n v="0"/>
    <n v="0"/>
    <n v="0"/>
    <n v="6892.4253779859373"/>
    <n v="1723.1063444964839"/>
    <n v="0"/>
    <n v="0"/>
    <n v="0"/>
    <n v="0"/>
    <n v="6892.4253779859373"/>
    <n v="0"/>
    <n v="3.2414387310130063E-3"/>
    <n v="3.2414387310130063E-3"/>
    <n v="0"/>
    <n v="0"/>
    <n v="434.22279881311403"/>
    <n v="434.22279881311403"/>
    <n v="0"/>
    <n v="0"/>
    <x v="1"/>
  </r>
  <r>
    <x v="9"/>
    <s v=""/>
    <n v="0"/>
    <x v="2"/>
    <s v="Vestdanmark"/>
    <n v="173658.75124992887"/>
    <n v="0"/>
    <n v="0"/>
    <n v="18335.399813490942"/>
    <n v="0"/>
    <n v="0"/>
    <n v="0"/>
    <n v="0"/>
    <n v="155323.35143643792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792091.46065631567"/>
    <n v="0"/>
    <n v="0"/>
    <n v="0"/>
    <n v="0"/>
    <n v="0"/>
    <n v="0"/>
    <n v="0"/>
    <n v="792091.46065631567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116507.263767978"/>
    <n v="0"/>
    <n v="0"/>
    <n v="267978.92035102146"/>
    <n v="0"/>
    <n v="0"/>
    <n v="0"/>
    <n v="0"/>
    <n v="-151471.65658304346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7962057.7199019091"/>
    <n v="6347522.3700933373"/>
    <n v="0"/>
    <n v="0"/>
    <n v="0"/>
    <n v="0"/>
    <n v="0"/>
    <n v="3244500.462221988"/>
    <n v="-1629965.1124134166"/>
    <n v="0"/>
    <n v="0"/>
    <n v="0"/>
    <n v="0"/>
    <n v="0"/>
    <n v="0"/>
    <n v="0"/>
    <n v="0"/>
    <n v="0"/>
    <n v="0"/>
    <n v="0"/>
    <x v="0"/>
  </r>
  <r>
    <x v="14"/>
    <s v=""/>
    <n v="0"/>
    <x v="2"/>
    <s v="Vestdanmark"/>
    <n v="542387.65802129998"/>
    <n v="542387.6580212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257296.7096095001"/>
    <n v="0"/>
    <n v="0"/>
    <n v="280672.65868343826"/>
    <n v="0"/>
    <n v="0"/>
    <n v="0"/>
    <n v="0"/>
    <n v="976624.05092606181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2932613.2066284004"/>
    <n v="358397.79190306552"/>
    <n v="367504.60397489293"/>
    <n v="0"/>
    <n v="0"/>
    <n v="0"/>
    <n v="413997.02302441839"/>
    <n v="1792713.787726023"/>
    <n v="0"/>
    <n v="0"/>
    <n v="413997.02302441839"/>
    <n v="0"/>
    <n v="4.2789930549585398"/>
    <n v="0"/>
    <n v="4.2789930549585398"/>
    <n v="0"/>
    <n v="351897.46957075561"/>
    <n v="0"/>
    <n v="351897.46957075561"/>
    <n v="0"/>
    <x v="1"/>
  </r>
  <r>
    <x v="17"/>
    <s v="Bionedbrydeligt affald"/>
    <n v="1"/>
    <x v="2"/>
    <s v="Vestdanmark"/>
    <n v="524881.97503939818"/>
    <n v="0"/>
    <n v="0"/>
    <n v="0"/>
    <n v="427250.44238658639"/>
    <n v="0"/>
    <n v="97631.532652811788"/>
    <n v="0"/>
    <n v="0"/>
    <n v="0"/>
    <n v="524881.97503939818"/>
    <n v="0"/>
    <n v="2.468440809392753"/>
    <n v="0.72550115870339082"/>
    <n v="1.7429396506893622"/>
    <n v="0"/>
    <n v="157464.59251181944"/>
    <n v="128175.13271597591"/>
    <n v="29289.459795843533"/>
    <n v="0"/>
    <x v="1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359965.86402345594"/>
    <n v="0"/>
    <n v="0"/>
    <n v="0"/>
    <n v="330372.74489675317"/>
    <n v="0"/>
    <n v="0"/>
    <n v="0"/>
    <n v="29593.119126702775"/>
    <n v="29593.119126702775"/>
    <n v="330372.74489675317"/>
    <n v="0.1282308322814896"/>
    <n v="1.3450466765617874"/>
    <n v="1.2168158442802979"/>
    <n v="0.12823083228148957"/>
    <n v="12429.110033215165"/>
    <n v="151185.66288985149"/>
    <n v="138756.55285663632"/>
    <n v="12429.110033215169"/>
    <n v="0"/>
    <x v="0"/>
  </r>
  <r>
    <x v="20"/>
    <s v=""/>
    <n v="0"/>
    <x v="2"/>
    <s v="Vestdanmark"/>
    <n v="520573.94312179892"/>
    <n v="0"/>
    <n v="0"/>
    <n v="0"/>
    <n v="0"/>
    <n v="0"/>
    <n v="0"/>
    <n v="0"/>
    <n v="520573.94312179892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748472.631855153"/>
    <n v="0"/>
    <n v="0"/>
    <n v="128347.79869443661"/>
    <n v="0"/>
    <n v="0"/>
    <n v="0"/>
    <n v="0"/>
    <n v="1620124.833160716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3920720.3662957777"/>
    <n v="3027382.7402155618"/>
    <n v="0"/>
    <n v="307470.55071854044"/>
    <n v="0"/>
    <n v="0"/>
    <n v="0"/>
    <n v="0"/>
    <n v="585867.07536167558"/>
    <n v="585867.07536167558"/>
    <n v="0"/>
    <n v="2.0065127117231887"/>
    <n v="2.0065127117231887"/>
    <n v="0"/>
    <n v="2.0065127117231887"/>
    <n v="181618.79336211944"/>
    <n v="181618.79336211944"/>
    <n v="0"/>
    <n v="181618.79336211944"/>
    <n v="0"/>
    <x v="0"/>
  </r>
  <r>
    <x v="23"/>
    <s v=""/>
    <n v="0"/>
    <x v="2"/>
    <s v="Vestdanmark"/>
    <n v="0"/>
    <n v="0"/>
    <n v="0"/>
    <n v="0"/>
    <n v="0"/>
    <n v="1136583.5049650094"/>
    <n v="0"/>
    <n v="0"/>
    <n v="-1136583.5049650094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6367703.2512749117"/>
    <n v="0"/>
    <n v="0"/>
    <n v="0"/>
    <n v="5094162.6010199301"/>
    <n v="1273540.6502549821"/>
    <n v="0"/>
    <n v="0"/>
    <n v="0"/>
    <n v="0"/>
    <n v="5094162.6010199301"/>
    <n v="0"/>
    <n v="2.5786141670102789"/>
    <n v="2.5786141670102789"/>
    <n v="0"/>
    <n v="0"/>
    <n v="387156.35767751466"/>
    <n v="387156.35767751466"/>
    <n v="0"/>
    <n v="0"/>
    <x v="1"/>
  </r>
  <r>
    <x v="25"/>
    <s v=""/>
    <n v="0"/>
    <x v="2"/>
    <s v="Vestdanmark"/>
    <n v="795441.73503903183"/>
    <n v="706986.51785111031"/>
    <n v="0"/>
    <n v="0"/>
    <n v="0"/>
    <n v="0"/>
    <n v="0"/>
    <n v="0"/>
    <n v="88455.217187921517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3204301.4084430053"/>
    <n v="2956471.058206012"/>
    <n v="0"/>
    <n v="0"/>
    <n v="550329.17750715138"/>
    <n v="0"/>
    <n v="0"/>
    <n v="0"/>
    <n v="-302498.8272701581"/>
    <n v="0"/>
    <n v="550329.17750715138"/>
    <n v="0"/>
    <n v="1.9756817472506736"/>
    <n v="1.9756817472506736"/>
    <n v="0"/>
    <n v="0"/>
    <n v="165098.7532521454"/>
    <n v="165098.7532521454"/>
    <n v="0"/>
    <n v="0"/>
    <x v="0"/>
  </r>
  <r>
    <x v="27"/>
    <s v=""/>
    <n v="0"/>
    <x v="2"/>
    <s v="Vestdanmark"/>
    <n v="1534789.7228421343"/>
    <n v="0"/>
    <n v="0"/>
    <n v="490824.54885344987"/>
    <n v="0"/>
    <n v="0"/>
    <n v="0"/>
    <n v="0"/>
    <n v="1043965.1739886844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51394.057868840908"/>
    <n v="0"/>
    <n v="0"/>
    <n v="31184.283836637289"/>
    <n v="0"/>
    <n v="0"/>
    <n v="0"/>
    <n v="0"/>
    <n v="20209.774032203619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143602.1995332621"/>
    <n v="0"/>
    <n v="0"/>
    <n v="0"/>
    <n v="0"/>
    <n v="0"/>
    <n v="0"/>
    <n v="0"/>
    <n v="1143602.1995332621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97651.319921337825"/>
    <n v="0"/>
    <n v="0"/>
    <n v="0"/>
    <n v="0"/>
    <n v="0"/>
    <n v="97651.319921337825"/>
    <n v="0"/>
    <n v="0"/>
    <n v="0"/>
    <n v="97651.319921337825"/>
    <n v="0"/>
    <n v="1.7967842865526156"/>
    <n v="0"/>
    <n v="1.7967842865526156"/>
    <n v="0"/>
    <n v="40525.297767355201"/>
    <n v="0"/>
    <n v="40525.297767355201"/>
    <n v="0"/>
    <x v="1"/>
  </r>
  <r>
    <x v="32"/>
    <s v="Pyrolyseprodukter"/>
    <n v="1"/>
    <x v="2"/>
    <s v="Vestdanmark"/>
    <n v="1003919.7211265729"/>
    <n v="0"/>
    <n v="0"/>
    <n v="0"/>
    <n v="0"/>
    <n v="0"/>
    <n v="1003919.7211265729"/>
    <n v="0"/>
    <n v="0"/>
    <n v="0"/>
    <n v="1003919.7211265729"/>
    <n v="0"/>
    <n v="8.9965548723242712"/>
    <n v="0"/>
    <n v="8.9965548723242712"/>
    <n v="0"/>
    <n v="0"/>
    <n v="0"/>
    <n v="0"/>
    <n v="0"/>
    <x v="1"/>
  </r>
  <r>
    <x v="33"/>
    <s v="Pyrolyseprodukter"/>
    <n v="1"/>
    <x v="2"/>
    <s v="Vestdanmark"/>
    <n v="250979.93028164323"/>
    <n v="0"/>
    <n v="0"/>
    <n v="0"/>
    <n v="0"/>
    <n v="0"/>
    <n v="250979.93028164323"/>
    <n v="0"/>
    <n v="0"/>
    <n v="0"/>
    <n v="250979.93028164323"/>
    <n v="0"/>
    <n v="8.349743737712723"/>
    <n v="0"/>
    <n v="8.349743737712723"/>
    <n v="0"/>
    <n v="0"/>
    <n v="0"/>
    <n v="0"/>
    <n v="0"/>
    <x v="1"/>
  </r>
  <r>
    <x v="34"/>
    <s v=""/>
    <n v="0"/>
    <x v="2"/>
    <s v="Vestdanmark"/>
    <n v="2389980.9824422216"/>
    <n v="0"/>
    <n v="0"/>
    <n v="0"/>
    <n v="0"/>
    <n v="0"/>
    <n v="0"/>
    <n v="0"/>
    <n v="2389980.9824422216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47384.79935736058"/>
    <n v="0"/>
    <n v="0"/>
    <n v="0"/>
    <n v="0"/>
    <n v="0"/>
    <n v="0"/>
    <n v="547384.79935736058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73692.39967868029"/>
    <n v="101314.24095790923"/>
    <n v="0"/>
    <n v="0"/>
    <n v="0"/>
    <n v="0"/>
    <n v="0"/>
    <n v="0"/>
    <n v="172378.15872077105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75163.13579435539"/>
    <n v="0"/>
    <n v="0"/>
    <n v="0"/>
    <n v="0"/>
    <n v="0"/>
    <n v="175163.13579435539"/>
    <n v="0"/>
    <n v="0"/>
    <n v="0"/>
    <n v="175163.13579435539"/>
    <n v="0"/>
    <n v="6.1307097528024377"/>
    <n v="0"/>
    <n v="6.1307097528024377"/>
    <n v="0"/>
    <n v="0"/>
    <n v="0"/>
    <n v="0"/>
    <n v="0"/>
    <x v="1"/>
  </r>
  <r>
    <x v="38"/>
    <s v="Græs og urter"/>
    <n v="1"/>
    <x v="2"/>
    <s v="Vestdanmark"/>
    <n v="557517.61958207632"/>
    <n v="447226.91507024999"/>
    <n v="0"/>
    <n v="0"/>
    <n v="0"/>
    <n v="0"/>
    <n v="0"/>
    <n v="0"/>
    <n v="110290.70451182633"/>
    <n v="110290.70451182633"/>
    <n v="0"/>
    <n v="0.29933338367327716"/>
    <n v="0.29933338367327716"/>
    <n v="0"/>
    <n v="0.29933338367327716"/>
    <n v="22058.140902365267"/>
    <n v="22058.140902365267"/>
    <n v="0"/>
    <n v="22058.140902365267"/>
    <n v="0"/>
    <x v="0"/>
  </r>
  <r>
    <x v="39"/>
    <s v=""/>
    <n v="0"/>
    <x v="2"/>
    <s v="Vestdanmark"/>
    <n v="92783.580859109119"/>
    <n v="0"/>
    <n v="0"/>
    <n v="0"/>
    <n v="0"/>
    <n v="0"/>
    <n v="0"/>
    <n v="0"/>
    <n v="92783.580859109119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63050.124133731362"/>
    <n v="24766.559727"/>
    <n v="0"/>
    <n v="0"/>
    <n v="0"/>
    <n v="0"/>
    <n v="0"/>
    <n v="0"/>
    <n v="38283.564406731362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62083.073222735"/>
    <n v="0"/>
    <n v="0"/>
    <n v="0"/>
    <n v="3249666.458578188"/>
    <n v="0"/>
    <n v="0"/>
    <n v="0"/>
    <n v="812416.61464454699"/>
    <n v="812416.61464454699"/>
    <n v="3249666.458578188"/>
    <n v="0.40540401487377548"/>
    <n v="2.0270200743688775"/>
    <n v="1.6216160594951019"/>
    <n v="0.40540401487377564"/>
    <n v="48744.99687867282"/>
    <n v="243724.98439336408"/>
    <n v="194979.98751469128"/>
    <n v="48744.996878672799"/>
    <n v="0"/>
    <x v="0"/>
  </r>
  <r>
    <x v="42"/>
    <s v="Husdyrgødning"/>
    <n v="1"/>
    <x v="2"/>
    <s v="Vestdanmark"/>
    <n v="7216145.8837897805"/>
    <n v="0"/>
    <n v="0"/>
    <n v="0"/>
    <n v="5772916.7070318246"/>
    <n v="1443229.1767579557"/>
    <n v="0"/>
    <n v="0"/>
    <n v="0"/>
    <n v="0"/>
    <n v="5772916.7070318246"/>
    <n v="0"/>
    <n v="2.4869725173893107"/>
    <n v="2.4869725173893107"/>
    <n v="0"/>
    <n v="0"/>
    <n v="288645.83535159123"/>
    <n v="288645.83535159123"/>
    <n v="0"/>
    <n v="0"/>
    <x v="1"/>
  </r>
  <r>
    <x v="43"/>
    <s v=""/>
    <n v="0"/>
    <x v="2"/>
    <s v="Vestdanmark"/>
    <n v="670075.43744177814"/>
    <n v="0"/>
    <n v="0"/>
    <n v="63313.545971354491"/>
    <n v="0"/>
    <n v="0"/>
    <n v="0"/>
    <n v="0"/>
    <n v="606761.89147042367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347927.0937342439"/>
    <n v="0"/>
    <n v="0"/>
    <n v="0"/>
    <n v="0"/>
    <n v="0"/>
    <n v="2347927.0937342439"/>
    <n v="0"/>
    <n v="0"/>
    <n v="0"/>
    <n v="2347927.0937342439"/>
    <n v="0"/>
    <n v="34.029843107034417"/>
    <n v="0"/>
    <n v="34.029843107034417"/>
    <n v="0"/>
    <n v="1161245.6084427282"/>
    <n v="0"/>
    <n v="1161245.6084427282"/>
    <n v="0"/>
    <x v="1"/>
  </r>
  <r>
    <x v="47"/>
    <s v=""/>
    <n v="0"/>
    <x v="2"/>
    <s v="Vestdanmark"/>
    <n v="691748.76447704039"/>
    <n v="0"/>
    <n v="0"/>
    <n v="0"/>
    <n v="0"/>
    <n v="0"/>
    <n v="0"/>
    <n v="691748.76447704039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36972.56744938664"/>
    <n v="6025.5704593107703"/>
    <n v="0"/>
    <n v="37612.453499504722"/>
    <n v="0"/>
    <n v="0"/>
    <n v="0"/>
    <n v="0"/>
    <n v="193334.5434905711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20485929.66191712"/>
    <n v="0"/>
    <n v="0"/>
    <n v="0"/>
    <n v="0"/>
    <n v="0"/>
    <n v="120485929.66191712"/>
    <n v="0"/>
    <n v="0"/>
    <n v="0"/>
    <n v="120485929.66191712"/>
    <n v="0"/>
    <n v="0"/>
    <n v="0"/>
    <n v="0"/>
    <n v="0"/>
    <n v="0"/>
    <n v="0"/>
    <n v="0"/>
    <n v="0"/>
    <x v="1"/>
  </r>
  <r>
    <x v="4"/>
    <s v=""/>
    <n v="0"/>
    <x v="1"/>
    <s v="Østdanmark"/>
    <n v="3978923.4945139349"/>
    <n v="0"/>
    <n v="0"/>
    <n v="0"/>
    <n v="0"/>
    <n v="3219780.2363352538"/>
    <n v="0"/>
    <n v="0"/>
    <n v="759143.25817868114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303906.23064409656"/>
    <n v="0"/>
    <n v="0"/>
    <n v="0"/>
    <n v="188421.86299933988"/>
    <n v="0"/>
    <n v="0"/>
    <n v="0"/>
    <n v="115484.36764475668"/>
    <n v="115484.36764475668"/>
    <n v="188421.86299933988"/>
    <n v="6.559813230105413E-2"/>
    <n v="0.17262666395014245"/>
    <n v="0.10702853164908832"/>
    <n v="6.559813230105413E-2"/>
    <n v="4938.5027705378388"/>
    <n v="12996.059922467999"/>
    <n v="8057.5571519301593"/>
    <n v="4938.5027705378398"/>
    <n v="0"/>
    <x v="0"/>
  </r>
  <r>
    <x v="6"/>
    <s v="Husdyrgødning"/>
    <n v="1"/>
    <x v="1"/>
    <s v="Østdanmark"/>
    <n v="288837.5497709263"/>
    <n v="0"/>
    <n v="0"/>
    <n v="0"/>
    <n v="179079.28085797431"/>
    <n v="41551.344659903254"/>
    <n v="0"/>
    <n v="0"/>
    <n v="68206.924253048724"/>
    <n v="68206.924253048724"/>
    <n v="179079.28085797431"/>
    <n v="0.14691771484106694"/>
    <n v="0.53265448580914365"/>
    <n v="0.38573677096807668"/>
    <n v="0.14691771484106697"/>
    <n v="20462.077275914617"/>
    <n v="74185.861533306903"/>
    <n v="53723.78425739229"/>
    <n v="20462.077275914613"/>
    <n v="0"/>
    <x v="0"/>
  </r>
  <r>
    <x v="7"/>
    <s v=""/>
    <n v="0"/>
    <x v="1"/>
    <s v="Østdanmark"/>
    <n v="214052.75166417882"/>
    <n v="215198.9449753846"/>
    <n v="0"/>
    <n v="0"/>
    <n v="0"/>
    <n v="0"/>
    <n v="0"/>
    <n v="0"/>
    <n v="-1146.1933112057741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Østdanmark"/>
    <n v="700.20192515285464"/>
    <n v="0"/>
    <n v="0"/>
    <n v="0"/>
    <n v="434.12519359476988"/>
    <n v="266.07673155808476"/>
    <n v="0"/>
    <n v="0"/>
    <n v="0"/>
    <n v="0"/>
    <n v="434.12519359476988"/>
    <n v="0"/>
    <n v="2.0416473729568434E-4"/>
    <n v="2.0416473729568434E-4"/>
    <n v="0"/>
    <n v="0"/>
    <n v="27.349887196470501"/>
    <n v="27.349887196470501"/>
    <n v="0"/>
    <n v="0"/>
    <x v="1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25188.93567900889"/>
    <n v="0"/>
    <n v="0"/>
    <n v="0"/>
    <n v="0"/>
    <n v="0"/>
    <n v="0"/>
    <n v="0"/>
    <n v="325188.93567900889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45453.077491377226"/>
    <n v="0"/>
    <n v="0"/>
    <n v="223323.94265330929"/>
    <n v="0"/>
    <n v="0"/>
    <n v="0"/>
    <n v="0"/>
    <n v="-177870.86516193207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4023735.0007342594"/>
    <n v="1216735.3716252823"/>
    <n v="0"/>
    <n v="0"/>
    <n v="0"/>
    <n v="0"/>
    <n v="0"/>
    <n v="621927.46168801945"/>
    <n v="2185072.1674209577"/>
    <n v="651527.44368819008"/>
    <n v="0"/>
    <n v="1.1987290554558088"/>
    <n v="1.1987290554558088"/>
    <n v="0"/>
    <n v="1.1987290554558088"/>
    <n v="182427.68423269325"/>
    <n v="182427.68423269325"/>
    <n v="0"/>
    <n v="182427.68423269325"/>
    <n v="0"/>
    <x v="0"/>
  </r>
  <r>
    <x v="14"/>
    <s v=""/>
    <n v="0"/>
    <x v="1"/>
    <s v="Østdanmark"/>
    <n v="103968.47937974399"/>
    <n v="103968.479379744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488829.33816016692"/>
    <n v="0"/>
    <n v="0"/>
    <n v="233902.44520004498"/>
    <n v="0"/>
    <n v="0"/>
    <n v="0"/>
    <n v="0"/>
    <n v="254926.89296012194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936016.68504196673"/>
    <n v="68700.076202243421"/>
    <n v="82995.732675897758"/>
    <n v="0"/>
    <n v="0"/>
    <n v="0"/>
    <n v="388995.48453602241"/>
    <n v="395325.39162780321"/>
    <n v="0"/>
    <n v="0"/>
    <n v="388995.48453602241"/>
    <n v="0"/>
    <n v="4.0205819949620647"/>
    <n v="0"/>
    <n v="4.0205819949620647"/>
    <n v="0"/>
    <n v="330646.16185561905"/>
    <n v="0"/>
    <n v="330646.16185561905"/>
    <n v="0"/>
    <x v="1"/>
  </r>
  <r>
    <x v="17"/>
    <s v="Bionedbrydeligt affald"/>
    <n v="1"/>
    <x v="1"/>
    <s v="Østdanmark"/>
    <n v="456074.89013160887"/>
    <n v="0"/>
    <n v="0"/>
    <n v="0"/>
    <n v="371241.93216106802"/>
    <n v="0"/>
    <n v="84832.957970540854"/>
    <n v="0"/>
    <n v="0"/>
    <n v="0"/>
    <n v="456074.89013160887"/>
    <n v="0"/>
    <n v="2.1448514608558935"/>
    <n v="0.63039478774474478"/>
    <n v="1.5144566731111486"/>
    <n v="0"/>
    <n v="136822.46703948267"/>
    <n v="111372.5796483204"/>
    <n v="25449.887391162265"/>
    <n v="0"/>
    <x v="1"/>
  </r>
  <r>
    <x v="18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5457.14989002657"/>
    <n v="0"/>
    <n v="0"/>
    <n v="0"/>
    <n v="179293.89312805064"/>
    <n v="0"/>
    <n v="0"/>
    <n v="0"/>
    <n v="16163.256761975936"/>
    <n v="16163.256761975936"/>
    <n v="179293.89312805064"/>
    <n v="7.0037492773020793E-2"/>
    <n v="0.73040567783347843"/>
    <n v="0.66036818506045758"/>
    <n v="7.0037492773020849E-2"/>
    <n v="6788.567840029893"/>
    <n v="82092.002953811156"/>
    <n v="75303.435113781263"/>
    <n v="6788.567840029893"/>
    <n v="0"/>
    <x v="0"/>
  </r>
  <r>
    <x v="20"/>
    <s v=""/>
    <n v="0"/>
    <x v="1"/>
    <s v="Østdanmark"/>
    <n v="204048.45051038259"/>
    <n v="0"/>
    <n v="0"/>
    <n v="0"/>
    <n v="0"/>
    <n v="0"/>
    <n v="0"/>
    <n v="0"/>
    <n v="204048.45051038259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680680.18601722247"/>
    <n v="0"/>
    <n v="0"/>
    <n v="106960.41463921656"/>
    <n v="0"/>
    <n v="0"/>
    <n v="0"/>
    <n v="0"/>
    <n v="573719.77137800585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41299.6719009152"/>
    <n v="580308.89041419514"/>
    <n v="0"/>
    <n v="256234.83946537593"/>
    <n v="0"/>
    <n v="0"/>
    <n v="0"/>
    <n v="0"/>
    <n v="704755.94202134409"/>
    <n v="506782.85975210578"/>
    <n v="0"/>
    <n v="1.7356603450505974"/>
    <n v="1.7356603450505974"/>
    <n v="0"/>
    <n v="1.7356603450505974"/>
    <n v="157102.68652315278"/>
    <n v="157102.68652315278"/>
    <n v="0"/>
    <n v="157102.68652315278"/>
    <n v="0"/>
    <x v="0"/>
  </r>
  <r>
    <x v="23"/>
    <s v=""/>
    <n v="0"/>
    <x v="1"/>
    <s v="Østdanmark"/>
    <n v="0"/>
    <n v="0"/>
    <n v="0"/>
    <n v="0"/>
    <n v="0"/>
    <n v="515528.42000534153"/>
    <n v="0"/>
    <n v="0"/>
    <n v="-515528.4200053415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38231.33813296724"/>
    <n v="0"/>
    <n v="0"/>
    <n v="0"/>
    <n v="457703.4296424397"/>
    <n v="280527.90849052754"/>
    <n v="0"/>
    <n v="0"/>
    <n v="0"/>
    <n v="0"/>
    <n v="457703.4296424397"/>
    <n v="0"/>
    <n v="0.23168489905070658"/>
    <n v="0.23168489905070658"/>
    <n v="0"/>
    <n v="0"/>
    <n v="34785.460652825415"/>
    <n v="34785.460652825415"/>
    <n v="0"/>
    <n v="0"/>
    <x v="1"/>
  </r>
  <r>
    <x v="25"/>
    <s v=""/>
    <n v="0"/>
    <x v="1"/>
    <s v="Østdanmark"/>
    <n v="92168.427114874314"/>
    <n v="135519.88529959068"/>
    <n v="0"/>
    <n v="0"/>
    <n v="0"/>
    <n v="0"/>
    <n v="0"/>
    <n v="0"/>
    <n v="-43351.45818471636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235469.8186668158"/>
    <n v="566716.06683172472"/>
    <n v="0"/>
    <n v="0"/>
    <n v="0"/>
    <n v="0"/>
    <n v="0"/>
    <n v="0"/>
    <n v="668753.75183509104"/>
    <n v="67599.913366085384"/>
    <n v="0"/>
    <n v="0.24268368898424655"/>
    <n v="0.24268368898424655"/>
    <n v="0"/>
    <n v="0.24268368898424655"/>
    <n v="20279.974009825615"/>
    <n v="20279.974009825615"/>
    <n v="0"/>
    <n v="20279.974009825615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6036.6362564051497"/>
    <n v="0"/>
    <n v="0"/>
    <n v="41580.567343702467"/>
    <n v="0"/>
    <n v="0"/>
    <n v="0"/>
    <n v="0"/>
    <n v="-35543.931087297315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49217.90264651313"/>
    <n v="0"/>
    <n v="0"/>
    <n v="0"/>
    <n v="0"/>
    <n v="0"/>
    <n v="0"/>
    <n v="0"/>
    <n v="449217.9026465131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848.41282272341"/>
    <n v="0"/>
    <n v="0"/>
    <n v="0"/>
    <n v="0"/>
    <n v="0"/>
    <n v="39848.41282272341"/>
    <n v="0"/>
    <n v="0"/>
    <n v="0"/>
    <n v="39848.41282272341"/>
    <n v="0"/>
    <n v="0.73321079593811067"/>
    <n v="0"/>
    <n v="0.73321079593811067"/>
    <n v="0"/>
    <n v="16537.091321430216"/>
    <n v="0"/>
    <n v="16537.091321430216"/>
    <n v="0"/>
    <x v="1"/>
  </r>
  <r>
    <x v="32"/>
    <s v="Pyrolyseprodukter"/>
    <n v="1"/>
    <x v="1"/>
    <s v="Østdanmark"/>
    <n v="221382.21931156982"/>
    <n v="0"/>
    <n v="0"/>
    <n v="0"/>
    <n v="0"/>
    <n v="0"/>
    <n v="221382.21931156982"/>
    <n v="0"/>
    <n v="0"/>
    <n v="0"/>
    <n v="221382.21931156982"/>
    <n v="0"/>
    <n v="1.9839009453449672"/>
    <n v="0"/>
    <n v="1.9839009453449672"/>
    <n v="0"/>
    <n v="0"/>
    <n v="0"/>
    <n v="0"/>
    <n v="0"/>
    <x v="1"/>
  </r>
  <r>
    <x v="33"/>
    <s v="Pyrolyseprodukter"/>
    <n v="1"/>
    <x v="1"/>
    <s v="Østdanmark"/>
    <n v="55345.554827892454"/>
    <n v="0"/>
    <n v="0"/>
    <n v="0"/>
    <n v="0"/>
    <n v="0"/>
    <n v="55345.554827892454"/>
    <n v="0"/>
    <n v="0"/>
    <n v="0"/>
    <n v="55345.554827892454"/>
    <n v="0"/>
    <n v="1.8412675440456558"/>
    <n v="0"/>
    <n v="1.8412675440456558"/>
    <n v="0"/>
    <n v="0"/>
    <n v="0"/>
    <n v="0"/>
    <n v="0"/>
    <x v="1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14510.72415794732"/>
    <n v="0"/>
    <n v="0"/>
    <n v="0"/>
    <n v="0"/>
    <n v="0"/>
    <n v="0"/>
    <n v="214510.7241579473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7255.36207897366"/>
    <n v="19420.588606927966"/>
    <n v="0"/>
    <n v="0"/>
    <n v="0"/>
    <n v="0"/>
    <n v="0"/>
    <n v="0"/>
    <n v="87834.773472045694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8643.431730543147"/>
    <n v="0"/>
    <n v="0"/>
    <n v="0"/>
    <n v="0"/>
    <n v="0"/>
    <n v="68643.431730543147"/>
    <n v="0"/>
    <n v="0"/>
    <n v="0"/>
    <n v="68643.431730543147"/>
    <n v="0"/>
    <n v="2.4025201105690099"/>
    <n v="0"/>
    <n v="2.4025201105690099"/>
    <n v="0"/>
    <n v="0"/>
    <n v="0"/>
    <n v="0"/>
    <n v="0"/>
    <x v="1"/>
  </r>
  <r>
    <x v="38"/>
    <s v="Græs og urter"/>
    <n v="1"/>
    <x v="1"/>
    <s v="Østdanmark"/>
    <n v="224907.22799024681"/>
    <n v="85727.434262012321"/>
    <n v="0"/>
    <n v="0"/>
    <n v="0"/>
    <n v="0"/>
    <n v="0"/>
    <n v="0"/>
    <n v="139179.79372823448"/>
    <n v="107785.76819097856"/>
    <n v="0"/>
    <n v="0.29253488630104346"/>
    <n v="0.29253488630104346"/>
    <n v="0"/>
    <n v="0.29253488630104346"/>
    <n v="21557.153638195712"/>
    <n v="21557.153638195712"/>
    <n v="0"/>
    <n v="21557.153638195712"/>
    <n v="0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4747.4191497600004"/>
    <n v="0"/>
    <n v="0"/>
    <n v="0"/>
    <n v="0"/>
    <n v="0"/>
    <n v="0"/>
    <n v="9884.921853688481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671161.6426352733"/>
    <n v="0"/>
    <n v="0"/>
    <n v="0"/>
    <n v="1671161.6426352733"/>
    <n v="1671161.6426352733"/>
    <n v="1671161.6426352733"/>
    <n v="0.83392637129142788"/>
    <n v="1.6678527425828558"/>
    <n v="0.83392637129142788"/>
    <n v="0.83392637129142788"/>
    <n v="100269.69855811639"/>
    <n v="200539.39711623278"/>
    <n v="100269.69855811639"/>
    <n v="100269.69855811639"/>
    <n v="0"/>
    <x v="0"/>
  </r>
  <r>
    <x v="42"/>
    <s v="Husdyrgødning"/>
    <n v="1"/>
    <x v="1"/>
    <s v="Østdanmark"/>
    <n v="1747439.8704342765"/>
    <n v="0"/>
    <n v="0"/>
    <n v="0"/>
    <n v="1083412.7196692515"/>
    <n v="664027.15076502506"/>
    <n v="0"/>
    <n v="0"/>
    <n v="0"/>
    <n v="0"/>
    <n v="1083412.7196692515"/>
    <n v="0"/>
    <n v="0.46673419963351359"/>
    <n v="0.46673419963351359"/>
    <n v="0"/>
    <n v="0"/>
    <n v="54170.635983462576"/>
    <n v="54170.635983462576"/>
    <n v="0"/>
    <n v="0"/>
    <x v="1"/>
  </r>
  <r>
    <x v="43"/>
    <s v=""/>
    <n v="0"/>
    <x v="1"/>
    <s v="Østdanmark"/>
    <n v="159736.08962264023"/>
    <n v="0"/>
    <n v="0"/>
    <n v="84421.151879638346"/>
    <n v="0"/>
    <n v="0"/>
    <n v="0"/>
    <n v="0"/>
    <n v="75314.937743001879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935.48316961934"/>
    <n v="0"/>
    <n v="0"/>
    <n v="0"/>
    <n v="0"/>
    <n v="0"/>
    <n v="647935.48316961934"/>
    <n v="0"/>
    <n v="0"/>
    <n v="0"/>
    <n v="647935.48316961934"/>
    <n v="0"/>
    <n v="9.3908975685760261"/>
    <n v="0"/>
    <n v="9.3908975685760261"/>
    <n v="0"/>
    <n v="320458.09105097421"/>
    <n v="0"/>
    <n v="320458.09105097421"/>
    <n v="0"/>
    <x v="1"/>
  </r>
  <r>
    <x v="47"/>
    <s v=""/>
    <n v="0"/>
    <x v="1"/>
    <s v="Østdanmark"/>
    <n v="178333.04788774872"/>
    <n v="0"/>
    <n v="0"/>
    <n v="0"/>
    <n v="0"/>
    <n v="0"/>
    <n v="0"/>
    <n v="178333.04788774872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21015.95064111016"/>
    <n v="3823.0915711153852"/>
    <n v="0"/>
    <n v="98440.006733673188"/>
    <n v="0"/>
    <n v="0"/>
    <n v="0"/>
    <n v="0"/>
    <n v="118752.8523363215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49232892.94223267"/>
    <n v="0"/>
    <n v="0"/>
    <n v="0"/>
    <n v="0"/>
    <n v="0"/>
    <n v="149232892.94223267"/>
    <n v="0"/>
    <n v="0"/>
    <n v="0"/>
    <n v="149232892.94223267"/>
    <n v="0"/>
    <n v="0"/>
    <n v="0"/>
    <n v="0"/>
    <n v="0"/>
    <n v="0"/>
    <n v="0"/>
    <n v="0"/>
    <n v="0"/>
    <x v="1"/>
  </r>
  <r>
    <x v="4"/>
    <s v=""/>
    <n v="0"/>
    <x v="2"/>
    <s v="Østdanmark"/>
    <n v="4825001.4556238251"/>
    <n v="0"/>
    <n v="0"/>
    <n v="0"/>
    <n v="0"/>
    <n v="3214901.5422402946"/>
    <n v="0"/>
    <n v="0"/>
    <n v="1610099.9133835305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92821.80112748899"/>
    <n v="0"/>
    <n v="0"/>
    <n v="0"/>
    <n v="154257.44090199118"/>
    <n v="0"/>
    <n v="0"/>
    <n v="0"/>
    <n v="38564.360225497803"/>
    <n v="38564.360225497803"/>
    <n v="154257.44090199118"/>
    <n v="2.1905562248559208E-2"/>
    <n v="0.10952781124279602"/>
    <n v="8.7622248994236818E-2"/>
    <n v="2.1905562248559204E-2"/>
    <n v="1649.1426822675"/>
    <n v="8245.7134113374996"/>
    <n v="6596.5707290699993"/>
    <n v="1649.1426822675003"/>
    <n v="0"/>
    <x v="0"/>
  </r>
  <r>
    <x v="6"/>
    <s v="Husdyrgødning"/>
    <n v="1"/>
    <x v="2"/>
    <s v="Østdanmark"/>
    <n v="194332.65736576461"/>
    <n v="0"/>
    <n v="0"/>
    <n v="0"/>
    <n v="155466.12589261169"/>
    <n v="14713.758343407888"/>
    <n v="0"/>
    <n v="0"/>
    <n v="24152.773129745037"/>
    <n v="24152.773129745037"/>
    <n v="155466.12589261169"/>
    <n v="5.2025073321470813E-2"/>
    <n v="0.38689910849415643"/>
    <n v="0.3348740351726856"/>
    <n v="5.2025073321470827E-2"/>
    <n v="7245.8319389235112"/>
    <n v="53885.669706707013"/>
    <n v="46639.837767783501"/>
    <n v="7245.8319389235112"/>
    <n v="0"/>
    <x v="0"/>
  </r>
  <r>
    <x v="7"/>
    <s v=""/>
    <n v="0"/>
    <x v="2"/>
    <s v="Østdanmark"/>
    <n v="135811.75030438235"/>
    <n v="136538.9846826923"/>
    <n v="0"/>
    <n v="0"/>
    <n v="0"/>
    <n v="0"/>
    <n v="0"/>
    <n v="0"/>
    <n v="-727.23437830994953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Østdanmark"/>
    <n v="723.09839736855315"/>
    <n v="0"/>
    <n v="0"/>
    <n v="0"/>
    <n v="578.47871789484259"/>
    <n v="144.61967947371059"/>
    <n v="0"/>
    <n v="0"/>
    <n v="0"/>
    <n v="0"/>
    <n v="578.47871789484259"/>
    <n v="0"/>
    <n v="2.7205275623876551E-4"/>
    <n v="2.7205275623876551E-4"/>
    <n v="0"/>
    <n v="0"/>
    <n v="36.444159227375081"/>
    <n v="36.444159227375081"/>
    <n v="0"/>
    <n v="0"/>
    <x v="1"/>
  </r>
  <r>
    <x v="9"/>
    <s v=""/>
    <n v="0"/>
    <x v="2"/>
    <s v="Østdanmark"/>
    <n v="14575.114892812006"/>
    <n v="0"/>
    <n v="0"/>
    <n v="15996.501094221892"/>
    <n v="0"/>
    <n v="0"/>
    <n v="0"/>
    <n v="0"/>
    <n v="-1421.3862014098868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287387.86171913851"/>
    <n v="0"/>
    <n v="0"/>
    <n v="0"/>
    <n v="0"/>
    <n v="0"/>
    <n v="0"/>
    <n v="0"/>
    <n v="287387.861719138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42271.361313865054"/>
    <n v="0"/>
    <n v="0"/>
    <n v="233795.01599247381"/>
    <n v="0"/>
    <n v="0"/>
    <n v="0"/>
    <n v="0"/>
    <n v="-191523.6546786087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888780.8014802146"/>
    <n v="771991.75994211878"/>
    <n v="0"/>
    <n v="0"/>
    <n v="0"/>
    <n v="0"/>
    <n v="0"/>
    <n v="394599.25872257137"/>
    <n v="1722189.7828155244"/>
    <n v="92224.67040210776"/>
    <n v="0"/>
    <n v="0.16968186545607802"/>
    <n v="0.16968186545607802"/>
    <n v="0"/>
    <n v="0.16968186545607802"/>
    <n v="25822.907712590175"/>
    <n v="25822.907712590175"/>
    <n v="0"/>
    <n v="25822.907712590175"/>
    <n v="0"/>
    <x v="0"/>
  </r>
  <r>
    <x v="14"/>
    <s v=""/>
    <n v="0"/>
    <x v="2"/>
    <s v="Østdanmark"/>
    <n v="65965.707290699997"/>
    <n v="65965.7072906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456174.53044673882"/>
    <n v="0"/>
    <n v="0"/>
    <n v="244869.51675001203"/>
    <n v="0"/>
    <n v="0"/>
    <n v="0"/>
    <n v="0"/>
    <n v="211305.01369672679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064014.7311507878"/>
    <n v="43588.683268641777"/>
    <n v="51992.644823495335"/>
    <n v="0"/>
    <n v="0"/>
    <n v="0"/>
    <n v="261147.19078467367"/>
    <n v="707286.21227397677"/>
    <n v="0"/>
    <n v="0"/>
    <n v="261147.19078467367"/>
    <n v="0"/>
    <n v="2.6991667899593614"/>
    <n v="0"/>
    <n v="2.6991667899593614"/>
    <n v="0"/>
    <n v="221975.11216697263"/>
    <n v="0"/>
    <n v="221975.11216697263"/>
    <n v="0"/>
    <x v="1"/>
  </r>
  <r>
    <x v="17"/>
    <s v="Bionedbrydeligt affald"/>
    <n v="1"/>
    <x v="2"/>
    <s v="Østdanmark"/>
    <n v="457927.02496060182"/>
    <n v="0"/>
    <n v="0"/>
    <n v="0"/>
    <n v="372749.55761341366"/>
    <n v="0"/>
    <n v="85177.467347188154"/>
    <n v="0"/>
    <n v="0"/>
    <n v="0"/>
    <n v="457927.02496060182"/>
    <n v="0"/>
    <n v="2.1535617717711055"/>
    <n v="0.63295484129660939"/>
    <n v="1.520606930474496"/>
    <n v="0"/>
    <n v="137378.10748818054"/>
    <n v="111824.86728402409"/>
    <n v="25553.240204156449"/>
    <n v="0"/>
    <x v="1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84821.60646832324"/>
    <n v="0"/>
    <n v="0"/>
    <n v="0"/>
    <n v="169627.25510324695"/>
    <n v="0"/>
    <n v="0"/>
    <n v="0"/>
    <n v="15194.351365076291"/>
    <n v="15194.351365076291"/>
    <n v="169627.25510324695"/>
    <n v="6.5839099730553033E-2"/>
    <n v="0.69060350545025562"/>
    <n v="0.6247644057197026"/>
    <n v="6.5839099730553019E-2"/>
    <n v="6381.6275733320417"/>
    <n v="77625.074716695759"/>
    <n v="71243.447143363723"/>
    <n v="6381.6275733320363"/>
    <n v="0"/>
    <x v="0"/>
  </r>
  <r>
    <x v="20"/>
    <s v=""/>
    <n v="0"/>
    <x v="2"/>
    <s v="Østdanmark"/>
    <n v="188875.23433835641"/>
    <n v="0"/>
    <n v="0"/>
    <n v="0"/>
    <n v="0"/>
    <n v="0"/>
    <n v="0"/>
    <n v="0"/>
    <n v="188875.23433835641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634382.54064061423"/>
    <n v="0"/>
    <n v="0"/>
    <n v="111975.50765955324"/>
    <n v="0"/>
    <n v="0"/>
    <n v="0"/>
    <n v="0"/>
    <n v="522407.03298106097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422520.7615932694"/>
    <n v="368193.1930872486"/>
    <n v="0"/>
    <n v="268249.01834925939"/>
    <n v="0"/>
    <n v="0"/>
    <n v="0"/>
    <n v="0"/>
    <n v="786078.55015676143"/>
    <n v="786078.55015676143"/>
    <n v="0"/>
    <n v="2.6922089832898863"/>
    <n v="2.6922089832898863"/>
    <n v="0"/>
    <n v="2.6922089832898863"/>
    <n v="243684.35054859603"/>
    <n v="243684.35054859603"/>
    <n v="0"/>
    <n v="243684.35054859603"/>
    <n v="0"/>
    <x v="0"/>
  </r>
  <r>
    <x v="23"/>
    <s v=""/>
    <n v="0"/>
    <x v="2"/>
    <s v="Østdanmark"/>
    <n v="0"/>
    <n v="0"/>
    <n v="0"/>
    <n v="0"/>
    <n v="0"/>
    <n v="479704.42610224185"/>
    <n v="0"/>
    <n v="0"/>
    <n v="-479704.4261022418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452578.20336624543"/>
    <n v="0"/>
    <n v="0"/>
    <n v="0"/>
    <n v="362062.56269299635"/>
    <n v="90515.640673249072"/>
    <n v="0"/>
    <n v="0"/>
    <n v="0"/>
    <n v="0"/>
    <n v="362062.56269299635"/>
    <n v="0"/>
    <n v="0.18327244860956785"/>
    <n v="0.18327244860956785"/>
    <n v="0"/>
    <n v="0"/>
    <n v="27516.754764667723"/>
    <n v="27516.754764667723"/>
    <n v="0"/>
    <n v="0"/>
    <x v="1"/>
  </r>
  <r>
    <x v="25"/>
    <s v=""/>
    <n v="0"/>
    <x v="2"/>
    <s v="Østdanmark"/>
    <n v="56535.233681691527"/>
    <n v="85984.378525822089"/>
    <n v="0"/>
    <n v="0"/>
    <n v="0"/>
    <n v="0"/>
    <n v="0"/>
    <n v="0"/>
    <n v="-29449.144844130562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162586.9095964739"/>
    <n v="359568.84629440639"/>
    <n v="0"/>
    <n v="0"/>
    <n v="199670.8224928487"/>
    <n v="0"/>
    <n v="0"/>
    <n v="0"/>
    <n v="603347.24080921884"/>
    <n v="300848.41353906074"/>
    <n v="199670.8224928487"/>
    <n v="1.0800458046052281"/>
    <n v="1.7968640573545551"/>
    <n v="0.71681825274932687"/>
    <n v="1.0800458046052284"/>
    <n v="90254.524061718213"/>
    <n v="150155.77080957283"/>
    <n v="59901.24674785461"/>
    <n v="90254.524061718228"/>
    <n v="0"/>
    <x v="0"/>
  </r>
  <r>
    <x v="27"/>
    <s v=""/>
    <n v="0"/>
    <x v="2"/>
    <s v="Østdanmark"/>
    <n v="109083.65982189869"/>
    <n v="0"/>
    <n v="0"/>
    <n v="428214.02929147833"/>
    <n v="0"/>
    <n v="0"/>
    <n v="0"/>
    <n v="0"/>
    <n v="-319130.36946957966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3652.7817732906901"/>
    <n v="0"/>
    <n v="0"/>
    <n v="27206.356861018925"/>
    <n v="0"/>
    <n v="0"/>
    <n v="0"/>
    <n v="0"/>
    <n v="-23553.575087728233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14923.14293457061"/>
    <n v="0"/>
    <n v="0"/>
    <n v="0"/>
    <n v="0"/>
    <n v="0"/>
    <n v="0"/>
    <n v="0"/>
    <n v="414923.1429345706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5429.762263631419"/>
    <n v="0"/>
    <n v="0"/>
    <n v="0"/>
    <n v="0"/>
    <n v="0"/>
    <n v="35429.762263631419"/>
    <n v="0"/>
    <n v="0"/>
    <n v="0"/>
    <n v="35429.762263631419"/>
    <n v="0"/>
    <n v="0.65190762565081795"/>
    <n v="0"/>
    <n v="0.65190762565081795"/>
    <n v="0"/>
    <n v="14703.35133940704"/>
    <n v="0"/>
    <n v="14703.35133940704"/>
    <n v="0"/>
    <x v="1"/>
  </r>
  <r>
    <x v="32"/>
    <s v="Pyrolyseprodukter"/>
    <n v="1"/>
    <x v="2"/>
    <s v="Østdanmark"/>
    <n v="396080.27887342701"/>
    <n v="0"/>
    <n v="0"/>
    <n v="0"/>
    <n v="0"/>
    <n v="0"/>
    <n v="396080.27887342701"/>
    <n v="0"/>
    <n v="0"/>
    <n v="0"/>
    <n v="396080.27887342701"/>
    <n v="0"/>
    <n v="3.5494451276757242"/>
    <n v="0"/>
    <n v="3.5494451276757242"/>
    <n v="0"/>
    <n v="0"/>
    <n v="0"/>
    <n v="0"/>
    <n v="0"/>
    <x v="1"/>
  </r>
  <r>
    <x v="33"/>
    <s v="Pyrolyseprodukter"/>
    <n v="1"/>
    <x v="2"/>
    <s v="Østdanmark"/>
    <n v="99020.069718356754"/>
    <n v="0"/>
    <n v="0"/>
    <n v="0"/>
    <n v="0"/>
    <n v="0"/>
    <n v="99020.069718356754"/>
    <n v="0"/>
    <n v="0"/>
    <n v="0"/>
    <n v="99020.069718356754"/>
    <n v="0"/>
    <n v="3.2942562622872735"/>
    <n v="0"/>
    <n v="3.2942562622872735"/>
    <n v="0"/>
    <n v="0"/>
    <n v="0"/>
    <n v="0"/>
    <n v="0"/>
    <x v="1"/>
  </r>
  <r>
    <x v="34"/>
    <s v=""/>
    <n v="0"/>
    <x v="2"/>
    <s v="Østdanmark"/>
    <n v="169865.53179855406"/>
    <n v="0"/>
    <n v="0"/>
    <n v="0"/>
    <n v="0"/>
    <n v="0"/>
    <n v="0"/>
    <n v="0"/>
    <n v="169865.53179855406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8603.01144531288"/>
    <n v="0"/>
    <n v="0"/>
    <n v="0"/>
    <n v="0"/>
    <n v="0"/>
    <n v="0"/>
    <n v="198603.01144531288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301.505722656439"/>
    <n v="12321.935177858404"/>
    <n v="0"/>
    <n v="0"/>
    <n v="0"/>
    <n v="0"/>
    <n v="0"/>
    <n v="0"/>
    <n v="86979.57054479802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552.963662500122"/>
    <n v="0"/>
    <n v="0"/>
    <n v="0"/>
    <n v="0"/>
    <n v="0"/>
    <n v="63552.963662500122"/>
    <n v="0"/>
    <n v="0"/>
    <n v="0"/>
    <n v="63552.963662500122"/>
    <n v="0"/>
    <n v="2.2243537281875039"/>
    <n v="0"/>
    <n v="2.2243537281875039"/>
    <n v="0"/>
    <n v="0"/>
    <n v="0"/>
    <n v="0"/>
    <n v="0"/>
    <x v="1"/>
  </r>
  <r>
    <x v="38"/>
    <s v="Græs og urter"/>
    <n v="1"/>
    <x v="2"/>
    <s v="Østdanmark"/>
    <n v="202279.77798791436"/>
    <n v="54392.166443596157"/>
    <n v="0"/>
    <n v="0"/>
    <n v="0"/>
    <n v="0"/>
    <n v="0"/>
    <n v="0"/>
    <n v="147887.61154431821"/>
    <n v="147887.61154431821"/>
    <n v="0"/>
    <n v="0.40137289323574138"/>
    <n v="0.40137289323574138"/>
    <n v="0"/>
    <n v="0.40137289323574138"/>
    <n v="29577.522308863641"/>
    <n v="29577.522308863641"/>
    <n v="0"/>
    <n v="29577.522308863641"/>
    <n v="0"/>
    <x v="0"/>
  </r>
  <r>
    <x v="39"/>
    <s v=""/>
    <n v="0"/>
    <x v="2"/>
    <s v="Østdanmark"/>
    <n v="10947.489741068959"/>
    <n v="0"/>
    <n v="0"/>
    <n v="0"/>
    <n v="0"/>
    <n v="0"/>
    <n v="0"/>
    <n v="0"/>
    <n v="10947.489741068959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8892.8868915055173"/>
    <n v="3012.1327530000003"/>
    <n v="0"/>
    <n v="0"/>
    <n v="0"/>
    <n v="0"/>
    <n v="0"/>
    <n v="0"/>
    <n v="5880.754138505517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6034.8535429356"/>
    <n v="0"/>
    <n v="0"/>
    <n v="0"/>
    <n v="2796827.8828343488"/>
    <n v="0"/>
    <n v="0"/>
    <n v="0"/>
    <n v="699206.97070858674"/>
    <n v="699206.97070858674"/>
    <n v="2796827.8828343488"/>
    <n v="0.3489112704532919"/>
    <n v="1.7445563522664607"/>
    <n v="1.3956450818131687"/>
    <n v="0.34891127045329196"/>
    <n v="41952.418242515203"/>
    <n v="209762.09121257614"/>
    <n v="167809.67297006093"/>
    <n v="41952.41824251521"/>
    <n v="0"/>
    <x v="0"/>
  </r>
  <r>
    <x v="42"/>
    <s v="Husdyrgødning"/>
    <n v="1"/>
    <x v="2"/>
    <s v="Østdanmark"/>
    <n v="1045598.7208186348"/>
    <n v="0"/>
    <n v="0"/>
    <n v="0"/>
    <n v="836478.97665490792"/>
    <n v="209119.74416372692"/>
    <n v="0"/>
    <n v="0"/>
    <n v="0"/>
    <n v="0"/>
    <n v="836478.97665490792"/>
    <n v="0"/>
    <n v="0.36035514314293438"/>
    <n v="0.36035514314293438"/>
    <n v="0"/>
    <n v="0"/>
    <n v="41823.948832745402"/>
    <n v="41823.948832745402"/>
    <n v="0"/>
    <n v="0"/>
    <x v="1"/>
  </r>
  <r>
    <x v="43"/>
    <s v=""/>
    <n v="0"/>
    <x v="2"/>
    <s v="Østdanmark"/>
    <n v="97091.997795525866"/>
    <n v="0"/>
    <n v="0"/>
    <n v="55237.148778432362"/>
    <n v="0"/>
    <n v="0"/>
    <n v="0"/>
    <n v="0"/>
    <n v="41854.849017093504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29106.00625063898"/>
    <n v="0"/>
    <n v="0"/>
    <n v="0"/>
    <n v="0"/>
    <n v="0"/>
    <n v="629106.00625063898"/>
    <n v="0"/>
    <n v="0"/>
    <n v="0"/>
    <n v="629106.00625063898"/>
    <n v="0"/>
    <n v="9.1179912474852252"/>
    <n v="0"/>
    <n v="9.1179912474852252"/>
    <n v="0"/>
    <n v="311145.34559146187"/>
    <n v="0"/>
    <n v="311145.34559146187"/>
    <n v="0"/>
    <x v="1"/>
  </r>
  <r>
    <x v="47"/>
    <s v=""/>
    <n v="0"/>
    <x v="2"/>
    <s v="Østdanmark"/>
    <n v="178830.65970425931"/>
    <n v="0"/>
    <n v="0"/>
    <n v="0"/>
    <n v="0"/>
    <n v="0"/>
    <n v="0"/>
    <n v="178830.65970425931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5621949.4678222975"/>
    <s v="CO2 - atmosfære"/>
    <x v="0"/>
  </r>
  <r>
    <s v="Vestdanmark"/>
    <x v="1"/>
    <n v="4049664.7353122975"/>
    <s v="Landbrug"/>
    <x v="1"/>
  </r>
  <r>
    <s v="Vestdanmark"/>
    <x v="1"/>
    <n v="3681286.419871856"/>
    <s v="Landbrug"/>
    <x v="2"/>
  </r>
  <r>
    <s v="Vestdanmark"/>
    <x v="1"/>
    <n v="1037730.0552441035"/>
    <s v="Landbrug"/>
    <x v="2"/>
  </r>
  <r>
    <s v="Vestdanmark"/>
    <x v="1"/>
    <n v="65.998469138771299"/>
    <s v="Landbrug"/>
    <x v="2"/>
  </r>
  <r>
    <s v="Vestdanmark"/>
    <x v="1"/>
    <n v="-23936.112883057391"/>
    <s v="Hav"/>
    <x v="3"/>
  </r>
  <r>
    <s v="Vestdanmark"/>
    <x v="1"/>
    <n v="-2130264.6471044431"/>
    <s v="Skov"/>
    <x v="4"/>
  </r>
  <r>
    <s v="Vestdanmark"/>
    <x v="1"/>
    <n v="-284666.02002334176"/>
    <s v="Biogasanlæg"/>
    <x v="5"/>
  </r>
  <r>
    <s v="Vestdanmark"/>
    <x v="1"/>
    <n v="-707930.96106425417"/>
    <s v="Pyrolyseproces"/>
    <x v="6"/>
  </r>
  <r>
    <s v="Vestdanmark"/>
    <x v="2"/>
    <n v="-404364.60278626671"/>
    <s v="CO2 - atmosfære"/>
    <x v="0"/>
  </r>
  <r>
    <s v="Vestdanmark"/>
    <x v="2"/>
    <n v="2526380.4485877971"/>
    <s v="Landbrug"/>
    <x v="1"/>
  </r>
  <r>
    <s v="Vestdanmark"/>
    <x v="2"/>
    <n v="3122963.8436412625"/>
    <s v="Landbrug"/>
    <x v="2"/>
  </r>
  <r>
    <s v="Vestdanmark"/>
    <x v="2"/>
    <n v="26.361074410417238"/>
    <s v="Landbrug"/>
    <x v="2"/>
  </r>
  <r>
    <s v="Vestdanmark"/>
    <x v="2"/>
    <n v="65.998469138771299"/>
    <s v="Landbrug"/>
    <x v="2"/>
  </r>
  <r>
    <s v="Vestdanmark"/>
    <x v="2"/>
    <n v="-32111.211335450222"/>
    <s v="Hav"/>
    <x v="3"/>
  </r>
  <r>
    <s v="Vestdanmark"/>
    <x v="2"/>
    <n v="-4628267.5003342489"/>
    <s v="Skov"/>
    <x v="4"/>
  </r>
  <r>
    <s v="Vestdanmark"/>
    <x v="2"/>
    <n v="-223378.0107666596"/>
    <s v="Biogasanlæg"/>
    <x v="5"/>
  </r>
  <r>
    <s v="Vestdanmark"/>
    <x v="2"/>
    <n v="-1170044.5321225177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048155.1801016615"/>
    <s v="CO2 - atmosfære"/>
    <x v="0"/>
  </r>
  <r>
    <s v="Østdanmark"/>
    <x v="1"/>
    <n v="359533.67866973061"/>
    <s v="Landbrug"/>
    <x v="1"/>
  </r>
  <r>
    <s v="Østdanmark"/>
    <x v="1"/>
    <n v="1198152.1265894875"/>
    <s v="Landbrug"/>
    <x v="2"/>
  </r>
  <r>
    <s v="Østdanmark"/>
    <x v="1"/>
    <n v="111846.67809052247"/>
    <s v="Landbrug"/>
    <x v="2"/>
  </r>
  <r>
    <s v="Østdanmark"/>
    <x v="1"/>
    <n v="7.1104610596313274"/>
    <s v="Landbrug"/>
    <x v="2"/>
  </r>
  <r>
    <s v="Østdanmark"/>
    <x v="1"/>
    <n v="-674.70029884327505"/>
    <s v="Hav"/>
    <x v="3"/>
  </r>
  <r>
    <s v="Østdanmark"/>
    <x v="1"/>
    <n v="-335436.22053951514"/>
    <s v="Skov"/>
    <x v="4"/>
  </r>
  <r>
    <s v="Østdanmark"/>
    <x v="1"/>
    <n v="-27257.787268367691"/>
    <s v="Biogasanlæg"/>
    <x v="5"/>
  </r>
  <r>
    <s v="Østdanmark"/>
    <x v="1"/>
    <n v="-258015.70560241287"/>
    <s v="Pyrolyseproces"/>
    <x v="6"/>
  </r>
  <r>
    <s v="Østdanmark"/>
    <x v="2"/>
    <n v="206667.31041619612"/>
    <s v="CO2 - atmosfære"/>
    <x v="0"/>
  </r>
  <r>
    <s v="Østdanmark"/>
    <x v="2"/>
    <n v="224630.18771214719"/>
    <s v="Landbrug"/>
    <x v="1"/>
  </r>
  <r>
    <s v="Østdanmark"/>
    <x v="2"/>
    <n v="1133079.0796839043"/>
    <s v="Landbrug"/>
    <x v="2"/>
  </r>
  <r>
    <s v="Østdanmark"/>
    <x v="2"/>
    <n v="2.8411999718285972"/>
    <s v="Landbrug"/>
    <x v="2"/>
  </r>
  <r>
    <s v="Østdanmark"/>
    <x v="2"/>
    <n v="7.1104610596313282"/>
    <s v="Landbrug"/>
    <x v="2"/>
  </r>
  <r>
    <s v="Østdanmark"/>
    <x v="2"/>
    <n v="-8067.9044826491263"/>
    <s v="Hav"/>
    <x v="3"/>
  </r>
  <r>
    <s v="Østdanmark"/>
    <x v="2"/>
    <n v="-660061.31834341818"/>
    <s v="Skov"/>
    <x v="4"/>
  </r>
  <r>
    <s v="Østdanmark"/>
    <x v="2"/>
    <n v="-21300.551270670971"/>
    <s v="Biogasanlæg"/>
    <x v="5"/>
  </r>
  <r>
    <s v="Østdanmark"/>
    <x v="2"/>
    <n v="-461622.13454414881"/>
    <s v="Pyrolyseproces"/>
    <x v="6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735284.33485275437"/>
    <n v="49206.445220713846"/>
    <n v="0"/>
    <n v="43439.71273733316"/>
    <n v="0"/>
    <n v="0"/>
    <n v="0"/>
    <n v="0"/>
    <n v="642638.17689470737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442702887.09198487"/>
    <n v="0"/>
    <n v="0"/>
    <n v="0"/>
    <n v="0"/>
    <n v="0"/>
    <n v="442702887.09198487"/>
    <n v="0"/>
    <n v="0"/>
    <n v="0"/>
    <n v="442702887.09198487"/>
    <n v="0"/>
    <n v="0"/>
    <n v="0"/>
    <n v="0"/>
    <n v="0"/>
    <n v="0"/>
    <n v="0"/>
    <n v="0"/>
  </r>
  <r>
    <x v="4"/>
    <x v="10"/>
    <n v="0"/>
    <x v="1"/>
    <s v="Vestdanmark"/>
    <n v="18319681.436583094"/>
    <n v="0"/>
    <n v="0"/>
    <n v="0"/>
    <n v="0"/>
    <n v="14824448.951279402"/>
    <n v="0"/>
    <n v="0"/>
    <n v="3495232.4853036925"/>
    <n v="0"/>
    <n v="0"/>
    <n v="0"/>
    <n v="0"/>
    <n v="0"/>
    <n v="0"/>
    <n v="0"/>
    <n v="0"/>
    <n v="0"/>
    <n v="0"/>
  </r>
  <r>
    <x v="5"/>
    <x v="1"/>
    <n v="1"/>
    <x v="1"/>
    <s v="Vestdanmark"/>
    <n v="2481780.8357572313"/>
    <n v="0"/>
    <n v="0"/>
    <n v="0"/>
    <n v="1538704.1181694835"/>
    <n v="0"/>
    <n v="0"/>
    <n v="0"/>
    <n v="943076.71758774784"/>
    <n v="943076.71758774784"/>
    <n v="1538704.1181694835"/>
    <n v="0.53569216814405574"/>
    <n v="1.4097162319580414"/>
    <n v="0.87402406381398567"/>
    <n v="0.53569216814405574"/>
    <n v="40329.155171576873"/>
    <n v="106129.35571467598"/>
    <n v="65800.200543099112"/>
    <n v="40329.155171576873"/>
  </r>
  <r>
    <x v="6"/>
    <x v="2"/>
    <n v="1"/>
    <x v="1"/>
    <s v="Vestdanmark"/>
    <n v="2150858.1410453846"/>
    <n v="0"/>
    <n v="0"/>
    <n v="0"/>
    <n v="1333532.0474481385"/>
    <n v="309416.30686181458"/>
    <n v="0"/>
    <n v="0"/>
    <n v="507909.78673543152"/>
    <n v="507909.78673543152"/>
    <n v="1333532.0474481385"/>
    <n v="1.0940376806281196"/>
    <n v="3.9664657108314101"/>
    <n v="2.8724280302032903"/>
    <n v="1.0940376806281198"/>
    <n v="152372.93602062945"/>
    <n v="552432.55025507102"/>
    <n v="400059.61423444154"/>
    <n v="152372.93602062948"/>
  </r>
  <r>
    <x v="7"/>
    <x v="10"/>
    <n v="0"/>
    <x v="1"/>
    <s v="Vestdanmark"/>
    <n v="1748012.9176534868"/>
    <n v="1757373.0435969227"/>
    <n v="0"/>
    <n v="0"/>
    <n v="0"/>
    <n v="0"/>
    <n v="0"/>
    <n v="0"/>
    <n v="-9360.1259434358217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5172.4902040381994"/>
    <n v="3170.2359315072836"/>
    <n v="0"/>
    <n v="0"/>
    <n v="0"/>
    <n v="0"/>
    <n v="5172.4902040381994"/>
    <n v="0"/>
    <n v="2.4325704180571247E-3"/>
    <n v="2.4325704180571247E-3"/>
    <n v="0"/>
    <n v="0"/>
    <n v="325.86688285440658"/>
    <n v="325.86688285440658"/>
    <n v="0"/>
  </r>
  <r>
    <x v="9"/>
    <x v="10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</r>
  <r>
    <x v="10"/>
    <x v="10"/>
    <n v="0"/>
    <x v="1"/>
    <s v="Vestdanmark"/>
    <n v="1001970.2375971108"/>
    <n v="0"/>
    <n v="0"/>
    <n v="0"/>
    <n v="0"/>
    <n v="0"/>
    <n v="0"/>
    <n v="0"/>
    <n v="1001970.2375971108"/>
    <n v="0"/>
    <n v="0"/>
    <n v="0"/>
    <n v="0"/>
    <n v="0"/>
    <n v="0"/>
    <n v="0"/>
    <n v="0"/>
    <n v="0"/>
    <n v="0"/>
  </r>
  <r>
    <x v="11"/>
    <x v="10"/>
    <n v="0"/>
    <x v="1"/>
    <s v="Vestdanmark"/>
    <n v="139807.2046539399"/>
    <n v="0"/>
    <n v="0"/>
    <n v="257923.29437791562"/>
    <n v="0"/>
    <n v="0"/>
    <n v="0"/>
    <n v="0"/>
    <n v="-118116.08972397572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3481475.447011745"/>
    <n v="9936191.571616387"/>
    <n v="0"/>
    <n v="0"/>
    <n v="0"/>
    <n v="0"/>
    <n v="0"/>
    <n v="5078828.5991281262"/>
    <n v="-1533544.7237327676"/>
    <n v="0"/>
    <n v="0"/>
    <n v="0"/>
    <n v="0"/>
    <n v="0"/>
    <n v="0"/>
    <n v="0"/>
    <n v="0"/>
    <n v="0"/>
    <n v="0"/>
  </r>
  <r>
    <x v="14"/>
    <x v="10"/>
    <n v="0"/>
    <x v="1"/>
    <s v="Vestdanmark"/>
    <n v="849034.84571740788"/>
    <n v="849034.8457174078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502657.2310032574"/>
    <n v="0"/>
    <n v="0"/>
    <n v="270140.71358529059"/>
    <n v="0"/>
    <n v="0"/>
    <n v="0"/>
    <n v="0"/>
    <n v="1232516.5174179669"/>
    <n v="0"/>
    <n v="0"/>
    <n v="0"/>
    <n v="0"/>
    <n v="0"/>
    <n v="0"/>
    <n v="0"/>
    <n v="0"/>
    <n v="0"/>
    <n v="0"/>
  </r>
  <r>
    <x v="16"/>
    <x v="5"/>
    <n v="1"/>
    <x v="1"/>
    <s v="Vestdanmark"/>
    <n v="2924190.6957464674"/>
    <n v="561023.48468616733"/>
    <n v="583713.23835090676"/>
    <n v="0"/>
    <n v="0"/>
    <n v="0"/>
    <n v="694779.36433719518"/>
    <n v="1084674.6083721975"/>
    <n v="0"/>
    <n v="0"/>
    <n v="694779.36433719518"/>
    <n v="0"/>
    <n v="7.1811049582161264"/>
    <n v="0"/>
    <n v="7.1811049582161264"/>
    <n v="0"/>
    <n v="590562.45968661585"/>
    <n v="0"/>
    <n v="590562.45968661585"/>
  </r>
  <r>
    <x v="17"/>
    <x v="1"/>
    <n v="1"/>
    <x v="1"/>
    <s v="Vestdanmark"/>
    <n v="526734.10986839118"/>
    <n v="0"/>
    <n v="0"/>
    <n v="0"/>
    <n v="428758.06783893198"/>
    <n v="0"/>
    <n v="97976.042029459204"/>
    <n v="0"/>
    <n v="0"/>
    <n v="0"/>
    <n v="526734.10986839118"/>
    <n v="0"/>
    <n v="2.4771511203079672"/>
    <n v="0.72806121225525533"/>
    <n v="1.7490899080527118"/>
    <n v="0"/>
    <n v="158020.23296051734"/>
    <n v="128627.42035167958"/>
    <n v="29392.812608837761"/>
  </r>
  <r>
    <x v="18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1"/>
    <s v="Vestdanmark"/>
    <n v="458632.55661358172"/>
    <n v="0"/>
    <n v="0"/>
    <n v="0"/>
    <n v="420706.10687194945"/>
    <n v="0"/>
    <n v="0"/>
    <n v="0"/>
    <n v="37926.44974163227"/>
    <n v="37926.44974163227"/>
    <n v="420706.10687194945"/>
    <n v="0.16434023716895907"/>
    <n v="1.7138683521085021"/>
    <n v="1.549528114939543"/>
    <n v="0.16434023716895907"/>
    <n v="15929.108891485554"/>
    <n v="192625.6737777043"/>
    <n v="176696.56488621875"/>
    <n v="15929.10889148555"/>
  </r>
  <r>
    <x v="20"/>
    <x v="10"/>
    <n v="0"/>
    <x v="1"/>
    <s v="Vestdanmark"/>
    <n v="644035.8493924035"/>
    <n v="0"/>
    <n v="0"/>
    <n v="0"/>
    <n v="0"/>
    <n v="0"/>
    <n v="0"/>
    <n v="0"/>
    <n v="644035.8493924035"/>
    <n v="0"/>
    <n v="0"/>
    <n v="0"/>
    <n v="0"/>
    <n v="0"/>
    <n v="0"/>
    <n v="0"/>
    <n v="0"/>
    <n v="0"/>
    <n v="0"/>
  </r>
  <r>
    <x v="21"/>
    <x v="10"/>
    <n v="0"/>
    <x v="1"/>
    <s v="Vestdanmark"/>
    <n v="2153496.967481425"/>
    <n v="0"/>
    <n v="0"/>
    <n v="123531.68309679118"/>
    <n v="0"/>
    <n v="0"/>
    <n v="0"/>
    <n v="0"/>
    <n v="2029965.2843846339"/>
    <n v="0"/>
    <n v="0"/>
    <n v="0"/>
    <n v="0"/>
    <n v="0"/>
    <n v="0"/>
    <n v="0"/>
    <n v="0"/>
    <n v="0"/>
    <n v="0"/>
  </r>
  <r>
    <x v="22"/>
    <x v="5"/>
    <n v="1"/>
    <x v="1"/>
    <s v="Vestdanmark"/>
    <n v="4836920.0011490174"/>
    <n v="4738960.0403951732"/>
    <n v="0"/>
    <n v="295933.04302308214"/>
    <n v="0"/>
    <n v="0"/>
    <n v="0"/>
    <n v="0"/>
    <n v="-197973.08226923831"/>
    <n v="0"/>
    <n v="0"/>
    <n v="0"/>
    <n v="0"/>
    <n v="0"/>
    <n v="0"/>
    <n v="0"/>
    <n v="0"/>
    <n v="0"/>
    <n v="0"/>
  </r>
  <r>
    <x v="23"/>
    <x v="10"/>
    <n v="0"/>
    <x v="1"/>
    <s v="Vestdanmark"/>
    <n v="0"/>
    <n v="0"/>
    <n v="0"/>
    <n v="0"/>
    <n v="0"/>
    <n v="1144486.0287738238"/>
    <n v="0"/>
    <n v="0"/>
    <n v="-1144486.0287738238"/>
    <n v="0"/>
    <n v="0"/>
    <n v="0"/>
    <n v="0"/>
    <n v="0"/>
    <n v="0"/>
    <n v="0"/>
    <n v="0"/>
    <n v="0"/>
    <n v="0"/>
  </r>
  <r>
    <x v="24"/>
    <x v="2"/>
    <n v="1"/>
    <x v="1"/>
    <s v="Vestdanmark"/>
    <n v="10386797.369068628"/>
    <n v="0"/>
    <n v="0"/>
    <n v="0"/>
    <n v="6439814.3688225495"/>
    <n v="3946983.0002460787"/>
    <n v="0"/>
    <n v="0"/>
    <n v="0"/>
    <n v="0"/>
    <n v="6439814.3688225495"/>
    <n v="0"/>
    <n v="3.2597696353542869"/>
    <n v="3.2597696353542869"/>
    <n v="0"/>
    <n v="0"/>
    <n v="489425.89203051373"/>
    <n v="489425.89203051373"/>
    <n v="0"/>
  </r>
  <r>
    <x v="25"/>
    <x v="10"/>
    <n v="0"/>
    <x v="1"/>
    <s v="Vestdanmark"/>
    <n v="1296795.0922933305"/>
    <n v="1106692.197418018"/>
    <n v="0"/>
    <n v="0"/>
    <n v="0"/>
    <n v="0"/>
    <n v="0"/>
    <n v="0"/>
    <n v="190102.89487531246"/>
    <n v="0"/>
    <n v="0"/>
    <n v="0"/>
    <n v="0"/>
    <n v="0"/>
    <n v="0"/>
    <n v="0"/>
    <n v="0"/>
    <n v="0"/>
    <n v="0"/>
  </r>
  <r>
    <x v="26"/>
    <x v="4"/>
    <n v="1"/>
    <x v="1"/>
    <s v="Vestdanmark"/>
    <n v="4026803.5120526911"/>
    <n v="4627957.3505216967"/>
    <n v="0"/>
    <n v="0"/>
    <n v="0"/>
    <n v="0"/>
    <n v="0"/>
    <n v="0"/>
    <n v="-601153.83846900566"/>
    <n v="0"/>
    <n v="0"/>
    <n v="0"/>
    <n v="0"/>
    <n v="0"/>
    <n v="0"/>
    <n v="0"/>
    <n v="0"/>
    <n v="0"/>
    <n v="0"/>
  </r>
  <r>
    <x v="27"/>
    <x v="10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84934.510833187902"/>
    <n v="0"/>
    <n v="0"/>
    <n v="48022.602431121806"/>
    <n v="0"/>
    <n v="0"/>
    <n v="0"/>
    <n v="0"/>
    <n v="36911.908402066096"/>
    <n v="0"/>
    <n v="0"/>
    <n v="0"/>
    <n v="0"/>
    <n v="0"/>
    <n v="0"/>
    <n v="0"/>
    <n v="0"/>
    <n v="0"/>
    <n v="0"/>
  </r>
  <r>
    <x v="30"/>
    <x v="10"/>
    <n v="0"/>
    <x v="1"/>
    <s v="Vestdanmark"/>
    <n v="1412647.5447842737"/>
    <n v="0"/>
    <n v="0"/>
    <n v="0"/>
    <n v="0"/>
    <n v="0"/>
    <n v="0"/>
    <n v="0"/>
    <n v="1412647.5447842737"/>
    <n v="0"/>
    <n v="0"/>
    <n v="0"/>
    <n v="0"/>
    <n v="0"/>
    <n v="0"/>
    <n v="0"/>
    <n v="0"/>
    <n v="0"/>
    <n v="0"/>
  </r>
  <r>
    <x v="31"/>
    <x v="7"/>
    <n v="1"/>
    <x v="1"/>
    <s v="Vestdanmark"/>
    <n v="134802.2173997864"/>
    <n v="0"/>
    <n v="0"/>
    <n v="0"/>
    <n v="0"/>
    <n v="0"/>
    <n v="134802.2173997864"/>
    <n v="0"/>
    <n v="0"/>
    <n v="0"/>
    <n v="134802.2173997864"/>
    <n v="0"/>
    <n v="2.4803608001560695"/>
    <n v="0"/>
    <n v="2.4803608001560695"/>
    <n v="0"/>
    <n v="55942.920220911365"/>
    <n v="0"/>
    <n v="55942.920220911365"/>
  </r>
  <r>
    <x v="32"/>
    <x v="8"/>
    <n v="1"/>
    <x v="1"/>
    <s v="Vestdanmark"/>
    <n v="607417.78068843065"/>
    <n v="0"/>
    <n v="0"/>
    <n v="0"/>
    <n v="0"/>
    <n v="0"/>
    <n v="607417.78068843065"/>
    <n v="0"/>
    <n v="0"/>
    <n v="0"/>
    <n v="607417.78068843065"/>
    <n v="0"/>
    <n v="5.4433310546550349"/>
    <n v="0"/>
    <n v="5.4433310546550349"/>
    <n v="0"/>
    <n v="0"/>
    <n v="0"/>
    <n v="0"/>
  </r>
  <r>
    <x v="33"/>
    <x v="8"/>
    <n v="1"/>
    <x v="1"/>
    <s v="Vestdanmark"/>
    <n v="151854.44517210766"/>
    <n v="0"/>
    <n v="0"/>
    <n v="0"/>
    <n v="0"/>
    <n v="0"/>
    <n v="151854.44517210766"/>
    <n v="0"/>
    <n v="0"/>
    <n v="0"/>
    <n v="151854.44517210766"/>
    <n v="0"/>
    <n v="5.0519804559543458"/>
    <n v="0"/>
    <n v="5.0519804559543458"/>
    <n v="0"/>
    <n v="0"/>
    <n v="0"/>
    <n v="0"/>
  </r>
  <r>
    <x v="34"/>
    <x v="10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</r>
  <r>
    <x v="35"/>
    <x v="10"/>
    <n v="0"/>
    <x v="1"/>
    <s v="Vestdanmark"/>
    <n v="663977.87373411702"/>
    <n v="0"/>
    <n v="0"/>
    <n v="0"/>
    <n v="0"/>
    <n v="0"/>
    <n v="0"/>
    <n v="663977.87373411702"/>
    <n v="0"/>
    <n v="0"/>
    <n v="0"/>
    <n v="0"/>
    <n v="0"/>
    <n v="0"/>
    <n v="0"/>
    <n v="0"/>
    <n v="0"/>
    <n v="0"/>
    <n v="0"/>
  </r>
  <r>
    <x v="36"/>
    <x v="10"/>
    <n v="0"/>
    <x v="1"/>
    <s v="Vestdanmark"/>
    <n v="331988.93686705851"/>
    <n v="158593.80217920942"/>
    <n v="0"/>
    <n v="0"/>
    <n v="0"/>
    <n v="0"/>
    <n v="0"/>
    <n v="0"/>
    <n v="173395.13468784909"/>
    <n v="0"/>
    <n v="0"/>
    <n v="0"/>
    <n v="0"/>
    <n v="0"/>
    <n v="0"/>
    <n v="0"/>
    <n v="0"/>
    <n v="0"/>
    <n v="0"/>
  </r>
  <r>
    <x v="37"/>
    <x v="9"/>
    <n v="1"/>
    <x v="1"/>
    <s v="Vestdanmark"/>
    <n v="212472.91959491745"/>
    <n v="0"/>
    <n v="0"/>
    <n v="0"/>
    <n v="0"/>
    <n v="0"/>
    <n v="212472.91959491745"/>
    <n v="0"/>
    <n v="0"/>
    <n v="0"/>
    <n v="212472.91959491745"/>
    <n v="0"/>
    <n v="7.4365521858221095"/>
    <n v="0"/>
    <n v="7.4365521858221095"/>
    <n v="0"/>
    <n v="0"/>
    <n v="0"/>
    <n v="0"/>
  </r>
  <r>
    <x v="38"/>
    <x v="4"/>
    <n v="1"/>
    <x v="1"/>
    <s v="Vestdanmark"/>
    <n v="668679.49055744556"/>
    <n v="700073.51609470148"/>
    <n v="0"/>
    <n v="0"/>
    <n v="0"/>
    <n v="0"/>
    <n v="0"/>
    <n v="0"/>
    <n v="-31394.025537255919"/>
    <n v="0"/>
    <n v="0"/>
    <n v="0"/>
    <n v="0"/>
    <n v="0"/>
    <n v="0"/>
    <n v="0"/>
    <n v="0"/>
    <n v="0"/>
    <n v="0"/>
  </r>
  <r>
    <x v="39"/>
    <x v="10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</r>
  <r>
    <x v="40"/>
    <x v="10"/>
    <n v="0"/>
    <x v="1"/>
    <s v="Vestdanmark"/>
    <n v="103754.66217102103"/>
    <n v="38768.714416319999"/>
    <n v="0"/>
    <n v="0"/>
    <n v="0"/>
    <n v="0"/>
    <n v="0"/>
    <n v="0"/>
    <n v="64985.947754701032"/>
    <n v="0"/>
    <n v="0"/>
    <n v="0"/>
    <n v="0"/>
    <n v="0"/>
    <n v="0"/>
    <n v="0"/>
    <n v="0"/>
    <n v="0"/>
    <n v="0"/>
  </r>
  <r>
    <x v="41"/>
    <x v="1"/>
    <n v="1"/>
    <x v="1"/>
    <s v="Vestdanmark"/>
    <n v="3949558.8398278607"/>
    <n v="0"/>
    <n v="0"/>
    <n v="0"/>
    <n v="1974779.4199139304"/>
    <n v="0"/>
    <n v="0"/>
    <n v="0"/>
    <n v="1974779.4199139304"/>
    <n v="1974779.4199139304"/>
    <n v="1974779.4199139304"/>
    <n v="0.98543467833125054"/>
    <n v="1.9708693566625011"/>
    <n v="0.98543467833125054"/>
    <n v="0.98543467833125054"/>
    <n v="118486.76519483581"/>
    <n v="236973.53038967162"/>
    <n v="118486.76519483581"/>
    <n v="118486.76519483581"/>
  </r>
  <r>
    <x v="42"/>
    <x v="2"/>
    <n v="1"/>
    <x v="1"/>
    <s v="Vestdanmark"/>
    <n v="12059866.540704856"/>
    <n v="0"/>
    <n v="0"/>
    <n v="0"/>
    <n v="7477117.2552370103"/>
    <n v="4582749.2854678454"/>
    <n v="0"/>
    <n v="0"/>
    <n v="0"/>
    <n v="0"/>
    <n v="7477117.2552370103"/>
    <n v="0"/>
    <n v="3.2211421135561045"/>
    <n v="3.2211421135561045"/>
    <n v="0"/>
    <n v="0"/>
    <n v="373855.86276185053"/>
    <n v="373855.86276185053"/>
    <n v="0"/>
  </r>
  <r>
    <x v="43"/>
    <x v="10"/>
    <n v="0"/>
    <x v="1"/>
    <s v="Vestdanmark"/>
    <n v="1102410.4206254377"/>
    <n v="0"/>
    <n v="0"/>
    <n v="97500.435238944279"/>
    <n v="0"/>
    <n v="0"/>
    <n v="0"/>
    <n v="0"/>
    <n v="1004909.9853864935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26876.9610476061"/>
    <n v="0"/>
    <n v="0"/>
    <n v="0"/>
    <n v="0"/>
    <n v="0"/>
    <n v="2226876.9610476061"/>
    <n v="0"/>
    <n v="0"/>
    <n v="0"/>
    <n v="2226876.9610476061"/>
    <n v="0"/>
    <n v="32.275394668492638"/>
    <n v="0"/>
    <n v="32.275394668492638"/>
    <n v="0"/>
    <n v="1101376.2303181284"/>
    <n v="0"/>
    <n v="1101376.2303181284"/>
  </r>
  <r>
    <x v="47"/>
    <x v="10"/>
    <n v="0"/>
    <x v="1"/>
    <s v="Vestdanmark"/>
    <n v="613716.58108207851"/>
    <n v="0"/>
    <n v="0"/>
    <n v="0"/>
    <n v="0"/>
    <n v="0"/>
    <n v="0"/>
    <n v="613716.58108207851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609158.83584090974"/>
    <n v="31434.479653499999"/>
    <n v="0"/>
    <n v="112833.22962148272"/>
    <n v="0"/>
    <n v="0"/>
    <n v="0"/>
    <n v="0"/>
    <n v="464891.12656592706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52644993.79872894"/>
    <n v="0"/>
    <n v="0"/>
    <n v="0"/>
    <n v="0"/>
    <n v="0"/>
    <n v="452644993.79872894"/>
    <n v="0"/>
    <n v="0"/>
    <n v="0"/>
    <n v="452644993.79872894"/>
    <n v="0"/>
    <n v="0"/>
    <n v="0"/>
    <n v="0"/>
    <n v="0"/>
    <n v="0"/>
    <n v="0"/>
    <n v="0"/>
  </r>
  <r>
    <x v="4"/>
    <x v="10"/>
    <n v="0"/>
    <x v="2"/>
    <s v="Vestdanmark"/>
    <n v="16711149.491198121"/>
    <n v="0"/>
    <n v="0"/>
    <n v="0"/>
    <n v="0"/>
    <n v="11134649.546942962"/>
    <n v="0"/>
    <n v="0"/>
    <n v="5576499.9442551583"/>
    <n v="0"/>
    <n v="0"/>
    <n v="0"/>
    <n v="0"/>
    <n v="0"/>
    <n v="0"/>
    <n v="0"/>
    <n v="0"/>
    <n v="0"/>
    <n v="0"/>
  </r>
  <r>
    <x v="5"/>
    <x v="1"/>
    <n v="1"/>
    <x v="2"/>
    <s v="Vestdanmark"/>
    <n v="1585432.3318038937"/>
    <n v="0"/>
    <n v="0"/>
    <n v="0"/>
    <n v="1268345.8654431151"/>
    <n v="0"/>
    <n v="0"/>
    <n v="0"/>
    <n v="317086.46636077855"/>
    <n v="317086.46636077855"/>
    <n v="1268345.8654431151"/>
    <n v="0.1801133815374231"/>
    <n v="0.900566907687116"/>
    <n v="0.72045352614969294"/>
    <n v="0.18011338153742307"/>
    <n v="13559.691450532489"/>
    <n v="67798.457252662498"/>
    <n v="54238.765802130001"/>
    <n v="13559.691450532497"/>
  </r>
  <r>
    <x v="6"/>
    <x v="2"/>
    <n v="1"/>
    <x v="2"/>
    <s v="Vestdanmark"/>
    <n v="1458137.3135203668"/>
    <n v="0"/>
    <n v="0"/>
    <n v="0"/>
    <n v="1166509.8508162934"/>
    <n v="110401.82516654204"/>
    <n v="0"/>
    <n v="0"/>
    <n v="181225.63753753132"/>
    <n v="181225.63753753132"/>
    <n v="1166509.8508162934"/>
    <n v="0.39036002325584246"/>
    <n v="2.9030222419141385"/>
    <n v="2.5126622186582961"/>
    <n v="0.3903600232558424"/>
    <n v="54367.691261259395"/>
    <n v="404320.6465061474"/>
    <n v="349952.95524488803"/>
    <n v="54367.691261259373"/>
  </r>
  <r>
    <x v="7"/>
    <x v="10"/>
    <n v="0"/>
    <x v="2"/>
    <s v="Vestdanmark"/>
    <n v="1116680.4723967942"/>
    <n v="1122659.9876249996"/>
    <n v="0"/>
    <n v="0"/>
    <n v="0"/>
    <n v="0"/>
    <n v="0"/>
    <n v="0"/>
    <n v="-5979.5152282053605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6892.4253779859373"/>
    <n v="1723.1063444964839"/>
    <n v="0"/>
    <n v="0"/>
    <n v="0"/>
    <n v="0"/>
    <n v="6892.4253779859373"/>
    <n v="0"/>
    <n v="3.2414387310130063E-3"/>
    <n v="3.2414387310130063E-3"/>
    <n v="0"/>
    <n v="0"/>
    <n v="434.22279881311403"/>
    <n v="434.22279881311403"/>
    <n v="0"/>
  </r>
  <r>
    <x v="9"/>
    <x v="10"/>
    <n v="0"/>
    <x v="2"/>
    <s v="Vestdanmark"/>
    <n v="173658.75124992887"/>
    <n v="0"/>
    <n v="0"/>
    <n v="18335.399813490942"/>
    <n v="0"/>
    <n v="0"/>
    <n v="0"/>
    <n v="0"/>
    <n v="155323.35143643792"/>
    <n v="0"/>
    <n v="0"/>
    <n v="0"/>
    <n v="0"/>
    <n v="0"/>
    <n v="0"/>
    <n v="0"/>
    <n v="0"/>
    <n v="0"/>
    <n v="0"/>
  </r>
  <r>
    <x v="10"/>
    <x v="10"/>
    <n v="0"/>
    <x v="2"/>
    <s v="Vestdanmark"/>
    <n v="792091.46065631567"/>
    <n v="0"/>
    <n v="0"/>
    <n v="0"/>
    <n v="0"/>
    <n v="0"/>
    <n v="0"/>
    <n v="0"/>
    <n v="792091.46065631567"/>
    <n v="0"/>
    <n v="0"/>
    <n v="0"/>
    <n v="0"/>
    <n v="0"/>
    <n v="0"/>
    <n v="0"/>
    <n v="0"/>
    <n v="0"/>
    <n v="0"/>
  </r>
  <r>
    <x v="11"/>
    <x v="10"/>
    <n v="0"/>
    <x v="2"/>
    <s v="Vestdanmark"/>
    <n v="116507.263767978"/>
    <n v="0"/>
    <n v="0"/>
    <n v="267978.92035102146"/>
    <n v="0"/>
    <n v="0"/>
    <n v="0"/>
    <n v="0"/>
    <n v="-151471.65658304346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7962057.7199019091"/>
    <n v="6347522.3700933373"/>
    <n v="0"/>
    <n v="0"/>
    <n v="0"/>
    <n v="0"/>
    <n v="0"/>
    <n v="3244500.462221988"/>
    <n v="-1629965.1124134166"/>
    <n v="0"/>
    <n v="0"/>
    <n v="0"/>
    <n v="0"/>
    <n v="0"/>
    <n v="0"/>
    <n v="0"/>
    <n v="0"/>
    <n v="0"/>
    <n v="0"/>
  </r>
  <r>
    <x v="14"/>
    <x v="10"/>
    <n v="0"/>
    <x v="2"/>
    <s v="Vestdanmark"/>
    <n v="542387.65802129998"/>
    <n v="542387.6580212999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257296.7096095001"/>
    <n v="0"/>
    <n v="0"/>
    <n v="280672.65868343826"/>
    <n v="0"/>
    <n v="0"/>
    <n v="0"/>
    <n v="0"/>
    <n v="976624.05092606181"/>
    <n v="0"/>
    <n v="0"/>
    <n v="0"/>
    <n v="0"/>
    <n v="0"/>
    <n v="0"/>
    <n v="0"/>
    <n v="0"/>
    <n v="0"/>
    <n v="0"/>
  </r>
  <r>
    <x v="16"/>
    <x v="5"/>
    <n v="1"/>
    <x v="2"/>
    <s v="Vestdanmark"/>
    <n v="2932613.2066284004"/>
    <n v="358397.79190306552"/>
    <n v="367504.60397489293"/>
    <n v="0"/>
    <n v="0"/>
    <n v="0"/>
    <n v="413997.02302441839"/>
    <n v="1792713.787726023"/>
    <n v="0"/>
    <n v="0"/>
    <n v="413997.02302441839"/>
    <n v="0"/>
    <n v="4.2789930549585398"/>
    <n v="0"/>
    <n v="4.2789930549585398"/>
    <n v="0"/>
    <n v="351897.46957075561"/>
    <n v="0"/>
    <n v="351897.46957075561"/>
  </r>
  <r>
    <x v="17"/>
    <x v="1"/>
    <n v="1"/>
    <x v="2"/>
    <s v="Vestdanmark"/>
    <n v="524881.97503939818"/>
    <n v="0"/>
    <n v="0"/>
    <n v="0"/>
    <n v="427250.44238658639"/>
    <n v="0"/>
    <n v="97631.532652811788"/>
    <n v="0"/>
    <n v="0"/>
    <n v="0"/>
    <n v="524881.97503939818"/>
    <n v="0"/>
    <n v="2.468440809392753"/>
    <n v="0.72550115870339082"/>
    <n v="1.7429396506893622"/>
    <n v="0"/>
    <n v="157464.59251181944"/>
    <n v="128175.13271597591"/>
    <n v="29289.459795843533"/>
  </r>
  <r>
    <x v="18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Vestdanmark"/>
    <n v="359965.86402345594"/>
    <n v="0"/>
    <n v="0"/>
    <n v="0"/>
    <n v="330372.74489675317"/>
    <n v="0"/>
    <n v="0"/>
    <n v="0"/>
    <n v="29593.119126702775"/>
    <n v="29593.119126702775"/>
    <n v="330372.74489675317"/>
    <n v="0.1282308322814896"/>
    <n v="1.3450466765617874"/>
    <n v="1.2168158442802979"/>
    <n v="0.12823083228148957"/>
    <n v="12429.110033215165"/>
    <n v="151185.66288985149"/>
    <n v="138756.55285663632"/>
    <n v="12429.110033215169"/>
  </r>
  <r>
    <x v="20"/>
    <x v="10"/>
    <n v="0"/>
    <x v="2"/>
    <s v="Vestdanmark"/>
    <n v="520573.94312179892"/>
    <n v="0"/>
    <n v="0"/>
    <n v="0"/>
    <n v="0"/>
    <n v="0"/>
    <n v="0"/>
    <n v="0"/>
    <n v="520573.94312179892"/>
    <n v="0"/>
    <n v="0"/>
    <n v="0"/>
    <n v="0"/>
    <n v="0"/>
    <n v="0"/>
    <n v="0"/>
    <n v="0"/>
    <n v="0"/>
    <n v="0"/>
  </r>
  <r>
    <x v="21"/>
    <x v="10"/>
    <n v="0"/>
    <x v="2"/>
    <s v="Vestdanmark"/>
    <n v="1748472.631855153"/>
    <n v="0"/>
    <n v="0"/>
    <n v="128347.79869443661"/>
    <n v="0"/>
    <n v="0"/>
    <n v="0"/>
    <n v="0"/>
    <n v="1620124.8331607163"/>
    <n v="0"/>
    <n v="0"/>
    <n v="0"/>
    <n v="0"/>
    <n v="0"/>
    <n v="0"/>
    <n v="0"/>
    <n v="0"/>
    <n v="0"/>
    <n v="0"/>
  </r>
  <r>
    <x v="22"/>
    <x v="5"/>
    <n v="1"/>
    <x v="2"/>
    <s v="Vestdanmark"/>
    <n v="3920720.3662957777"/>
    <n v="3027382.7402155618"/>
    <n v="0"/>
    <n v="307470.55071854044"/>
    <n v="0"/>
    <n v="0"/>
    <n v="0"/>
    <n v="0"/>
    <n v="585867.07536167558"/>
    <n v="585867.07536167558"/>
    <n v="0"/>
    <n v="2.0065127117231887"/>
    <n v="2.0065127117231887"/>
    <n v="0"/>
    <n v="2.0065127117231887"/>
    <n v="181618.79336211944"/>
    <n v="181618.79336211944"/>
    <n v="0"/>
    <n v="181618.79336211944"/>
  </r>
  <r>
    <x v="23"/>
    <x v="10"/>
    <n v="0"/>
    <x v="2"/>
    <s v="Vestdanmark"/>
    <n v="0"/>
    <n v="0"/>
    <n v="0"/>
    <n v="0"/>
    <n v="0"/>
    <n v="1136583.5049650094"/>
    <n v="0"/>
    <n v="0"/>
    <n v="-1136583.5049650094"/>
    <n v="0"/>
    <n v="0"/>
    <n v="0"/>
    <n v="0"/>
    <n v="0"/>
    <n v="0"/>
    <n v="0"/>
    <n v="0"/>
    <n v="0"/>
    <n v="0"/>
  </r>
  <r>
    <x v="24"/>
    <x v="2"/>
    <n v="1"/>
    <x v="2"/>
    <s v="Vestdanmark"/>
    <n v="6367703.2512749117"/>
    <n v="0"/>
    <n v="0"/>
    <n v="0"/>
    <n v="5094162.6010199301"/>
    <n v="1273540.6502549821"/>
    <n v="0"/>
    <n v="0"/>
    <n v="0"/>
    <n v="0"/>
    <n v="5094162.6010199301"/>
    <n v="0"/>
    <n v="2.5786141670102789"/>
    <n v="2.5786141670102789"/>
    <n v="0"/>
    <n v="0"/>
    <n v="387156.35767751466"/>
    <n v="387156.35767751466"/>
    <n v="0"/>
  </r>
  <r>
    <x v="25"/>
    <x v="10"/>
    <n v="0"/>
    <x v="2"/>
    <s v="Vestdanmark"/>
    <n v="795441.73503903183"/>
    <n v="706986.51785111031"/>
    <n v="0"/>
    <n v="0"/>
    <n v="0"/>
    <n v="0"/>
    <n v="0"/>
    <n v="0"/>
    <n v="88455.217187921517"/>
    <n v="0"/>
    <n v="0"/>
    <n v="0"/>
    <n v="0"/>
    <n v="0"/>
    <n v="0"/>
    <n v="0"/>
    <n v="0"/>
    <n v="0"/>
    <n v="0"/>
  </r>
  <r>
    <x v="26"/>
    <x v="4"/>
    <n v="1"/>
    <x v="2"/>
    <s v="Vestdanmark"/>
    <n v="3204301.4084430053"/>
    <n v="2956471.058206012"/>
    <n v="0"/>
    <n v="0"/>
    <n v="550329.17750715138"/>
    <n v="0"/>
    <n v="0"/>
    <n v="0"/>
    <n v="-302498.8272701581"/>
    <n v="0"/>
    <n v="550329.17750715138"/>
    <n v="0"/>
    <n v="1.9756817472506736"/>
    <n v="1.9756817472506736"/>
    <n v="0"/>
    <n v="0"/>
    <n v="165098.7532521454"/>
    <n v="165098.7532521454"/>
    <n v="0"/>
  </r>
  <r>
    <x v="27"/>
    <x v="10"/>
    <n v="0"/>
    <x v="2"/>
    <s v="Vestdanmark"/>
    <n v="1534789.7228421343"/>
    <n v="0"/>
    <n v="0"/>
    <n v="490824.54885344987"/>
    <n v="0"/>
    <n v="0"/>
    <n v="0"/>
    <n v="0"/>
    <n v="1043965.1739886844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51394.057868840908"/>
    <n v="0"/>
    <n v="0"/>
    <n v="31184.283836637289"/>
    <n v="0"/>
    <n v="0"/>
    <n v="0"/>
    <n v="0"/>
    <n v="20209.774032203619"/>
    <n v="0"/>
    <n v="0"/>
    <n v="0"/>
    <n v="0"/>
    <n v="0"/>
    <n v="0"/>
    <n v="0"/>
    <n v="0"/>
    <n v="0"/>
    <n v="0"/>
  </r>
  <r>
    <x v="30"/>
    <x v="10"/>
    <n v="0"/>
    <x v="2"/>
    <s v="Vestdanmark"/>
    <n v="1143602.1995332621"/>
    <n v="0"/>
    <n v="0"/>
    <n v="0"/>
    <n v="0"/>
    <n v="0"/>
    <n v="0"/>
    <n v="0"/>
    <n v="1143602.1995332621"/>
    <n v="0"/>
    <n v="0"/>
    <n v="0"/>
    <n v="0"/>
    <n v="0"/>
    <n v="0"/>
    <n v="0"/>
    <n v="0"/>
    <n v="0"/>
    <n v="0"/>
  </r>
  <r>
    <x v="31"/>
    <x v="7"/>
    <n v="1"/>
    <x v="2"/>
    <s v="Vestdanmark"/>
    <n v="97651.319921337825"/>
    <n v="0"/>
    <n v="0"/>
    <n v="0"/>
    <n v="0"/>
    <n v="0"/>
    <n v="97651.319921337825"/>
    <n v="0"/>
    <n v="0"/>
    <n v="0"/>
    <n v="97651.319921337825"/>
    <n v="0"/>
    <n v="1.7967842865526156"/>
    <n v="0"/>
    <n v="1.7967842865526156"/>
    <n v="0"/>
    <n v="40525.297767355201"/>
    <n v="0"/>
    <n v="40525.297767355201"/>
  </r>
  <r>
    <x v="32"/>
    <x v="8"/>
    <n v="1"/>
    <x v="2"/>
    <s v="Vestdanmark"/>
    <n v="1003919.7211265729"/>
    <n v="0"/>
    <n v="0"/>
    <n v="0"/>
    <n v="0"/>
    <n v="0"/>
    <n v="1003919.7211265729"/>
    <n v="0"/>
    <n v="0"/>
    <n v="0"/>
    <n v="1003919.7211265729"/>
    <n v="0"/>
    <n v="8.9965548723242712"/>
    <n v="0"/>
    <n v="8.9965548723242712"/>
    <n v="0"/>
    <n v="0"/>
    <n v="0"/>
    <n v="0"/>
  </r>
  <r>
    <x v="33"/>
    <x v="8"/>
    <n v="1"/>
    <x v="2"/>
    <s v="Vestdanmark"/>
    <n v="250979.93028164323"/>
    <n v="0"/>
    <n v="0"/>
    <n v="0"/>
    <n v="0"/>
    <n v="0"/>
    <n v="250979.93028164323"/>
    <n v="0"/>
    <n v="0"/>
    <n v="0"/>
    <n v="250979.93028164323"/>
    <n v="0"/>
    <n v="8.349743737712723"/>
    <n v="0"/>
    <n v="8.349743737712723"/>
    <n v="0"/>
    <n v="0"/>
    <n v="0"/>
    <n v="0"/>
  </r>
  <r>
    <x v="34"/>
    <x v="10"/>
    <n v="0"/>
    <x v="2"/>
    <s v="Vestdanmark"/>
    <n v="2389980.9824422216"/>
    <n v="0"/>
    <n v="0"/>
    <n v="0"/>
    <n v="0"/>
    <n v="0"/>
    <n v="0"/>
    <n v="0"/>
    <n v="2389980.9824422216"/>
    <n v="0"/>
    <n v="0"/>
    <n v="0"/>
    <n v="0"/>
    <n v="0"/>
    <n v="0"/>
    <n v="0"/>
    <n v="0"/>
    <n v="0"/>
    <n v="0"/>
  </r>
  <r>
    <x v="35"/>
    <x v="10"/>
    <n v="0"/>
    <x v="2"/>
    <s v="Vestdanmark"/>
    <n v="547384.79935736058"/>
    <n v="0"/>
    <n v="0"/>
    <n v="0"/>
    <n v="0"/>
    <n v="0"/>
    <n v="0"/>
    <n v="547384.79935736058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73692.39967868029"/>
    <n v="101314.24095790923"/>
    <n v="0"/>
    <n v="0"/>
    <n v="0"/>
    <n v="0"/>
    <n v="0"/>
    <n v="0"/>
    <n v="172378.15872077105"/>
    <n v="0"/>
    <n v="0"/>
    <n v="0"/>
    <n v="0"/>
    <n v="0"/>
    <n v="0"/>
    <n v="0"/>
    <n v="0"/>
    <n v="0"/>
    <n v="0"/>
  </r>
  <r>
    <x v="37"/>
    <x v="9"/>
    <n v="1"/>
    <x v="2"/>
    <s v="Vestdanmark"/>
    <n v="175163.13579435539"/>
    <n v="0"/>
    <n v="0"/>
    <n v="0"/>
    <n v="0"/>
    <n v="0"/>
    <n v="175163.13579435539"/>
    <n v="0"/>
    <n v="0"/>
    <n v="0"/>
    <n v="175163.13579435539"/>
    <n v="0"/>
    <n v="6.1307097528024377"/>
    <n v="0"/>
    <n v="6.1307097528024377"/>
    <n v="0"/>
    <n v="0"/>
    <n v="0"/>
    <n v="0"/>
  </r>
  <r>
    <x v="38"/>
    <x v="4"/>
    <n v="1"/>
    <x v="2"/>
    <s v="Vestdanmark"/>
    <n v="557517.61958207632"/>
    <n v="447226.91507024999"/>
    <n v="0"/>
    <n v="0"/>
    <n v="0"/>
    <n v="0"/>
    <n v="0"/>
    <n v="0"/>
    <n v="110290.70451182633"/>
    <n v="110290.70451182633"/>
    <n v="0"/>
    <n v="0.29933338367327716"/>
    <n v="0.29933338367327716"/>
    <n v="0"/>
    <n v="0.29933338367327716"/>
    <n v="22058.140902365267"/>
    <n v="22058.140902365267"/>
    <n v="0"/>
    <n v="22058.140902365267"/>
  </r>
  <r>
    <x v="39"/>
    <x v="10"/>
    <n v="0"/>
    <x v="2"/>
    <s v="Vestdanmark"/>
    <n v="92783.580859109119"/>
    <n v="0"/>
    <n v="0"/>
    <n v="0"/>
    <n v="0"/>
    <n v="0"/>
    <n v="0"/>
    <n v="0"/>
    <n v="92783.580859109119"/>
    <n v="0"/>
    <n v="0"/>
    <n v="0"/>
    <n v="0"/>
    <n v="0"/>
    <n v="0"/>
    <n v="0"/>
    <n v="0"/>
    <n v="0"/>
    <n v="0"/>
  </r>
  <r>
    <x v="40"/>
    <x v="10"/>
    <n v="0"/>
    <x v="2"/>
    <s v="Vestdanmark"/>
    <n v="63050.124133731362"/>
    <n v="24766.559727"/>
    <n v="0"/>
    <n v="0"/>
    <n v="0"/>
    <n v="0"/>
    <n v="0"/>
    <n v="0"/>
    <n v="38283.564406731362"/>
    <n v="0"/>
    <n v="0"/>
    <n v="0"/>
    <n v="0"/>
    <n v="0"/>
    <n v="0"/>
    <n v="0"/>
    <n v="0"/>
    <n v="0"/>
    <n v="0"/>
  </r>
  <r>
    <x v="41"/>
    <x v="1"/>
    <n v="1"/>
    <x v="2"/>
    <s v="Vestdanmark"/>
    <n v="4062083.073222735"/>
    <n v="0"/>
    <n v="0"/>
    <n v="0"/>
    <n v="3249666.458578188"/>
    <n v="0"/>
    <n v="0"/>
    <n v="0"/>
    <n v="812416.61464454699"/>
    <n v="812416.61464454699"/>
    <n v="3249666.458578188"/>
    <n v="0.40540401487377548"/>
    <n v="2.0270200743688775"/>
    <n v="1.6216160594951019"/>
    <n v="0.40540401487377564"/>
    <n v="48744.99687867282"/>
    <n v="243724.98439336408"/>
    <n v="194979.98751469128"/>
    <n v="48744.996878672799"/>
  </r>
  <r>
    <x v="42"/>
    <x v="2"/>
    <n v="1"/>
    <x v="2"/>
    <s v="Vestdanmark"/>
    <n v="7216145.8837897805"/>
    <n v="0"/>
    <n v="0"/>
    <n v="0"/>
    <n v="5772916.7070318246"/>
    <n v="1443229.1767579557"/>
    <n v="0"/>
    <n v="0"/>
    <n v="0"/>
    <n v="0"/>
    <n v="5772916.7070318246"/>
    <n v="0"/>
    <n v="2.4869725173893107"/>
    <n v="2.4869725173893107"/>
    <n v="0"/>
    <n v="0"/>
    <n v="288645.83535159123"/>
    <n v="288645.83535159123"/>
    <n v="0"/>
  </r>
  <r>
    <x v="43"/>
    <x v="10"/>
    <n v="0"/>
    <x v="2"/>
    <s v="Vestdanmark"/>
    <n v="670075.43744177814"/>
    <n v="0"/>
    <n v="0"/>
    <n v="63313.545971354491"/>
    <n v="0"/>
    <n v="0"/>
    <n v="0"/>
    <n v="0"/>
    <n v="606761.89147042367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347927.0937342439"/>
    <n v="0"/>
    <n v="0"/>
    <n v="0"/>
    <n v="0"/>
    <n v="0"/>
    <n v="2347927.0937342439"/>
    <n v="0"/>
    <n v="0"/>
    <n v="0"/>
    <n v="2347927.0937342439"/>
    <n v="0"/>
    <n v="34.029843107034417"/>
    <n v="0"/>
    <n v="34.029843107034417"/>
    <n v="0"/>
    <n v="1161245.6084427282"/>
    <n v="0"/>
    <n v="1161245.6084427282"/>
  </r>
  <r>
    <x v="47"/>
    <x v="10"/>
    <n v="0"/>
    <x v="2"/>
    <s v="Vestdanmark"/>
    <n v="691748.76447704039"/>
    <n v="0"/>
    <n v="0"/>
    <n v="0"/>
    <n v="0"/>
    <n v="0"/>
    <n v="0"/>
    <n v="691748.76447704039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36972.56744938664"/>
    <n v="6025.5704593107703"/>
    <n v="0"/>
    <n v="37612.453499504722"/>
    <n v="0"/>
    <n v="0"/>
    <n v="0"/>
    <n v="0"/>
    <n v="193334.54349057114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20485929.66191712"/>
    <n v="0"/>
    <n v="0"/>
    <n v="0"/>
    <n v="0"/>
    <n v="0"/>
    <n v="120485929.66191712"/>
    <n v="0"/>
    <n v="0"/>
    <n v="0"/>
    <n v="120485929.66191712"/>
    <n v="0"/>
    <n v="0"/>
    <n v="0"/>
    <n v="0"/>
    <n v="0"/>
    <n v="0"/>
    <n v="0"/>
    <n v="0"/>
  </r>
  <r>
    <x v="4"/>
    <x v="10"/>
    <n v="0"/>
    <x v="1"/>
    <s v="Østdanmark"/>
    <n v="3978923.4945139349"/>
    <n v="0"/>
    <n v="0"/>
    <n v="0"/>
    <n v="0"/>
    <n v="3219780.2363352538"/>
    <n v="0"/>
    <n v="0"/>
    <n v="759143.25817868114"/>
    <n v="0"/>
    <n v="0"/>
    <n v="0"/>
    <n v="0"/>
    <n v="0"/>
    <n v="0"/>
    <n v="0"/>
    <n v="0"/>
    <n v="0"/>
    <n v="0"/>
  </r>
  <r>
    <x v="5"/>
    <x v="1"/>
    <n v="1"/>
    <x v="1"/>
    <s v="Østdanmark"/>
    <n v="303906.23064409656"/>
    <n v="0"/>
    <n v="0"/>
    <n v="0"/>
    <n v="188421.86299933988"/>
    <n v="0"/>
    <n v="0"/>
    <n v="0"/>
    <n v="115484.36764475668"/>
    <n v="115484.36764475668"/>
    <n v="188421.86299933988"/>
    <n v="6.559813230105413E-2"/>
    <n v="0.17262666395014245"/>
    <n v="0.10702853164908832"/>
    <n v="6.559813230105413E-2"/>
    <n v="4938.5027705378388"/>
    <n v="12996.059922467999"/>
    <n v="8057.5571519301593"/>
    <n v="4938.5027705378398"/>
  </r>
  <r>
    <x v="6"/>
    <x v="2"/>
    <n v="1"/>
    <x v="1"/>
    <s v="Østdanmark"/>
    <n v="288837.5497709263"/>
    <n v="0"/>
    <n v="0"/>
    <n v="0"/>
    <n v="179079.28085797431"/>
    <n v="41551.344659903254"/>
    <n v="0"/>
    <n v="0"/>
    <n v="68206.924253048724"/>
    <n v="68206.924253048724"/>
    <n v="179079.28085797431"/>
    <n v="0.14691771484106694"/>
    <n v="0.53265448580914365"/>
    <n v="0.38573677096807668"/>
    <n v="0.14691771484106697"/>
    <n v="20462.077275914617"/>
    <n v="74185.861533306903"/>
    <n v="53723.78425739229"/>
    <n v="20462.077275914613"/>
  </r>
  <r>
    <x v="7"/>
    <x v="10"/>
    <n v="0"/>
    <x v="1"/>
    <s v="Østdanmark"/>
    <n v="214052.75166417882"/>
    <n v="215198.9449753846"/>
    <n v="0"/>
    <n v="0"/>
    <n v="0"/>
    <n v="0"/>
    <n v="0"/>
    <n v="0"/>
    <n v="-1146.1933112057741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434.12519359476988"/>
    <n v="266.07673155808476"/>
    <n v="0"/>
    <n v="0"/>
    <n v="0"/>
    <n v="0"/>
    <n v="434.12519359476988"/>
    <n v="0"/>
    <n v="2.0416473729568434E-4"/>
    <n v="2.0416473729568434E-4"/>
    <n v="0"/>
    <n v="0"/>
    <n v="27.349887196470501"/>
    <n v="27.349887196470501"/>
    <n v="0"/>
  </r>
  <r>
    <x v="9"/>
    <x v="10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</r>
  <r>
    <x v="10"/>
    <x v="10"/>
    <n v="0"/>
    <x v="1"/>
    <s v="Østdanmark"/>
    <n v="325188.93567900889"/>
    <n v="0"/>
    <n v="0"/>
    <n v="0"/>
    <n v="0"/>
    <n v="0"/>
    <n v="0"/>
    <n v="0"/>
    <n v="325188.93567900889"/>
    <n v="0"/>
    <n v="0"/>
    <n v="0"/>
    <n v="0"/>
    <n v="0"/>
    <n v="0"/>
    <n v="0"/>
    <n v="0"/>
    <n v="0"/>
    <n v="0"/>
  </r>
  <r>
    <x v="11"/>
    <x v="10"/>
    <n v="0"/>
    <x v="1"/>
    <s v="Østdanmark"/>
    <n v="45453.077491377226"/>
    <n v="0"/>
    <n v="0"/>
    <n v="223323.94265330929"/>
    <n v="0"/>
    <n v="0"/>
    <n v="0"/>
    <n v="0"/>
    <n v="-177870.86516193207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4023735.0007342594"/>
    <n v="1216735.3716252823"/>
    <n v="0"/>
    <n v="0"/>
    <n v="0"/>
    <n v="0"/>
    <n v="0"/>
    <n v="621927.46168801945"/>
    <n v="2185072.1674209577"/>
    <n v="651527.44368819008"/>
    <n v="0"/>
    <n v="1.1987290554558088"/>
    <n v="1.1987290554558088"/>
    <n v="0"/>
    <n v="1.1987290554558088"/>
    <n v="182427.68423269325"/>
    <n v="182427.68423269325"/>
    <n v="0"/>
    <n v="182427.68423269325"/>
  </r>
  <r>
    <x v="14"/>
    <x v="10"/>
    <n v="0"/>
    <x v="1"/>
    <s v="Østdanmark"/>
    <n v="103968.47937974399"/>
    <n v="103968.4793797440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488829.33816016692"/>
    <n v="0"/>
    <n v="0"/>
    <n v="233902.44520004498"/>
    <n v="0"/>
    <n v="0"/>
    <n v="0"/>
    <n v="0"/>
    <n v="254926.89296012194"/>
    <n v="0"/>
    <n v="0"/>
    <n v="0"/>
    <n v="0"/>
    <n v="0"/>
    <n v="0"/>
    <n v="0"/>
    <n v="0"/>
    <n v="0"/>
    <n v="0"/>
  </r>
  <r>
    <x v="16"/>
    <x v="5"/>
    <n v="1"/>
    <x v="1"/>
    <s v="Østdanmark"/>
    <n v="936016.68504196673"/>
    <n v="68700.076202243421"/>
    <n v="82995.732675897758"/>
    <n v="0"/>
    <n v="0"/>
    <n v="0"/>
    <n v="388995.48453602241"/>
    <n v="395325.39162780321"/>
    <n v="0"/>
    <n v="0"/>
    <n v="388995.48453602241"/>
    <n v="0"/>
    <n v="4.0205819949620647"/>
    <n v="0"/>
    <n v="4.0205819949620647"/>
    <n v="0"/>
    <n v="330646.16185561905"/>
    <n v="0"/>
    <n v="330646.16185561905"/>
  </r>
  <r>
    <x v="17"/>
    <x v="1"/>
    <n v="1"/>
    <x v="1"/>
    <s v="Østdanmark"/>
    <n v="456074.89013160887"/>
    <n v="0"/>
    <n v="0"/>
    <n v="0"/>
    <n v="371241.93216106802"/>
    <n v="0"/>
    <n v="84832.957970540854"/>
    <n v="0"/>
    <n v="0"/>
    <n v="0"/>
    <n v="456074.89013160887"/>
    <n v="0"/>
    <n v="2.1448514608558935"/>
    <n v="0.63039478774474478"/>
    <n v="1.5144566731111486"/>
    <n v="0"/>
    <n v="136822.46703948267"/>
    <n v="111372.5796483204"/>
    <n v="25449.887391162265"/>
  </r>
  <r>
    <x v="18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1"/>
    <s v="Østdanmark"/>
    <n v="195457.14989002657"/>
    <n v="0"/>
    <n v="0"/>
    <n v="0"/>
    <n v="179293.89312805064"/>
    <n v="0"/>
    <n v="0"/>
    <n v="0"/>
    <n v="16163.256761975936"/>
    <n v="16163.256761975936"/>
    <n v="179293.89312805064"/>
    <n v="7.0037492773020793E-2"/>
    <n v="0.73040567783347843"/>
    <n v="0.66036818506045758"/>
    <n v="7.0037492773020849E-2"/>
    <n v="6788.567840029893"/>
    <n v="82092.002953811156"/>
    <n v="75303.435113781263"/>
    <n v="6788.567840029893"/>
  </r>
  <r>
    <x v="20"/>
    <x v="10"/>
    <n v="0"/>
    <x v="1"/>
    <s v="Østdanmark"/>
    <n v="204048.45051038259"/>
    <n v="0"/>
    <n v="0"/>
    <n v="0"/>
    <n v="0"/>
    <n v="0"/>
    <n v="0"/>
    <n v="0"/>
    <n v="204048.45051038259"/>
    <n v="0"/>
    <n v="0"/>
    <n v="0"/>
    <n v="0"/>
    <n v="0"/>
    <n v="0"/>
    <n v="0"/>
    <n v="0"/>
    <n v="0"/>
    <n v="0"/>
  </r>
  <r>
    <x v="21"/>
    <x v="10"/>
    <n v="0"/>
    <x v="1"/>
    <s v="Østdanmark"/>
    <n v="680680.18601722247"/>
    <n v="0"/>
    <n v="0"/>
    <n v="106960.41463921656"/>
    <n v="0"/>
    <n v="0"/>
    <n v="0"/>
    <n v="0"/>
    <n v="573719.77137800585"/>
    <n v="0"/>
    <n v="0"/>
    <n v="0"/>
    <n v="0"/>
    <n v="0"/>
    <n v="0"/>
    <n v="0"/>
    <n v="0"/>
    <n v="0"/>
    <n v="0"/>
  </r>
  <r>
    <x v="22"/>
    <x v="5"/>
    <n v="1"/>
    <x v="1"/>
    <s v="Østdanmark"/>
    <n v="1541299.6719009152"/>
    <n v="580308.89041419514"/>
    <n v="0"/>
    <n v="256234.83946537593"/>
    <n v="0"/>
    <n v="0"/>
    <n v="0"/>
    <n v="0"/>
    <n v="704755.94202134409"/>
    <n v="506782.85975210578"/>
    <n v="0"/>
    <n v="1.7356603450505974"/>
    <n v="1.7356603450505974"/>
    <n v="0"/>
    <n v="1.7356603450505974"/>
    <n v="157102.68652315278"/>
    <n v="157102.68652315278"/>
    <n v="0"/>
    <n v="157102.68652315278"/>
  </r>
  <r>
    <x v="23"/>
    <x v="10"/>
    <n v="0"/>
    <x v="1"/>
    <s v="Østdanmark"/>
    <n v="0"/>
    <n v="0"/>
    <n v="0"/>
    <n v="0"/>
    <n v="0"/>
    <n v="515528.42000534153"/>
    <n v="0"/>
    <n v="0"/>
    <n v="-515528.42000534153"/>
    <n v="0"/>
    <n v="0"/>
    <n v="0"/>
    <n v="0"/>
    <n v="0"/>
    <n v="0"/>
    <n v="0"/>
    <n v="0"/>
    <n v="0"/>
    <n v="0"/>
  </r>
  <r>
    <x v="24"/>
    <x v="2"/>
    <n v="1"/>
    <x v="1"/>
    <s v="Østdanmark"/>
    <n v="738231.33813296724"/>
    <n v="0"/>
    <n v="0"/>
    <n v="0"/>
    <n v="457703.4296424397"/>
    <n v="280527.90849052754"/>
    <n v="0"/>
    <n v="0"/>
    <n v="0"/>
    <n v="0"/>
    <n v="457703.4296424397"/>
    <n v="0"/>
    <n v="0.23168489905070658"/>
    <n v="0.23168489905070658"/>
    <n v="0"/>
    <n v="0"/>
    <n v="34785.460652825415"/>
    <n v="34785.460652825415"/>
    <n v="0"/>
  </r>
  <r>
    <x v="25"/>
    <x v="10"/>
    <n v="0"/>
    <x v="1"/>
    <s v="Østdanmark"/>
    <n v="92168.427114874314"/>
    <n v="135519.88529959068"/>
    <n v="0"/>
    <n v="0"/>
    <n v="0"/>
    <n v="0"/>
    <n v="0"/>
    <n v="0"/>
    <n v="-43351.458184716364"/>
    <n v="0"/>
    <n v="0"/>
    <n v="0"/>
    <n v="0"/>
    <n v="0"/>
    <n v="0"/>
    <n v="0"/>
    <n v="0"/>
    <n v="0"/>
    <n v="0"/>
  </r>
  <r>
    <x v="26"/>
    <x v="4"/>
    <n v="1"/>
    <x v="1"/>
    <s v="Østdanmark"/>
    <n v="1235469.8186668158"/>
    <n v="566716.06683172472"/>
    <n v="0"/>
    <n v="0"/>
    <n v="0"/>
    <n v="0"/>
    <n v="0"/>
    <n v="0"/>
    <n v="668753.75183509104"/>
    <n v="67599.913366085384"/>
    <n v="0"/>
    <n v="0.24268368898424655"/>
    <n v="0.24268368898424655"/>
    <n v="0"/>
    <n v="0.24268368898424655"/>
    <n v="20279.974009825615"/>
    <n v="20279.974009825615"/>
    <n v="0"/>
    <n v="20279.974009825615"/>
  </r>
  <r>
    <x v="27"/>
    <x v="10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6036.6362564051497"/>
    <n v="0"/>
    <n v="0"/>
    <n v="41580.567343702467"/>
    <n v="0"/>
    <n v="0"/>
    <n v="0"/>
    <n v="0"/>
    <n v="-35543.931087297315"/>
    <n v="0"/>
    <n v="0"/>
    <n v="0"/>
    <n v="0"/>
    <n v="0"/>
    <n v="0"/>
    <n v="0"/>
    <n v="0"/>
    <n v="0"/>
    <n v="0"/>
  </r>
  <r>
    <x v="30"/>
    <x v="10"/>
    <n v="0"/>
    <x v="1"/>
    <s v="Østdanmark"/>
    <n v="449217.90264651313"/>
    <n v="0"/>
    <n v="0"/>
    <n v="0"/>
    <n v="0"/>
    <n v="0"/>
    <n v="0"/>
    <n v="0"/>
    <n v="449217.90264651313"/>
    <n v="0"/>
    <n v="0"/>
    <n v="0"/>
    <n v="0"/>
    <n v="0"/>
    <n v="0"/>
    <n v="0"/>
    <n v="0"/>
    <n v="0"/>
    <n v="0"/>
  </r>
  <r>
    <x v="31"/>
    <x v="7"/>
    <n v="1"/>
    <x v="1"/>
    <s v="Østdanmark"/>
    <n v="39848.41282272341"/>
    <n v="0"/>
    <n v="0"/>
    <n v="0"/>
    <n v="0"/>
    <n v="0"/>
    <n v="39848.41282272341"/>
    <n v="0"/>
    <n v="0"/>
    <n v="0"/>
    <n v="39848.41282272341"/>
    <n v="0"/>
    <n v="0.73321079593811067"/>
    <n v="0"/>
    <n v="0.73321079593811067"/>
    <n v="0"/>
    <n v="16537.091321430216"/>
    <n v="0"/>
    <n v="16537.091321430216"/>
  </r>
  <r>
    <x v="32"/>
    <x v="8"/>
    <n v="1"/>
    <x v="1"/>
    <s v="Østdanmark"/>
    <n v="221382.21931156982"/>
    <n v="0"/>
    <n v="0"/>
    <n v="0"/>
    <n v="0"/>
    <n v="0"/>
    <n v="221382.21931156982"/>
    <n v="0"/>
    <n v="0"/>
    <n v="0"/>
    <n v="221382.21931156982"/>
    <n v="0"/>
    <n v="1.9839009453449672"/>
    <n v="0"/>
    <n v="1.9839009453449672"/>
    <n v="0"/>
    <n v="0"/>
    <n v="0"/>
    <n v="0"/>
  </r>
  <r>
    <x v="33"/>
    <x v="8"/>
    <n v="1"/>
    <x v="1"/>
    <s v="Østdanmark"/>
    <n v="55345.554827892454"/>
    <n v="0"/>
    <n v="0"/>
    <n v="0"/>
    <n v="0"/>
    <n v="0"/>
    <n v="55345.554827892454"/>
    <n v="0"/>
    <n v="0"/>
    <n v="0"/>
    <n v="55345.554827892454"/>
    <n v="0"/>
    <n v="1.8412675440456558"/>
    <n v="0"/>
    <n v="1.8412675440456558"/>
    <n v="0"/>
    <n v="0"/>
    <n v="0"/>
    <n v="0"/>
  </r>
  <r>
    <x v="34"/>
    <x v="10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</r>
  <r>
    <x v="35"/>
    <x v="10"/>
    <n v="0"/>
    <x v="1"/>
    <s v="Østdanmark"/>
    <n v="214510.72415794732"/>
    <n v="0"/>
    <n v="0"/>
    <n v="0"/>
    <n v="0"/>
    <n v="0"/>
    <n v="0"/>
    <n v="214510.72415794732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7255.36207897366"/>
    <n v="19420.588606927966"/>
    <n v="0"/>
    <n v="0"/>
    <n v="0"/>
    <n v="0"/>
    <n v="0"/>
    <n v="0"/>
    <n v="87834.773472045694"/>
    <n v="0"/>
    <n v="0"/>
    <n v="0"/>
    <n v="0"/>
    <n v="0"/>
    <n v="0"/>
    <n v="0"/>
    <n v="0"/>
    <n v="0"/>
    <n v="0"/>
  </r>
  <r>
    <x v="37"/>
    <x v="9"/>
    <n v="1"/>
    <x v="1"/>
    <s v="Østdanmark"/>
    <n v="68643.431730543147"/>
    <n v="0"/>
    <n v="0"/>
    <n v="0"/>
    <n v="0"/>
    <n v="0"/>
    <n v="68643.431730543147"/>
    <n v="0"/>
    <n v="0"/>
    <n v="0"/>
    <n v="68643.431730543147"/>
    <n v="0"/>
    <n v="2.4025201105690099"/>
    <n v="0"/>
    <n v="2.4025201105690099"/>
    <n v="0"/>
    <n v="0"/>
    <n v="0"/>
    <n v="0"/>
  </r>
  <r>
    <x v="38"/>
    <x v="4"/>
    <n v="1"/>
    <x v="1"/>
    <s v="Østdanmark"/>
    <n v="224907.22799024681"/>
    <n v="85727.434262012321"/>
    <n v="0"/>
    <n v="0"/>
    <n v="0"/>
    <n v="0"/>
    <n v="0"/>
    <n v="0"/>
    <n v="139179.79372823448"/>
    <n v="107785.76819097856"/>
    <n v="0"/>
    <n v="0.29253488630104346"/>
    <n v="0.29253488630104346"/>
    <n v="0"/>
    <n v="0.29253488630104346"/>
    <n v="21557.153638195712"/>
    <n v="21557.153638195712"/>
    <n v="0"/>
    <n v="21557.153638195712"/>
  </r>
  <r>
    <x v="39"/>
    <x v="10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</r>
  <r>
    <x v="40"/>
    <x v="10"/>
    <n v="0"/>
    <x v="1"/>
    <s v="Østdanmark"/>
    <n v="14632.341003448482"/>
    <n v="4747.4191497600004"/>
    <n v="0"/>
    <n v="0"/>
    <n v="0"/>
    <n v="0"/>
    <n v="0"/>
    <n v="0"/>
    <n v="9884.9218536884819"/>
    <n v="0"/>
    <n v="0"/>
    <n v="0"/>
    <n v="0"/>
    <n v="0"/>
    <n v="0"/>
    <n v="0"/>
    <n v="0"/>
    <n v="0"/>
    <n v="0"/>
  </r>
  <r>
    <x v="41"/>
    <x v="1"/>
    <n v="1"/>
    <x v="1"/>
    <s v="Østdanmark"/>
    <n v="3342323.2852705466"/>
    <n v="0"/>
    <n v="0"/>
    <n v="0"/>
    <n v="1671161.6426352733"/>
    <n v="0"/>
    <n v="0"/>
    <n v="0"/>
    <n v="1671161.6426352733"/>
    <n v="1671161.6426352733"/>
    <n v="1671161.6426352733"/>
    <n v="0.83392637129142788"/>
    <n v="1.6678527425828558"/>
    <n v="0.83392637129142788"/>
    <n v="0.83392637129142788"/>
    <n v="100269.69855811639"/>
    <n v="200539.39711623278"/>
    <n v="100269.69855811639"/>
    <n v="100269.69855811639"/>
  </r>
  <r>
    <x v="42"/>
    <x v="2"/>
    <n v="1"/>
    <x v="1"/>
    <s v="Østdanmark"/>
    <n v="1747439.8704342765"/>
    <n v="0"/>
    <n v="0"/>
    <n v="0"/>
    <n v="1083412.7196692515"/>
    <n v="664027.15076502506"/>
    <n v="0"/>
    <n v="0"/>
    <n v="0"/>
    <n v="0"/>
    <n v="1083412.7196692515"/>
    <n v="0"/>
    <n v="0.46673419963351359"/>
    <n v="0.46673419963351359"/>
    <n v="0"/>
    <n v="0"/>
    <n v="54170.635983462576"/>
    <n v="54170.635983462576"/>
    <n v="0"/>
  </r>
  <r>
    <x v="43"/>
    <x v="10"/>
    <n v="0"/>
    <x v="1"/>
    <s v="Østdanmark"/>
    <n v="159736.08962264023"/>
    <n v="0"/>
    <n v="0"/>
    <n v="84421.151879638346"/>
    <n v="0"/>
    <n v="0"/>
    <n v="0"/>
    <n v="0"/>
    <n v="75314.937743001879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935.48316961934"/>
    <n v="0"/>
    <n v="0"/>
    <n v="0"/>
    <n v="0"/>
    <n v="0"/>
    <n v="647935.48316961934"/>
    <n v="0"/>
    <n v="0"/>
    <n v="0"/>
    <n v="647935.48316961934"/>
    <n v="0"/>
    <n v="9.3908975685760261"/>
    <n v="0"/>
    <n v="9.3908975685760261"/>
    <n v="0"/>
    <n v="320458.09105097421"/>
    <n v="0"/>
    <n v="320458.09105097421"/>
  </r>
  <r>
    <x v="47"/>
    <x v="10"/>
    <n v="0"/>
    <x v="1"/>
    <s v="Østdanmark"/>
    <n v="178333.04788774872"/>
    <n v="0"/>
    <n v="0"/>
    <n v="0"/>
    <n v="0"/>
    <n v="0"/>
    <n v="0"/>
    <n v="178333.04788774872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21015.95064111016"/>
    <n v="3823.0915711153852"/>
    <n v="0"/>
    <n v="98440.006733673188"/>
    <n v="0"/>
    <n v="0"/>
    <n v="0"/>
    <n v="0"/>
    <n v="118752.85233632159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49232892.94223267"/>
    <n v="0"/>
    <n v="0"/>
    <n v="0"/>
    <n v="0"/>
    <n v="0"/>
    <n v="149232892.94223267"/>
    <n v="0"/>
    <n v="0"/>
    <n v="0"/>
    <n v="149232892.94223267"/>
    <n v="0"/>
    <n v="0"/>
    <n v="0"/>
    <n v="0"/>
    <n v="0"/>
    <n v="0"/>
    <n v="0"/>
    <n v="0"/>
  </r>
  <r>
    <x v="4"/>
    <x v="10"/>
    <n v="0"/>
    <x v="2"/>
    <s v="Østdanmark"/>
    <n v="4825001.4556238251"/>
    <n v="0"/>
    <n v="0"/>
    <n v="0"/>
    <n v="0"/>
    <n v="3214901.5422402946"/>
    <n v="0"/>
    <n v="0"/>
    <n v="1610099.9133835305"/>
    <n v="0"/>
    <n v="0"/>
    <n v="0"/>
    <n v="0"/>
    <n v="0"/>
    <n v="0"/>
    <n v="0"/>
    <n v="0"/>
    <n v="0"/>
    <n v="0"/>
  </r>
  <r>
    <x v="5"/>
    <x v="1"/>
    <n v="1"/>
    <x v="2"/>
    <s v="Østdanmark"/>
    <n v="192821.80112748899"/>
    <n v="0"/>
    <n v="0"/>
    <n v="0"/>
    <n v="154257.44090199118"/>
    <n v="0"/>
    <n v="0"/>
    <n v="0"/>
    <n v="38564.360225497803"/>
    <n v="38564.360225497803"/>
    <n v="154257.44090199118"/>
    <n v="2.1905562248559208E-2"/>
    <n v="0.10952781124279602"/>
    <n v="8.7622248994236818E-2"/>
    <n v="2.1905562248559204E-2"/>
    <n v="1649.1426822675"/>
    <n v="8245.7134113374996"/>
    <n v="6596.5707290699993"/>
    <n v="1649.1426822675003"/>
  </r>
  <r>
    <x v="6"/>
    <x v="2"/>
    <n v="1"/>
    <x v="2"/>
    <s v="Østdanmark"/>
    <n v="194332.65736576461"/>
    <n v="0"/>
    <n v="0"/>
    <n v="0"/>
    <n v="155466.12589261169"/>
    <n v="14713.758343407888"/>
    <n v="0"/>
    <n v="0"/>
    <n v="24152.773129745037"/>
    <n v="24152.773129745037"/>
    <n v="155466.12589261169"/>
    <n v="5.2025073321470813E-2"/>
    <n v="0.38689910849415643"/>
    <n v="0.3348740351726856"/>
    <n v="5.2025073321470827E-2"/>
    <n v="7245.8319389235112"/>
    <n v="53885.669706707013"/>
    <n v="46639.837767783501"/>
    <n v="7245.8319389235112"/>
  </r>
  <r>
    <x v="7"/>
    <x v="10"/>
    <n v="0"/>
    <x v="2"/>
    <s v="Østdanmark"/>
    <n v="135811.75030438235"/>
    <n v="136538.9846826923"/>
    <n v="0"/>
    <n v="0"/>
    <n v="0"/>
    <n v="0"/>
    <n v="0"/>
    <n v="0"/>
    <n v="-727.23437830994953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578.47871789484259"/>
    <n v="144.61967947371059"/>
    <n v="0"/>
    <n v="0"/>
    <n v="0"/>
    <n v="0"/>
    <n v="578.47871789484259"/>
    <n v="0"/>
    <n v="2.7205275623876551E-4"/>
    <n v="2.7205275623876551E-4"/>
    <n v="0"/>
    <n v="0"/>
    <n v="36.444159227375081"/>
    <n v="36.444159227375081"/>
    <n v="0"/>
  </r>
  <r>
    <x v="9"/>
    <x v="10"/>
    <n v="0"/>
    <x v="2"/>
    <s v="Østdanmark"/>
    <n v="14575.114892812006"/>
    <n v="0"/>
    <n v="0"/>
    <n v="15996.501094221892"/>
    <n v="0"/>
    <n v="0"/>
    <n v="0"/>
    <n v="0"/>
    <n v="-1421.3862014098868"/>
    <n v="0"/>
    <n v="0"/>
    <n v="0"/>
    <n v="0"/>
    <n v="0"/>
    <n v="0"/>
    <n v="0"/>
    <n v="0"/>
    <n v="0"/>
    <n v="0"/>
  </r>
  <r>
    <x v="10"/>
    <x v="10"/>
    <n v="0"/>
    <x v="2"/>
    <s v="Østdanmark"/>
    <n v="287387.86171913851"/>
    <n v="0"/>
    <n v="0"/>
    <n v="0"/>
    <n v="0"/>
    <n v="0"/>
    <n v="0"/>
    <n v="0"/>
    <n v="287387.86171913851"/>
    <n v="0"/>
    <n v="0"/>
    <n v="0"/>
    <n v="0"/>
    <n v="0"/>
    <n v="0"/>
    <n v="0"/>
    <n v="0"/>
    <n v="0"/>
    <n v="0"/>
  </r>
  <r>
    <x v="11"/>
    <x v="10"/>
    <n v="0"/>
    <x v="2"/>
    <s v="Østdanmark"/>
    <n v="42271.361313865054"/>
    <n v="0"/>
    <n v="0"/>
    <n v="233795.01599247381"/>
    <n v="0"/>
    <n v="0"/>
    <n v="0"/>
    <n v="0"/>
    <n v="-191523.6546786087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888780.8014802146"/>
    <n v="771991.75994211878"/>
    <n v="0"/>
    <n v="0"/>
    <n v="0"/>
    <n v="0"/>
    <n v="0"/>
    <n v="394599.25872257137"/>
    <n v="1722189.7828155244"/>
    <n v="92224.67040210776"/>
    <n v="0"/>
    <n v="0.16968186545607802"/>
    <n v="0.16968186545607802"/>
    <n v="0"/>
    <n v="0.16968186545607802"/>
    <n v="25822.907712590175"/>
    <n v="25822.907712590175"/>
    <n v="0"/>
    <n v="25822.907712590175"/>
  </r>
  <r>
    <x v="14"/>
    <x v="10"/>
    <n v="0"/>
    <x v="2"/>
    <s v="Østdanmark"/>
    <n v="65965.707290699997"/>
    <n v="65965.707290699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456174.53044673882"/>
    <n v="0"/>
    <n v="0"/>
    <n v="244869.51675001203"/>
    <n v="0"/>
    <n v="0"/>
    <n v="0"/>
    <n v="0"/>
    <n v="211305.01369672679"/>
    <n v="0"/>
    <n v="0"/>
    <n v="0"/>
    <n v="0"/>
    <n v="0"/>
    <n v="0"/>
    <n v="0"/>
    <n v="0"/>
    <n v="0"/>
    <n v="0"/>
  </r>
  <r>
    <x v="16"/>
    <x v="5"/>
    <n v="1"/>
    <x v="2"/>
    <s v="Østdanmark"/>
    <n v="1064014.7311507878"/>
    <n v="43588.683268641777"/>
    <n v="51992.644823495335"/>
    <n v="0"/>
    <n v="0"/>
    <n v="0"/>
    <n v="261147.19078467367"/>
    <n v="707286.21227397677"/>
    <n v="0"/>
    <n v="0"/>
    <n v="261147.19078467367"/>
    <n v="0"/>
    <n v="2.6991667899593614"/>
    <n v="0"/>
    <n v="2.6991667899593614"/>
    <n v="0"/>
    <n v="221975.11216697263"/>
    <n v="0"/>
    <n v="221975.11216697263"/>
  </r>
  <r>
    <x v="17"/>
    <x v="1"/>
    <n v="1"/>
    <x v="2"/>
    <s v="Østdanmark"/>
    <n v="457927.02496060182"/>
    <n v="0"/>
    <n v="0"/>
    <n v="0"/>
    <n v="372749.55761341366"/>
    <n v="0"/>
    <n v="85177.467347188154"/>
    <n v="0"/>
    <n v="0"/>
    <n v="0"/>
    <n v="457927.02496060182"/>
    <n v="0"/>
    <n v="2.1535617717711055"/>
    <n v="0.63295484129660939"/>
    <n v="1.520606930474496"/>
    <n v="0"/>
    <n v="137378.10748818054"/>
    <n v="111824.86728402409"/>
    <n v="25553.240204156449"/>
  </r>
  <r>
    <x v="18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Østdanmark"/>
    <n v="184821.60646832324"/>
    <n v="0"/>
    <n v="0"/>
    <n v="0"/>
    <n v="169627.25510324695"/>
    <n v="0"/>
    <n v="0"/>
    <n v="0"/>
    <n v="15194.351365076291"/>
    <n v="15194.351365076291"/>
    <n v="169627.25510324695"/>
    <n v="6.5839099730553033E-2"/>
    <n v="0.69060350545025562"/>
    <n v="0.6247644057197026"/>
    <n v="6.5839099730553019E-2"/>
    <n v="6381.6275733320417"/>
    <n v="77625.074716695759"/>
    <n v="71243.447143363723"/>
    <n v="6381.6275733320363"/>
  </r>
  <r>
    <x v="20"/>
    <x v="10"/>
    <n v="0"/>
    <x v="2"/>
    <s v="Østdanmark"/>
    <n v="188875.23433835641"/>
    <n v="0"/>
    <n v="0"/>
    <n v="0"/>
    <n v="0"/>
    <n v="0"/>
    <n v="0"/>
    <n v="0"/>
    <n v="188875.23433835641"/>
    <n v="0"/>
    <n v="0"/>
    <n v="0"/>
    <n v="0"/>
    <n v="0"/>
    <n v="0"/>
    <n v="0"/>
    <n v="0"/>
    <n v="0"/>
    <n v="0"/>
  </r>
  <r>
    <x v="21"/>
    <x v="10"/>
    <n v="0"/>
    <x v="2"/>
    <s v="Østdanmark"/>
    <n v="634382.54064061423"/>
    <n v="0"/>
    <n v="0"/>
    <n v="111975.50765955324"/>
    <n v="0"/>
    <n v="0"/>
    <n v="0"/>
    <n v="0"/>
    <n v="522407.03298106097"/>
    <n v="0"/>
    <n v="0"/>
    <n v="0"/>
    <n v="0"/>
    <n v="0"/>
    <n v="0"/>
    <n v="0"/>
    <n v="0"/>
    <n v="0"/>
    <n v="0"/>
  </r>
  <r>
    <x v="22"/>
    <x v="5"/>
    <n v="1"/>
    <x v="2"/>
    <s v="Østdanmark"/>
    <n v="1422520.7615932694"/>
    <n v="368193.1930872486"/>
    <n v="0"/>
    <n v="268249.01834925939"/>
    <n v="0"/>
    <n v="0"/>
    <n v="0"/>
    <n v="0"/>
    <n v="786078.55015676143"/>
    <n v="786078.55015676143"/>
    <n v="0"/>
    <n v="2.6922089832898863"/>
    <n v="2.6922089832898863"/>
    <n v="0"/>
    <n v="2.6922089832898863"/>
    <n v="243684.35054859603"/>
    <n v="243684.35054859603"/>
    <n v="0"/>
    <n v="243684.35054859603"/>
  </r>
  <r>
    <x v="23"/>
    <x v="10"/>
    <n v="0"/>
    <x v="2"/>
    <s v="Østdanmark"/>
    <n v="0"/>
    <n v="0"/>
    <n v="0"/>
    <n v="0"/>
    <n v="0"/>
    <n v="479704.42610224185"/>
    <n v="0"/>
    <n v="0"/>
    <n v="-479704.42610224185"/>
    <n v="0"/>
    <n v="0"/>
    <n v="0"/>
    <n v="0"/>
    <n v="0"/>
    <n v="0"/>
    <n v="0"/>
    <n v="0"/>
    <n v="0"/>
    <n v="0"/>
  </r>
  <r>
    <x v="24"/>
    <x v="2"/>
    <n v="1"/>
    <x v="2"/>
    <s v="Østdanmark"/>
    <n v="452578.20336624543"/>
    <n v="0"/>
    <n v="0"/>
    <n v="0"/>
    <n v="362062.56269299635"/>
    <n v="90515.640673249072"/>
    <n v="0"/>
    <n v="0"/>
    <n v="0"/>
    <n v="0"/>
    <n v="362062.56269299635"/>
    <n v="0"/>
    <n v="0.18327244860956785"/>
    <n v="0.18327244860956785"/>
    <n v="0"/>
    <n v="0"/>
    <n v="27516.754764667723"/>
    <n v="27516.754764667723"/>
    <n v="0"/>
  </r>
  <r>
    <x v="25"/>
    <x v="10"/>
    <n v="0"/>
    <x v="2"/>
    <s v="Østdanmark"/>
    <n v="56535.233681691527"/>
    <n v="85984.378525822089"/>
    <n v="0"/>
    <n v="0"/>
    <n v="0"/>
    <n v="0"/>
    <n v="0"/>
    <n v="0"/>
    <n v="-29449.144844130562"/>
    <n v="0"/>
    <n v="0"/>
    <n v="0"/>
    <n v="0"/>
    <n v="0"/>
    <n v="0"/>
    <n v="0"/>
    <n v="0"/>
    <n v="0"/>
    <n v="0"/>
  </r>
  <r>
    <x v="26"/>
    <x v="4"/>
    <n v="1"/>
    <x v="2"/>
    <s v="Østdanmark"/>
    <n v="1162586.9095964739"/>
    <n v="359568.84629440639"/>
    <n v="0"/>
    <n v="0"/>
    <n v="199670.8224928487"/>
    <n v="0"/>
    <n v="0"/>
    <n v="0"/>
    <n v="603347.24080921884"/>
    <n v="300848.41353906074"/>
    <n v="199670.8224928487"/>
    <n v="1.0800458046052281"/>
    <n v="1.7968640573545551"/>
    <n v="0.71681825274932687"/>
    <n v="1.0800458046052284"/>
    <n v="90254.524061718213"/>
    <n v="150155.77080957283"/>
    <n v="59901.24674785461"/>
    <n v="90254.524061718228"/>
  </r>
  <r>
    <x v="27"/>
    <x v="10"/>
    <n v="0"/>
    <x v="2"/>
    <s v="Østdanmark"/>
    <n v="109083.65982189869"/>
    <n v="0"/>
    <n v="0"/>
    <n v="428214.02929147833"/>
    <n v="0"/>
    <n v="0"/>
    <n v="0"/>
    <n v="0"/>
    <n v="-319130.36946957966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3652.7817732906901"/>
    <n v="0"/>
    <n v="0"/>
    <n v="27206.356861018925"/>
    <n v="0"/>
    <n v="0"/>
    <n v="0"/>
    <n v="0"/>
    <n v="-23553.575087728233"/>
    <n v="0"/>
    <n v="0"/>
    <n v="0"/>
    <n v="0"/>
    <n v="0"/>
    <n v="0"/>
    <n v="0"/>
    <n v="0"/>
    <n v="0"/>
    <n v="0"/>
  </r>
  <r>
    <x v="30"/>
    <x v="10"/>
    <n v="0"/>
    <x v="2"/>
    <s v="Østdanmark"/>
    <n v="414923.14293457061"/>
    <n v="0"/>
    <n v="0"/>
    <n v="0"/>
    <n v="0"/>
    <n v="0"/>
    <n v="0"/>
    <n v="0"/>
    <n v="414923.14293457061"/>
    <n v="0"/>
    <n v="0"/>
    <n v="0"/>
    <n v="0"/>
    <n v="0"/>
    <n v="0"/>
    <n v="0"/>
    <n v="0"/>
    <n v="0"/>
    <n v="0"/>
  </r>
  <r>
    <x v="31"/>
    <x v="7"/>
    <n v="1"/>
    <x v="2"/>
    <s v="Østdanmark"/>
    <n v="35429.762263631419"/>
    <n v="0"/>
    <n v="0"/>
    <n v="0"/>
    <n v="0"/>
    <n v="0"/>
    <n v="35429.762263631419"/>
    <n v="0"/>
    <n v="0"/>
    <n v="0"/>
    <n v="35429.762263631419"/>
    <n v="0"/>
    <n v="0.65190762565081795"/>
    <n v="0"/>
    <n v="0.65190762565081795"/>
    <n v="0"/>
    <n v="14703.35133940704"/>
    <n v="0"/>
    <n v="14703.35133940704"/>
  </r>
  <r>
    <x v="32"/>
    <x v="8"/>
    <n v="1"/>
    <x v="2"/>
    <s v="Østdanmark"/>
    <n v="396080.27887342701"/>
    <n v="0"/>
    <n v="0"/>
    <n v="0"/>
    <n v="0"/>
    <n v="0"/>
    <n v="396080.27887342701"/>
    <n v="0"/>
    <n v="0"/>
    <n v="0"/>
    <n v="396080.27887342701"/>
    <n v="0"/>
    <n v="3.5494451276757242"/>
    <n v="0"/>
    <n v="3.5494451276757242"/>
    <n v="0"/>
    <n v="0"/>
    <n v="0"/>
    <n v="0"/>
  </r>
  <r>
    <x v="33"/>
    <x v="8"/>
    <n v="1"/>
    <x v="2"/>
    <s v="Østdanmark"/>
    <n v="99020.069718356754"/>
    <n v="0"/>
    <n v="0"/>
    <n v="0"/>
    <n v="0"/>
    <n v="0"/>
    <n v="99020.069718356754"/>
    <n v="0"/>
    <n v="0"/>
    <n v="0"/>
    <n v="99020.069718356754"/>
    <n v="0"/>
    <n v="3.2942562622872735"/>
    <n v="0"/>
    <n v="3.2942562622872735"/>
    <n v="0"/>
    <n v="0"/>
    <n v="0"/>
    <n v="0"/>
  </r>
  <r>
    <x v="34"/>
    <x v="10"/>
    <n v="0"/>
    <x v="2"/>
    <s v="Østdanmark"/>
    <n v="169865.53179855406"/>
    <n v="0"/>
    <n v="0"/>
    <n v="0"/>
    <n v="0"/>
    <n v="0"/>
    <n v="0"/>
    <n v="0"/>
    <n v="169865.53179855406"/>
    <n v="0"/>
    <n v="0"/>
    <n v="0"/>
    <n v="0"/>
    <n v="0"/>
    <n v="0"/>
    <n v="0"/>
    <n v="0"/>
    <n v="0"/>
    <n v="0"/>
  </r>
  <r>
    <x v="35"/>
    <x v="10"/>
    <n v="0"/>
    <x v="2"/>
    <s v="Østdanmark"/>
    <n v="198603.01144531288"/>
    <n v="0"/>
    <n v="0"/>
    <n v="0"/>
    <n v="0"/>
    <n v="0"/>
    <n v="0"/>
    <n v="198603.01144531288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301.505722656439"/>
    <n v="12321.935177858404"/>
    <n v="0"/>
    <n v="0"/>
    <n v="0"/>
    <n v="0"/>
    <n v="0"/>
    <n v="0"/>
    <n v="86979.570544798029"/>
    <n v="0"/>
    <n v="0"/>
    <n v="0"/>
    <n v="0"/>
    <n v="0"/>
    <n v="0"/>
    <n v="0"/>
    <n v="0"/>
    <n v="0"/>
    <n v="0"/>
  </r>
  <r>
    <x v="37"/>
    <x v="9"/>
    <n v="1"/>
    <x v="2"/>
    <s v="Østdanmark"/>
    <n v="63552.963662500122"/>
    <n v="0"/>
    <n v="0"/>
    <n v="0"/>
    <n v="0"/>
    <n v="0"/>
    <n v="63552.963662500122"/>
    <n v="0"/>
    <n v="0"/>
    <n v="0"/>
    <n v="63552.963662500122"/>
    <n v="0"/>
    <n v="2.2243537281875039"/>
    <n v="0"/>
    <n v="2.2243537281875039"/>
    <n v="0"/>
    <n v="0"/>
    <n v="0"/>
    <n v="0"/>
  </r>
  <r>
    <x v="38"/>
    <x v="4"/>
    <n v="1"/>
    <x v="2"/>
    <s v="Østdanmark"/>
    <n v="202279.77798791436"/>
    <n v="54392.166443596157"/>
    <n v="0"/>
    <n v="0"/>
    <n v="0"/>
    <n v="0"/>
    <n v="0"/>
    <n v="0"/>
    <n v="147887.61154431821"/>
    <n v="147887.61154431821"/>
    <n v="0"/>
    <n v="0.40137289323574138"/>
    <n v="0.40137289323574138"/>
    <n v="0"/>
    <n v="0.40137289323574138"/>
    <n v="29577.522308863641"/>
    <n v="29577.522308863641"/>
    <n v="0"/>
    <n v="29577.522308863641"/>
  </r>
  <r>
    <x v="39"/>
    <x v="10"/>
    <n v="0"/>
    <x v="2"/>
    <s v="Østdanmark"/>
    <n v="10947.489741068959"/>
    <n v="0"/>
    <n v="0"/>
    <n v="0"/>
    <n v="0"/>
    <n v="0"/>
    <n v="0"/>
    <n v="0"/>
    <n v="10947.489741068959"/>
    <n v="0"/>
    <n v="0"/>
    <n v="0"/>
    <n v="0"/>
    <n v="0"/>
    <n v="0"/>
    <n v="0"/>
    <n v="0"/>
    <n v="0"/>
    <n v="0"/>
  </r>
  <r>
    <x v="40"/>
    <x v="10"/>
    <n v="0"/>
    <x v="2"/>
    <s v="Østdanmark"/>
    <n v="8892.8868915055173"/>
    <n v="3012.1327530000003"/>
    <n v="0"/>
    <n v="0"/>
    <n v="0"/>
    <n v="0"/>
    <n v="0"/>
    <n v="0"/>
    <n v="5880.7541385055174"/>
    <n v="0"/>
    <n v="0"/>
    <n v="0"/>
    <n v="0"/>
    <n v="0"/>
    <n v="0"/>
    <n v="0"/>
    <n v="0"/>
    <n v="0"/>
    <n v="0"/>
  </r>
  <r>
    <x v="41"/>
    <x v="1"/>
    <n v="1"/>
    <x v="2"/>
    <s v="Østdanmark"/>
    <n v="3496034.8535429356"/>
    <n v="0"/>
    <n v="0"/>
    <n v="0"/>
    <n v="2796827.8828343488"/>
    <n v="0"/>
    <n v="0"/>
    <n v="0"/>
    <n v="699206.97070858674"/>
    <n v="699206.97070858674"/>
    <n v="2796827.8828343488"/>
    <n v="0.3489112704532919"/>
    <n v="1.7445563522664607"/>
    <n v="1.3956450818131687"/>
    <n v="0.34891127045329196"/>
    <n v="41952.418242515203"/>
    <n v="209762.09121257614"/>
    <n v="167809.67297006093"/>
    <n v="41952.41824251521"/>
  </r>
  <r>
    <x v="42"/>
    <x v="2"/>
    <n v="1"/>
    <x v="2"/>
    <s v="Østdanmark"/>
    <n v="1045598.7208186348"/>
    <n v="0"/>
    <n v="0"/>
    <n v="0"/>
    <n v="836478.97665490792"/>
    <n v="209119.74416372692"/>
    <n v="0"/>
    <n v="0"/>
    <n v="0"/>
    <n v="0"/>
    <n v="836478.97665490792"/>
    <n v="0"/>
    <n v="0.36035514314293438"/>
    <n v="0.36035514314293438"/>
    <n v="0"/>
    <n v="0"/>
    <n v="41823.948832745402"/>
    <n v="41823.948832745402"/>
    <n v="0"/>
  </r>
  <r>
    <x v="43"/>
    <x v="10"/>
    <n v="0"/>
    <x v="2"/>
    <s v="Østdanmark"/>
    <n v="97091.997795525866"/>
    <n v="0"/>
    <n v="0"/>
    <n v="55237.148778432362"/>
    <n v="0"/>
    <n v="0"/>
    <n v="0"/>
    <n v="0"/>
    <n v="41854.849017093504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29106.00625063898"/>
    <n v="0"/>
    <n v="0"/>
    <n v="0"/>
    <n v="0"/>
    <n v="0"/>
    <n v="629106.00625063898"/>
    <n v="0"/>
    <n v="0"/>
    <n v="0"/>
    <n v="629106.00625063898"/>
    <n v="0"/>
    <n v="9.1179912474852252"/>
    <n v="0"/>
    <n v="9.1179912474852252"/>
    <n v="0"/>
    <n v="311145.34559146187"/>
    <n v="0"/>
    <n v="311145.34559146187"/>
  </r>
  <r>
    <x v="47"/>
    <x v="10"/>
    <n v="0"/>
    <x v="2"/>
    <s v="Østdanmark"/>
    <n v="178830.65970425931"/>
    <n v="0"/>
    <n v="0"/>
    <n v="0"/>
    <n v="0"/>
    <n v="0"/>
    <n v="0"/>
    <n v="178830.65970425931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26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P41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 t="grand">
      <x/>
    </i>
  </rowItems>
  <colFields count="1">
    <field x="2"/>
  </colFields>
  <colItems count="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 t="grand">
      <x/>
    </i>
  </colItems>
  <dataFields count="1">
    <dataField name="Sum of Mængde [ton]" fld="4" baseField="3" baseItem="0" numFmtId="172"/>
  </dataFields>
  <formats count="2">
    <format dxfId="24">
      <pivotArea outline="0" collapsedLevelsAreSubtotals="1" fieldPosition="0"/>
    </format>
    <format dxfId="25">
      <pivotArea outline="0" fieldPosition="0">
        <references count="1">
          <reference field="4294967294" count="1">
            <x v="0"/>
          </reference>
        </references>
      </pivotArea>
    </format>
  </formats>
  <chartFormats count="9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28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K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0">
    <i>
      <x v="2"/>
    </i>
    <i>
      <x v="8"/>
    </i>
    <i>
      <x v="10"/>
    </i>
    <i>
      <x v="13"/>
    </i>
    <i>
      <x v="18"/>
    </i>
    <i>
      <x v="32"/>
    </i>
    <i>
      <x v="36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21">
      <pivotArea outline="0" collapsedLevelsAreSubtotals="1" fieldPosition="0"/>
    </format>
  </formats>
  <chartFormats count="6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28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C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19">
      <pivotArea outline="0" collapsedLevelsAreSubtotals="1" fieldPosition="0"/>
    </format>
    <format dxfId="20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295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16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29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15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29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17">
      <pivotArea outline="0" collapsedLevelsAreSubtotals="1" fieldPosition="0"/>
    </format>
    <format dxfId="18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27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29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14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29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13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26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23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27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22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3" sqref="D3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42" t="s">
        <v>278</v>
      </c>
      <c r="B1" s="342"/>
      <c r="D1" s="75" t="s">
        <v>291</v>
      </c>
    </row>
    <row r="2" spans="1:6" x14ac:dyDescent="0.25">
      <c r="A2" s="6" t="s">
        <v>0</v>
      </c>
      <c r="B2" s="225" t="s">
        <v>310</v>
      </c>
    </row>
    <row r="4" spans="1:6" ht="30" customHeight="1" thickBot="1" x14ac:dyDescent="0.3">
      <c r="A4" s="341" t="s">
        <v>277</v>
      </c>
      <c r="B4" s="341"/>
      <c r="D4" s="75"/>
    </row>
    <row r="5" spans="1:6" ht="15.75" thickTop="1" x14ac:dyDescent="0.25">
      <c r="A5" s="257" t="s">
        <v>86</v>
      </c>
      <c r="B5" s="256" t="s">
        <v>312</v>
      </c>
      <c r="D5" s="213" t="s">
        <v>43</v>
      </c>
      <c r="E5" s="214"/>
      <c r="F5" s="12"/>
    </row>
    <row r="6" spans="1:6" x14ac:dyDescent="0.25">
      <c r="A6" s="207" t="s">
        <v>84</v>
      </c>
      <c r="B6" s="208" t="s">
        <v>261</v>
      </c>
      <c r="D6" s="215" t="str" cm="1">
        <f t="array" ref="D6">[1]!Jordbund1</f>
        <v>JB1-10</v>
      </c>
      <c r="E6" s="216" t="s">
        <v>44</v>
      </c>
      <c r="F6" s="12"/>
    </row>
    <row r="7" spans="1:6" x14ac:dyDescent="0.25">
      <c r="A7" s="207"/>
      <c r="B7" s="208" t="s">
        <v>2</v>
      </c>
      <c r="D7" s="215" t="str" cm="1">
        <f t="array" ref="D7">[1]!Organ6</f>
        <v>OC6</v>
      </c>
      <c r="E7" s="216" t="s">
        <v>45</v>
      </c>
      <c r="F7" s="12"/>
    </row>
    <row r="8" spans="1:6" x14ac:dyDescent="0.25">
      <c r="A8" s="223" t="s">
        <v>92</v>
      </c>
      <c r="B8" s="208" t="s">
        <v>262</v>
      </c>
      <c r="D8" s="215" t="str" cm="1">
        <f t="array" ref="D8">[1]!Organ12</f>
        <v>OC12</v>
      </c>
      <c r="E8" s="216" t="s">
        <v>46</v>
      </c>
      <c r="F8" s="12"/>
    </row>
    <row r="9" spans="1:6" x14ac:dyDescent="0.25">
      <c r="A9" s="209" t="s">
        <v>93</v>
      </c>
      <c r="B9" s="208" t="s">
        <v>263</v>
      </c>
      <c r="D9" s="215"/>
      <c r="E9" s="216"/>
      <c r="F9" s="12"/>
    </row>
    <row r="10" spans="1:6" x14ac:dyDescent="0.25">
      <c r="A10" s="207"/>
      <c r="B10" s="208"/>
      <c r="D10" s="217" t="s">
        <v>47</v>
      </c>
      <c r="E10" s="216"/>
      <c r="F10" s="12"/>
    </row>
    <row r="11" spans="1:6" x14ac:dyDescent="0.25">
      <c r="A11" s="223" t="s">
        <v>69</v>
      </c>
      <c r="B11" s="224" t="s">
        <v>264</v>
      </c>
      <c r="D11" s="215" t="str" cm="1">
        <f t="array" ref="D11">[1]!Bebyg</f>
        <v>Bebyggelse &amp; infrastruktur</v>
      </c>
      <c r="E11" s="216"/>
      <c r="F11" s="12"/>
    </row>
    <row r="12" spans="1:6" x14ac:dyDescent="0.25">
      <c r="A12" s="207" t="s">
        <v>258</v>
      </c>
      <c r="B12" s="208" t="s">
        <v>265</v>
      </c>
      <c r="D12" s="215" t="str" cm="1">
        <f t="array" ref="D12">[1]!Afgrøder</f>
        <v>Landbrugsafgrøder</v>
      </c>
      <c r="E12" s="216"/>
      <c r="F12" s="12"/>
    </row>
    <row r="13" spans="1:6" x14ac:dyDescent="0.25">
      <c r="A13" s="207"/>
      <c r="B13" s="208"/>
      <c r="D13" s="215" t="str" cm="1">
        <f t="array" ref="D13">[1]!SkovAreal</f>
        <v>Skov</v>
      </c>
      <c r="E13" s="216"/>
      <c r="F13" s="12"/>
    </row>
    <row r="14" spans="1:6" x14ac:dyDescent="0.25">
      <c r="A14" s="223" t="s">
        <v>70</v>
      </c>
      <c r="B14" s="224" t="s">
        <v>266</v>
      </c>
      <c r="D14" s="215" t="str" cm="1">
        <f t="array" ref="D14">[1]!NaturAreal</f>
        <v>Natur</v>
      </c>
      <c r="E14" s="216"/>
      <c r="F14" s="12"/>
    </row>
    <row r="15" spans="1:6" x14ac:dyDescent="0.25">
      <c r="A15" s="207" t="s">
        <v>71</v>
      </c>
      <c r="B15" s="208" t="s">
        <v>267</v>
      </c>
      <c r="D15" s="215" t="str" cm="1">
        <f t="array" ref="D15">[1]!IKareal</f>
        <v>Ikke klassificeret</v>
      </c>
      <c r="E15" s="216"/>
      <c r="F15" s="12"/>
    </row>
    <row r="16" spans="1:6" x14ac:dyDescent="0.25">
      <c r="A16" s="207" t="s">
        <v>72</v>
      </c>
      <c r="B16" s="208"/>
      <c r="D16" s="218"/>
      <c r="E16" s="216"/>
    </row>
    <row r="17" spans="1:5" x14ac:dyDescent="0.25">
      <c r="A17" s="207" t="s">
        <v>73</v>
      </c>
      <c r="B17" s="224" t="s">
        <v>274</v>
      </c>
      <c r="D17" s="219" t="s">
        <v>94</v>
      </c>
      <c r="E17" s="216"/>
    </row>
    <row r="18" spans="1:5" x14ac:dyDescent="0.25">
      <c r="A18" s="207" t="s">
        <v>74</v>
      </c>
      <c r="B18" s="343" t="s">
        <v>279</v>
      </c>
      <c r="D18" s="215" cm="1">
        <f t="array" ref="D18">[1]!År1</f>
        <v>2019</v>
      </c>
      <c r="E18" s="216"/>
    </row>
    <row r="19" spans="1:5" x14ac:dyDescent="0.25">
      <c r="A19" s="207" t="s">
        <v>259</v>
      </c>
      <c r="B19" s="343"/>
      <c r="D19" s="215" cm="1">
        <f t="array" ref="D19">[1]!År2</f>
        <v>2030</v>
      </c>
      <c r="E19" s="216"/>
    </row>
    <row r="20" spans="1:5" ht="15.75" thickBot="1" x14ac:dyDescent="0.3">
      <c r="A20" s="207" t="s">
        <v>260</v>
      </c>
      <c r="B20" s="208"/>
      <c r="D20" s="220" cm="1">
        <f t="array" ref="D20">[1]!År3</f>
        <v>2050</v>
      </c>
      <c r="E20" s="221"/>
    </row>
    <row r="21" spans="1:5" ht="15.75" thickTop="1" x14ac:dyDescent="0.25">
      <c r="A21" s="207" t="s">
        <v>75</v>
      </c>
      <c r="B21" s="208"/>
    </row>
    <row r="22" spans="1:5" x14ac:dyDescent="0.25">
      <c r="A22" s="207"/>
      <c r="B22" s="208"/>
    </row>
    <row r="23" spans="1:5" x14ac:dyDescent="0.25">
      <c r="A23" s="258" t="s">
        <v>313</v>
      </c>
      <c r="B23" s="208"/>
    </row>
    <row r="24" spans="1:5" ht="15.75" thickBot="1" x14ac:dyDescent="0.3">
      <c r="A24" s="210" t="s">
        <v>1</v>
      </c>
      <c r="B24" s="211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69"/>
  <sheetViews>
    <sheetView tabSelected="1" zoomScale="60" zoomScaleNormal="60" workbookViewId="0">
      <selection activeCell="Q28" sqref="Q28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7" width="9.140625" style="1"/>
    <col min="8" max="8" width="11.7109375" style="1" customWidth="1"/>
    <col min="9" max="9" width="9.140625" style="1"/>
    <col min="10" max="10" width="10.85546875" style="1" bestFit="1" customWidth="1"/>
    <col min="11" max="16384" width="9.140625" style="1"/>
  </cols>
  <sheetData>
    <row r="1" spans="1:17" ht="15" customHeight="1" x14ac:dyDescent="0.25">
      <c r="A1" s="255" t="s">
        <v>305</v>
      </c>
      <c r="B1" s="254"/>
      <c r="C1" s="344" t="s">
        <v>304</v>
      </c>
      <c r="D1" s="344"/>
      <c r="E1" s="344"/>
      <c r="F1" s="344"/>
      <c r="G1" s="344"/>
      <c r="H1" s="344"/>
      <c r="I1" s="344"/>
      <c r="J1" s="344"/>
      <c r="K1" s="344"/>
      <c r="L1" s="344"/>
      <c r="M1" s="344"/>
      <c r="N1" s="344"/>
      <c r="O1" s="344"/>
      <c r="P1" s="344"/>
      <c r="Q1" s="344"/>
    </row>
    <row r="2" spans="1:17" ht="15" customHeight="1" x14ac:dyDescent="0.25">
      <c r="A2" s="254"/>
      <c r="B2" s="254"/>
      <c r="C2" s="344"/>
      <c r="D2" s="344"/>
      <c r="E2" s="344"/>
      <c r="F2" s="344"/>
      <c r="G2" s="344"/>
      <c r="H2" s="344"/>
      <c r="I2" s="344"/>
      <c r="J2" s="344"/>
      <c r="K2" s="344"/>
      <c r="L2" s="344"/>
      <c r="M2" s="344"/>
      <c r="N2" s="344"/>
      <c r="O2" s="344"/>
      <c r="P2" s="344"/>
      <c r="Q2" s="344"/>
    </row>
    <row r="3" spans="1:17" x14ac:dyDescent="0.25">
      <c r="A3" s="75"/>
    </row>
    <row r="123" spans="3:3" x14ac:dyDescent="0.25">
      <c r="C123" s="182"/>
    </row>
    <row r="166" spans="7:11" x14ac:dyDescent="0.25">
      <c r="H166" s="1">
        <v>2030</v>
      </c>
      <c r="I166" s="1">
        <v>2030</v>
      </c>
      <c r="J166" s="1">
        <v>2050</v>
      </c>
      <c r="K166" s="1">
        <v>2050</v>
      </c>
    </row>
    <row r="167" spans="7:11" x14ac:dyDescent="0.25">
      <c r="H167" s="1" t="s">
        <v>343</v>
      </c>
      <c r="I167" s="1" t="s">
        <v>344</v>
      </c>
      <c r="J167" s="1" t="str">
        <f>H167</f>
        <v>ton vv</v>
      </c>
      <c r="K167" s="1" t="str">
        <f>I167</f>
        <v>gødning</v>
      </c>
    </row>
    <row r="168" spans="7:11" x14ac:dyDescent="0.25">
      <c r="G168" s="1" t="s">
        <v>341</v>
      </c>
      <c r="H168" s="182">
        <f ca="1">'Resultat-Produktion &amp; forbrug'!N55+'Resultat-Produktion &amp; forbrug'!N199</f>
        <v>4254375.7434823737</v>
      </c>
      <c r="J168" s="182">
        <f ca="1">'Resultat-Produktion &amp; forbrug'!N55+'Resultat-Produktion &amp; forbrug'!N199</f>
        <v>4254375.7434823737</v>
      </c>
    </row>
    <row r="169" spans="7:11" x14ac:dyDescent="0.25">
      <c r="G169" s="1" t="s">
        <v>342</v>
      </c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F12" sqref="F12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1" t="s">
        <v>280</v>
      </c>
      <c r="B1" s="75" t="s">
        <v>306</v>
      </c>
    </row>
    <row r="2" spans="1:18" ht="42.95" customHeight="1" x14ac:dyDescent="0.25">
      <c r="A2" s="226" t="s">
        <v>290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314</v>
      </c>
      <c r="K2" s="6"/>
      <c r="L2" s="6"/>
      <c r="M2" s="6"/>
      <c r="N2" s="6"/>
      <c r="O2" s="6"/>
      <c r="P2" s="6"/>
    </row>
    <row r="3" spans="1:18" x14ac:dyDescent="0.25">
      <c r="A3" s="2" t="s">
        <v>269</v>
      </c>
      <c r="B3" s="2" t="s">
        <v>271</v>
      </c>
      <c r="C3" s="9">
        <v>78230</v>
      </c>
      <c r="D3" s="22">
        <v>78230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270</v>
      </c>
      <c r="B4" s="2" t="s">
        <v>272</v>
      </c>
      <c r="C4" s="9">
        <v>21770</v>
      </c>
      <c r="D4" s="22">
        <v>100500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2" t="s">
        <v>275</v>
      </c>
      <c r="C5" s="9">
        <v>250000</v>
      </c>
      <c r="D5" s="9">
        <v>513100</v>
      </c>
      <c r="E5" s="9" t="s">
        <v>276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2149636</v>
      </c>
      <c r="N6" s="18">
        <f t="shared" si="1"/>
        <v>78731.999999999985</v>
      </c>
      <c r="O6" s="18">
        <f t="shared" si="1"/>
        <v>1.9999999999936335</v>
      </c>
      <c r="P6" s="18">
        <f t="shared" si="1"/>
        <v>1886536</v>
      </c>
      <c r="Q6" s="18">
        <f t="shared" si="1"/>
        <v>1.999999999994543</v>
      </c>
      <c r="R6" s="18">
        <f t="shared" si="1"/>
        <v>1.9999999999936335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811900</v>
      </c>
      <c r="N7" s="18">
        <f t="shared" si="2"/>
        <v>0</v>
      </c>
      <c r="O7" s="18">
        <f t="shared" si="2"/>
        <v>0</v>
      </c>
      <c r="P7" s="18">
        <f t="shared" si="2"/>
        <v>1075000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83268</v>
      </c>
      <c r="O8" s="18">
        <f t="shared" si="3"/>
        <v>128997.99999999999</v>
      </c>
      <c r="P8" s="18">
        <f t="shared" si="3"/>
        <v>360654</v>
      </c>
      <c r="Q8" s="18">
        <f t="shared" si="3"/>
        <v>161997.99999999997</v>
      </c>
      <c r="R8" s="18">
        <f t="shared" si="3"/>
        <v>128997.99999999999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128999.99999999999</v>
      </c>
      <c r="P10" s="21">
        <f t="shared" si="5"/>
        <v>3979280</v>
      </c>
      <c r="Q10" s="21">
        <f t="shared" si="5"/>
        <v>161999.99999999997</v>
      </c>
      <c r="R10" s="21">
        <f t="shared" si="5"/>
        <v>128999.99999999999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  <c r="P13" s="15">
        <f>P7/4293300</f>
        <v>0.25039014278061167</v>
      </c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9"/>
      <c r="J22" s="260" t="s">
        <v>307</v>
      </c>
      <c r="K22" s="260"/>
      <c r="L22" s="260"/>
      <c r="M22" s="260"/>
      <c r="N22" s="260"/>
      <c r="O22" s="260"/>
      <c r="P22" s="260"/>
      <c r="Q22" s="259"/>
      <c r="R22" s="259"/>
    </row>
    <row r="23" spans="1:18" hidden="1" x14ac:dyDescent="0.25">
      <c r="D23" s="15"/>
      <c r="E23" s="15"/>
      <c r="F23" s="15"/>
      <c r="G23" s="15"/>
      <c r="I23" s="261" t="s">
        <v>176</v>
      </c>
      <c r="J23" s="262">
        <f>År1</f>
        <v>2019</v>
      </c>
      <c r="K23" s="262">
        <f>År1</f>
        <v>2019</v>
      </c>
      <c r="L23" s="262">
        <f>År1</f>
        <v>2019</v>
      </c>
      <c r="M23" s="262">
        <f>År2</f>
        <v>2030</v>
      </c>
      <c r="N23" s="262">
        <f>År2</f>
        <v>2030</v>
      </c>
      <c r="O23" s="262">
        <f>År2</f>
        <v>2030</v>
      </c>
      <c r="P23" s="262">
        <f>År3</f>
        <v>2050</v>
      </c>
      <c r="Q23" s="262">
        <f>År3</f>
        <v>2050</v>
      </c>
      <c r="R23" s="262">
        <f>År3</f>
        <v>2050</v>
      </c>
    </row>
    <row r="24" spans="1:18" hidden="1" x14ac:dyDescent="0.25">
      <c r="D24" s="15"/>
      <c r="E24" s="15"/>
      <c r="F24" s="15"/>
      <c r="G24" s="15"/>
      <c r="I24" s="261"/>
      <c r="J24" s="262" t="str">
        <f>Jordbund1</f>
        <v>JB1-10</v>
      </c>
      <c r="K24" s="262" t="str">
        <f>Organ6</f>
        <v>OC6</v>
      </c>
      <c r="L24" s="262" t="str">
        <f>Organ12</f>
        <v>OC12</v>
      </c>
      <c r="M24" s="262" t="str">
        <f>Jordbund1</f>
        <v>JB1-10</v>
      </c>
      <c r="N24" s="262" t="str">
        <f>Organ6</f>
        <v>OC6</v>
      </c>
      <c r="O24" s="262" t="str">
        <f>Organ12</f>
        <v>OC12</v>
      </c>
      <c r="P24" s="262" t="str">
        <f>Jordbund1</f>
        <v>JB1-10</v>
      </c>
      <c r="Q24" s="262" t="str">
        <f>Organ6</f>
        <v>OC6</v>
      </c>
      <c r="R24" s="262" t="str">
        <f>Organ12</f>
        <v>OC12</v>
      </c>
    </row>
    <row r="25" spans="1:18" hidden="1" x14ac:dyDescent="0.25">
      <c r="D25" s="15"/>
      <c r="E25" s="15"/>
      <c r="F25" s="15"/>
      <c r="G25" s="15"/>
      <c r="I25" s="263" t="str">
        <f>Bebyg</f>
        <v>Bebyggelse &amp; infrastruktur</v>
      </c>
      <c r="J25" s="269">
        <f>SUMIF([1]Arealanvendelse!$B$15:$B$22,I25,[1]Arealanvendelse!$D$15:$D$22)-SUM(K25:L25)</f>
        <v>412730</v>
      </c>
      <c r="K25" s="269"/>
      <c r="L25" s="269"/>
      <c r="M25" s="272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2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2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2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2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2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3" t="str">
        <f>Afgrøder</f>
        <v>Landbrugsafgrøder</v>
      </c>
      <c r="J26" s="269">
        <f>SUMIF([1]Arealanvendelse!$B$15:$B$22,I26,[1]Arealanvendelse!$D$15:$D$22)-SUM(K26:L26)</f>
        <v>1847465.5978301479</v>
      </c>
      <c r="K26" s="269">
        <f>[1]Jordbundstypefordeling!$D$16*[1]Jordbundstypefordeling!$F$4</f>
        <v>90723.841613092387</v>
      </c>
      <c r="L26" s="269">
        <f>[1]Jordbundstypefordeling!$D$15*[1]Jordbundstypefordeling!$F$4</f>
        <v>70620.560556759505</v>
      </c>
      <c r="M26" s="272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1621788.8908663751</v>
      </c>
      <c r="N26" s="272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71071.913970687048</v>
      </c>
      <c r="O26" s="272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1.8054136557038873</v>
      </c>
      <c r="P26" s="272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1384286.7244577005</v>
      </c>
      <c r="Q26" s="272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1.8054136557038873</v>
      </c>
      <c r="R26" s="272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1.8054136557038873</v>
      </c>
    </row>
    <row r="27" spans="1:18" hidden="1" x14ac:dyDescent="0.25">
      <c r="D27" s="15"/>
      <c r="E27" s="15"/>
      <c r="F27" s="15"/>
      <c r="G27" s="15"/>
      <c r="I27" s="263" t="str">
        <f>SkovAreal</f>
        <v>Skov</v>
      </c>
      <c r="J27" s="269">
        <f>SUMIF([1]Arealanvendelse!$B$15:$B$22,I27,[1]Arealanvendelse!$D$15:$D$22)-SUM(K27:L27)</f>
        <v>434670</v>
      </c>
      <c r="K27" s="269"/>
      <c r="L27" s="269"/>
      <c r="M27" s="272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660346.70696377289</v>
      </c>
      <c r="N27" s="272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2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2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897848.87337244744</v>
      </c>
      <c r="Q27" s="272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2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3" t="str">
        <f>NaturAreal</f>
        <v>Natur</v>
      </c>
      <c r="J28" s="269">
        <f>SUMIF([1]Arealanvendelse!$B$15:$B$22,I28,[1]Arealanvendelse!$D$15:$D$22)-SUM(K28:L28)</f>
        <v>288846.71526402031</v>
      </c>
      <c r="K28" s="269">
        <f>([1]Jordbundstypefordeling!$E$16-[1]Jordbundstypefordeling!$D$16)*SUM([1]Jordbundstypefordeling!$D$3:$D$5)</f>
        <v>55514.664499432409</v>
      </c>
      <c r="L28" s="269">
        <f>([1]Jordbundstypefordeling!$E$15-[1]Jordbundstypefordeling!$D$15)*SUM([1]Jordbundstypefordeling!D3:D5)</f>
        <v>45828.620236547278</v>
      </c>
      <c r="M28" s="272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2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75166.592141837755</v>
      </c>
      <c r="O28" s="272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116447.37537965109</v>
      </c>
      <c r="P28" s="272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2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146236.7006988691</v>
      </c>
      <c r="R28" s="272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116447.37537965109</v>
      </c>
    </row>
    <row r="29" spans="1:18" ht="15.75" hidden="1" thickBot="1" x14ac:dyDescent="0.3">
      <c r="D29" s="15"/>
      <c r="E29" s="15"/>
      <c r="F29" s="15"/>
      <c r="G29" s="15"/>
      <c r="I29" s="264" t="str">
        <f>IKareal</f>
        <v>Ikke klassificeret</v>
      </c>
      <c r="J29" s="270">
        <f>SUMIF([1]Arealanvendelse!$B$15:$B$22,I29,[1]Arealanvendelse!$D$15:$D$22)-SUM(K29:L29)</f>
        <v>46640</v>
      </c>
      <c r="K29" s="270"/>
      <c r="L29" s="270"/>
      <c r="M29" s="273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3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3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3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3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3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5" t="s">
        <v>30</v>
      </c>
      <c r="J30" s="271">
        <f t="shared" ref="J30:R30" si="6">SUM(J25:J29)</f>
        <v>3030352.3130941684</v>
      </c>
      <c r="K30" s="271">
        <f t="shared" si="6"/>
        <v>146238.5061125248</v>
      </c>
      <c r="L30" s="271">
        <f t="shared" si="6"/>
        <v>116449.18079330679</v>
      </c>
      <c r="M30" s="274">
        <f t="shared" si="6"/>
        <v>3030352.3130941684</v>
      </c>
      <c r="N30" s="274">
        <f t="shared" si="6"/>
        <v>146238.5061125248</v>
      </c>
      <c r="O30" s="274">
        <f t="shared" si="6"/>
        <v>116449.18079330679</v>
      </c>
      <c r="P30" s="274">
        <f t="shared" si="6"/>
        <v>3030352.3130941684</v>
      </c>
      <c r="Q30" s="274">
        <f t="shared" si="6"/>
        <v>146238.5061125248</v>
      </c>
      <c r="R30" s="274">
        <f t="shared" si="6"/>
        <v>116449.18079330679</v>
      </c>
    </row>
    <row r="31" spans="1:18" hidden="1" x14ac:dyDescent="0.25">
      <c r="I31" s="266"/>
      <c r="J31" s="267"/>
      <c r="K31" s="267"/>
      <c r="L31" s="267"/>
      <c r="M31" s="268"/>
      <c r="N31" s="267"/>
      <c r="O31" s="267"/>
      <c r="P31" s="267"/>
      <c r="Q31" s="267"/>
      <c r="R31" s="267"/>
    </row>
    <row r="32" spans="1:18" hidden="1" x14ac:dyDescent="0.25">
      <c r="I32" s="266"/>
      <c r="J32" s="260" t="s">
        <v>308</v>
      </c>
      <c r="K32" s="260"/>
      <c r="L32" s="260"/>
      <c r="M32" s="260"/>
      <c r="N32" s="260"/>
      <c r="O32" s="260"/>
      <c r="P32" s="260"/>
      <c r="Q32" s="260"/>
      <c r="R32" s="260"/>
    </row>
    <row r="33" spans="9:18" hidden="1" x14ac:dyDescent="0.25">
      <c r="I33" s="261" t="s">
        <v>176</v>
      </c>
      <c r="J33" s="262">
        <f>År1</f>
        <v>2019</v>
      </c>
      <c r="K33" s="262">
        <f>År1</f>
        <v>2019</v>
      </c>
      <c r="L33" s="262">
        <f>År1</f>
        <v>2019</v>
      </c>
      <c r="M33" s="262">
        <v>2030</v>
      </c>
      <c r="N33" s="262">
        <v>2030</v>
      </c>
      <c r="O33" s="262">
        <v>2030</v>
      </c>
      <c r="P33" s="262">
        <f>År3</f>
        <v>2050</v>
      </c>
      <c r="Q33" s="262">
        <f>År3</f>
        <v>2050</v>
      </c>
      <c r="R33" s="262">
        <f>År3</f>
        <v>2050</v>
      </c>
    </row>
    <row r="34" spans="9:18" hidden="1" x14ac:dyDescent="0.25">
      <c r="I34" s="261"/>
      <c r="J34" s="262" t="str">
        <f>Jordbund1</f>
        <v>JB1-10</v>
      </c>
      <c r="K34" s="262" t="str">
        <f>Organ6</f>
        <v>OC6</v>
      </c>
      <c r="L34" s="262" t="str">
        <f>Organ12</f>
        <v>OC12</v>
      </c>
      <c r="M34" s="262" t="str">
        <f>Jordbund1</f>
        <v>JB1-10</v>
      </c>
      <c r="N34" s="262" t="str">
        <f>Organ6</f>
        <v>OC6</v>
      </c>
      <c r="O34" s="262" t="str">
        <f>Organ12</f>
        <v>OC12</v>
      </c>
      <c r="P34" s="262" t="str">
        <f>Jordbund1</f>
        <v>JB1-10</v>
      </c>
      <c r="Q34" s="262" t="str">
        <f>Organ6</f>
        <v>OC6</v>
      </c>
      <c r="R34" s="262" t="str">
        <f>Organ12</f>
        <v>OC12</v>
      </c>
    </row>
    <row r="35" spans="9:18" hidden="1" x14ac:dyDescent="0.25">
      <c r="I35" s="263" t="str">
        <f>Bebyg</f>
        <v>Bebyggelse &amp; infrastruktur</v>
      </c>
      <c r="J35" s="269">
        <f>SUMIF([1]Arealanvendelse!$B$15:$B$22,I35,[1]Arealanvendelse!$E$15:$E$22)-SUM(K35:L35)</f>
        <v>178500</v>
      </c>
      <c r="K35" s="269"/>
      <c r="L35" s="269"/>
      <c r="M35" s="272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2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2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2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2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2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3" t="str">
        <f>Afgrøder</f>
        <v>Landbrugsafgrøder</v>
      </c>
      <c r="J36" s="269">
        <f>SUMIF([1]Arealanvendelse!$B$15:$B$22,I36,[1]Arealanvendelse!$E$15:$E$22)-SUM(K36:L36)</f>
        <v>552170.40216985194</v>
      </c>
      <c r="K36" s="269">
        <f>[1]Jordbundstypefordeling!$D$16*[1]Jordbundstypefordeling!$G$4</f>
        <v>9778.158386907593</v>
      </c>
      <c r="L36" s="269">
        <f>[1]Jordbundstypefordeling!$D$15*[1]Jordbundstypefordeling!$G$4</f>
        <v>7611.4394432404806</v>
      </c>
      <c r="M36" s="272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527847.10913362482</v>
      </c>
      <c r="N36" s="272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7660.0860293129354</v>
      </c>
      <c r="O36" s="272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0.19458634428974619</v>
      </c>
      <c r="P36" s="272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502249.27554229938</v>
      </c>
      <c r="Q36" s="272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0.19458634429065569</v>
      </c>
      <c r="R36" s="272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0.19458634428974619</v>
      </c>
    </row>
    <row r="37" spans="9:18" hidden="1" x14ac:dyDescent="0.25">
      <c r="I37" s="263" t="str">
        <f>SkovAreal</f>
        <v>Skov</v>
      </c>
      <c r="J37" s="269">
        <f>SUMIF([1]Arealanvendelse!$B$15:$B$22,I37,[1]Arealanvendelse!$E$15:$E$22)-SUM(K37:L37)</f>
        <v>127230</v>
      </c>
      <c r="K37" s="269"/>
      <c r="L37" s="269"/>
      <c r="M37" s="272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151553.29303622711</v>
      </c>
      <c r="N37" s="272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2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2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177151.12662755256</v>
      </c>
      <c r="Q37" s="272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2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3" t="str">
        <f>NaturAreal</f>
        <v>Natur</v>
      </c>
      <c r="J38" s="269">
        <f>SUMIF([1]Arealanvendelse!$B$15:$B$22,I38,[1]Arealanvendelse!$E$15:$E$22)-SUM(K38:L38)</f>
        <v>71807.284735979716</v>
      </c>
      <c r="K38" s="269">
        <f>([1]Jordbundstypefordeling!$E$16-[1]Jordbundstypefordeling!$D$16)*[1]Jordbundstypefordeling!$G$4</f>
        <v>5983.3355005675821</v>
      </c>
      <c r="L38" s="269">
        <f>([1]Jordbundstypefordeling!$E$15-[1]Jordbundstypefordeling!$D$15)*[1]Jordbundstypefordeling!$G$4</f>
        <v>4939.3797634527136</v>
      </c>
      <c r="M38" s="272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2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8101.4078581622398</v>
      </c>
      <c r="O38" s="272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12550.624620348905</v>
      </c>
      <c r="P38" s="272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2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15761.299301130884</v>
      </c>
      <c r="R38" s="272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12550.624620348905</v>
      </c>
    </row>
    <row r="39" spans="9:18" ht="15.75" hidden="1" thickBot="1" x14ac:dyDescent="0.3">
      <c r="I39" s="264" t="str">
        <f>IKareal</f>
        <v>Ikke klassificeret</v>
      </c>
      <c r="J39" s="270">
        <f>SUMIF([1]Arealanvendelse!$B$15:$B$22,I39,[1]Arealanvendelse!$E$15:$E$22)-SUM(K39:L39)</f>
        <v>19220</v>
      </c>
      <c r="K39" s="270"/>
      <c r="L39" s="270"/>
      <c r="M39" s="273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3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3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3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3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3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5" t="s">
        <v>30</v>
      </c>
      <c r="J40" s="271">
        <f t="shared" ref="J40:R40" si="7">SUM(J35:J39)</f>
        <v>948927.68690583168</v>
      </c>
      <c r="K40" s="271">
        <f t="shared" si="7"/>
        <v>15761.493887475175</v>
      </c>
      <c r="L40" s="271">
        <f t="shared" si="7"/>
        <v>12550.819206693195</v>
      </c>
      <c r="M40" s="274">
        <f t="shared" si="7"/>
        <v>948927.68690583168</v>
      </c>
      <c r="N40" s="274">
        <f t="shared" si="7"/>
        <v>15761.493887475175</v>
      </c>
      <c r="O40" s="274">
        <f t="shared" si="7"/>
        <v>12550.819206693195</v>
      </c>
      <c r="P40" s="274">
        <f t="shared" si="7"/>
        <v>948927.68690583168</v>
      </c>
      <c r="Q40" s="274">
        <f t="shared" si="7"/>
        <v>15761.493887475175</v>
      </c>
      <c r="R40" s="274">
        <f t="shared" si="7"/>
        <v>12550.819206693195</v>
      </c>
    </row>
    <row r="41" spans="9:18" hidden="1" x14ac:dyDescent="0.25"/>
  </sheetData>
  <conditionalFormatting sqref="J5:R9">
    <cfRule type="cellIs" dxfId="201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10" zoomScale="85" zoomScaleNormal="85" workbookViewId="0">
      <selection activeCell="G39" sqref="G39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0" t="s">
        <v>280</v>
      </c>
    </row>
    <row r="2" spans="1:9" ht="15.75" x14ac:dyDescent="0.25">
      <c r="A2" s="227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0.5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0.5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3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1.07</v>
      </c>
      <c r="E16" s="3">
        <v>1.1000000000000001</v>
      </c>
      <c r="F16" s="12"/>
    </row>
    <row r="17" spans="2:11" x14ac:dyDescent="0.25">
      <c r="B17" s="2" t="s">
        <v>85</v>
      </c>
      <c r="C17" s="87">
        <v>0.59345000000000003</v>
      </c>
      <c r="D17" s="3">
        <v>0.75</v>
      </c>
      <c r="E17" s="3">
        <v>0.9</v>
      </c>
      <c r="F17" s="12" t="s">
        <v>273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47" t="s">
        <v>334</v>
      </c>
      <c r="C20" s="25"/>
      <c r="D20" s="25"/>
      <c r="E20" s="25"/>
      <c r="F20" s="12"/>
      <c r="I20" s="1"/>
    </row>
    <row r="21" spans="2:11" ht="29.45" customHeight="1" x14ac:dyDescent="0.25">
      <c r="B21" s="347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0" t="str">
        <f>CONCATENATE("Omlægning til permanent græs, ", Organ6,", hektar")</f>
        <v>Omlægning til permanent græs, OC6, hektar</v>
      </c>
      <c r="C24" s="331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30" t="str">
        <f>CONCATENATE("Omlægning til permanent græs, ", Organ12, ", hektar")</f>
        <v>Omlægning til permanent græs, OC12, hektar</v>
      </c>
      <c r="C25" s="331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30" t="str">
        <f>CONCATENATE("Antal hektar som 1% svarer til, ", Organ6)</f>
        <v>Antal hektar som 1% svarer til, OC6</v>
      </c>
      <c r="C26" s="331"/>
      <c r="D26" s="10">
        <f>1%*Arealanvendelse!N6</f>
        <v>787.31999999999982</v>
      </c>
      <c r="E26" s="10">
        <f>1%*Arealanvendelse!Q6</f>
        <v>1.9999999999945429E-2</v>
      </c>
      <c r="F26" s="12"/>
      <c r="I26" s="1"/>
    </row>
    <row r="27" spans="2:11" ht="15.75" thickBot="1" x14ac:dyDescent="0.3">
      <c r="B27" s="332" t="str">
        <f>CONCATENATE("Antal hektar som 1% svarer til, ", Organ12)</f>
        <v>Antal hektar som 1% svarer til, OC12</v>
      </c>
      <c r="C27" s="333"/>
      <c r="D27" s="116">
        <f>1%*Arealanvendelse!O6</f>
        <v>1.9999999999936336E-2</v>
      </c>
      <c r="E27" s="116">
        <f>1%*Arealanvendelse!R6</f>
        <v>1.9999999999936336E-2</v>
      </c>
      <c r="F27" s="4"/>
      <c r="G27" s="12"/>
      <c r="H27" s="12"/>
      <c r="I27" s="1"/>
    </row>
    <row r="28" spans="2:11" ht="15.75" thickBot="1" x14ac:dyDescent="0.3">
      <c r="B28" s="235" t="s">
        <v>268</v>
      </c>
      <c r="C28" s="236"/>
      <c r="D28" s="234">
        <f>SUM(D24:D25)</f>
        <v>0</v>
      </c>
      <c r="E28" s="234">
        <f>SUM(E24:E25)</f>
        <v>0</v>
      </c>
      <c r="F28" s="329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5" t="s">
        <v>333</v>
      </c>
      <c r="C30" s="25"/>
      <c r="D30" s="25"/>
      <c r="E30" s="25"/>
      <c r="K30" s="12"/>
    </row>
    <row r="31" spans="2:11" x14ac:dyDescent="0.25">
      <c r="B31" s="346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6">
        <f>'[1]Afgrødefordeling - jordtype'!$Y4</f>
        <v>0.53753334285647836</v>
      </c>
      <c r="D32" s="90">
        <v>0.4</v>
      </c>
      <c r="E32" s="90">
        <f>D32</f>
        <v>0.4</v>
      </c>
      <c r="K32" s="12"/>
    </row>
    <row r="33" spans="2:11" x14ac:dyDescent="0.25">
      <c r="B33" s="2" t="str">
        <f>[1]Afgrødefordeling!$C3</f>
        <v>Bælgsæd</v>
      </c>
      <c r="C33" s="326">
        <f>'[1]Afgrødefordeling - jordtype'!$Y5</f>
        <v>3.0976273829928767E-2</v>
      </c>
      <c r="D33" s="90">
        <v>0.115</v>
      </c>
      <c r="E33" s="90">
        <f t="shared" ref="E33:E45" si="1">D33</f>
        <v>0.115</v>
      </c>
      <c r="K33" s="12"/>
    </row>
    <row r="34" spans="2:11" x14ac:dyDescent="0.25">
      <c r="B34" s="2" t="str">
        <f>[1]Afgrødefordeling!$C4</f>
        <v>Raps</v>
      </c>
      <c r="C34" s="326">
        <f>'[1]Afgrødefordeling - jordtype'!$Y6</f>
        <v>6.5329688585482673E-2</v>
      </c>
      <c r="D34" s="90">
        <v>9.0999999999999998E-2</v>
      </c>
      <c r="E34" s="90">
        <f t="shared" si="1"/>
        <v>9.0999999999999998E-2</v>
      </c>
      <c r="K34" s="12"/>
    </row>
    <row r="35" spans="2:11" x14ac:dyDescent="0.25">
      <c r="B35" s="2" t="str">
        <f>[1]Afgrødefordeling!$C5</f>
        <v>Græs</v>
      </c>
      <c r="C35" s="326">
        <f>'[1]Afgrødefordeling - jordtype'!$Y7</f>
        <v>0.10115967422642448</v>
      </c>
      <c r="D35" s="90">
        <v>0.13</v>
      </c>
      <c r="E35" s="90">
        <v>8.5000000000000006E-2</v>
      </c>
      <c r="K35" s="12"/>
    </row>
    <row r="36" spans="2:11" x14ac:dyDescent="0.25">
      <c r="B36" s="2" t="str">
        <f>[1]Afgrødefordeling!$C6</f>
        <v>Grøntsager</v>
      </c>
      <c r="C36" s="326">
        <f>'[1]Afgrødefordeling - jordtype'!$Y8</f>
        <v>5.2060865589185204E-3</v>
      </c>
      <c r="D36" s="90">
        <v>0.04</v>
      </c>
      <c r="E36" s="90">
        <f t="shared" si="1"/>
        <v>0.04</v>
      </c>
      <c r="K36" s="12"/>
    </row>
    <row r="37" spans="2:11" x14ac:dyDescent="0.25">
      <c r="B37" s="2" t="str">
        <f>[1]Afgrødefordeling!$C7</f>
        <v>Kartofler</v>
      </c>
      <c r="C37" s="326">
        <f>'[1]Afgrødefordeling - jordtype'!$Y9</f>
        <v>2.189728375215861E-2</v>
      </c>
      <c r="D37" s="90">
        <v>0.03</v>
      </c>
      <c r="E37" s="90">
        <f t="shared" si="1"/>
        <v>0.03</v>
      </c>
      <c r="K37" s="12"/>
    </row>
    <row r="38" spans="2:11" x14ac:dyDescent="0.25">
      <c r="B38" s="2" t="str">
        <f>[1]Afgrødefordeling!$C8</f>
        <v>Roer</v>
      </c>
      <c r="C38" s="326">
        <f>'[1]Afgrødefordeling - jordtype'!$Y10</f>
        <v>1.3466912404096722E-2</v>
      </c>
      <c r="D38" s="90">
        <v>5.0000000000000001E-3</v>
      </c>
      <c r="E38" s="90">
        <f t="shared" si="1"/>
        <v>5.0000000000000001E-3</v>
      </c>
      <c r="K38" s="12"/>
    </row>
    <row r="39" spans="2:11" x14ac:dyDescent="0.25">
      <c r="B39" s="2" t="str">
        <f>[1]Afgrødefordeling!$C9</f>
        <v>Majs</v>
      </c>
      <c r="C39" s="326">
        <f>'[1]Afgrødefordeling - jordtype'!$Y11</f>
        <v>7.2759287296729286E-2</v>
      </c>
      <c r="D39" s="90">
        <v>0.05</v>
      </c>
      <c r="E39" s="90">
        <f t="shared" si="1"/>
        <v>0.05</v>
      </c>
      <c r="K39" s="12"/>
    </row>
    <row r="40" spans="2:11" x14ac:dyDescent="0.25">
      <c r="B40" s="2" t="str">
        <f>[1]Afgrødefordeling!$C10</f>
        <v>Frugt</v>
      </c>
      <c r="C40" s="326">
        <f>'[1]Afgrødefordeling - jordtype'!$Y12</f>
        <v>2.0301913757470973E-3</v>
      </c>
      <c r="D40" s="90">
        <v>0.01</v>
      </c>
      <c r="E40" s="90">
        <f t="shared" si="1"/>
        <v>0.01</v>
      </c>
      <c r="K40" s="12"/>
    </row>
    <row r="41" spans="2:11" x14ac:dyDescent="0.25">
      <c r="B41" s="2" t="str">
        <f>[1]Afgrødefordeling!$C11</f>
        <v>Øvrige</v>
      </c>
      <c r="C41" s="326">
        <f>'[1]Afgrødefordeling - jordtype'!$Y13</f>
        <v>2.7968670218625629E-2</v>
      </c>
      <c r="D41" s="90">
        <f t="shared" ref="D33:D43" si="2">C41</f>
        <v>2.7968670218625629E-2</v>
      </c>
      <c r="E41" s="90">
        <f t="shared" si="1"/>
        <v>2.7968670218625629E-2</v>
      </c>
      <c r="K41" s="12"/>
    </row>
    <row r="42" spans="2:11" x14ac:dyDescent="0.25">
      <c r="B42" s="2" t="str">
        <f>[1]Afgrødefordeling!$C12</f>
        <v>Frø</v>
      </c>
      <c r="C42" s="326">
        <f>'[1]Afgrødefordeling - jordtype'!$Y14</f>
        <v>4.0395307311065158E-2</v>
      </c>
      <c r="D42" s="90">
        <f t="shared" si="2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6">
        <f>'[1]Afgrødefordeling - jordtype'!$Y15</f>
        <v>7.5869349743828522E-3</v>
      </c>
      <c r="D43" s="90">
        <f t="shared" si="2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6">
        <f>'[1]Afgrødefordeling - jordtype'!$Y16</f>
        <v>2.9175094799916215E-3</v>
      </c>
      <c r="D44" s="90">
        <f>C44</f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6">
        <f>'[1]Afgrødefordeling - jordtype'!$Y17</f>
        <v>7.0772837129970206E-2</v>
      </c>
      <c r="D45" s="90">
        <v>0.05</v>
      </c>
      <c r="E45" s="90">
        <v>9.5000000000000001E-2</v>
      </c>
      <c r="K45" s="12"/>
    </row>
    <row r="46" spans="2:11" x14ac:dyDescent="0.25">
      <c r="B46" s="25" t="s">
        <v>297</v>
      </c>
      <c r="C46" s="87"/>
      <c r="D46" s="89">
        <f>SUM(D32:D45)</f>
        <v>0.99986842198406534</v>
      </c>
      <c r="E46" s="89">
        <f>SUM(E32:E45)</f>
        <v>0.99986842198406523</v>
      </c>
      <c r="K46" s="12"/>
    </row>
    <row r="47" spans="2:11" x14ac:dyDescent="0.25">
      <c r="B47" s="25" t="s">
        <v>245</v>
      </c>
      <c r="C47" s="87"/>
      <c r="D47" s="115" cm="1">
        <f t="array" ref="D47">SUMPRODUCT((D32:D45&gt;$C$32:$C$45)*(D32:D45-$C$32:$C$45))*Arealanvendelse!M6</f>
        <v>407142.78170157236</v>
      </c>
      <c r="E47" s="115" cm="1">
        <f t="array" ref="E47">SUMPRODUCT((E32:E45&gt;$C$32:$C$45)*(E32:E45-$C$32:$C$45))*Arealanvendelse!P6</f>
        <v>348608.53289043927</v>
      </c>
      <c r="K47" s="12"/>
    </row>
    <row r="48" spans="2:11" x14ac:dyDescent="0.25">
      <c r="B48" s="25" t="s">
        <v>244</v>
      </c>
      <c r="C48" s="109"/>
      <c r="D48" s="115">
        <f>1%*Arealanvendelse!M6</f>
        <v>21496.36</v>
      </c>
      <c r="E48" s="115">
        <f>1%*Arealanvendelse!P6</f>
        <v>18865.36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2">
        <f>C51</f>
        <v>6.475478040220463E-3</v>
      </c>
      <c r="E51" s="212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4" sqref="D14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0" t="s">
        <v>280</v>
      </c>
    </row>
    <row r="2" spans="1:9" ht="15.75" thickBot="1" x14ac:dyDescent="0.3">
      <c r="A2" s="315"/>
      <c r="B2" s="315"/>
      <c r="C2" s="315">
        <f>År1</f>
        <v>2019</v>
      </c>
      <c r="D2" s="315">
        <f>År2</f>
        <v>2030</v>
      </c>
      <c r="E2" s="315">
        <f>År3</f>
        <v>2050</v>
      </c>
      <c r="F2" s="315" t="s">
        <v>324</v>
      </c>
    </row>
    <row r="3" spans="1:9" x14ac:dyDescent="0.25">
      <c r="A3" s="316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4">
        <v>0.4</v>
      </c>
      <c r="E3" s="314">
        <f>D3</f>
        <v>0.4</v>
      </c>
      <c r="I3" s="244"/>
    </row>
    <row r="4" spans="1:9" x14ac:dyDescent="0.25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4">
        <v>0.01</v>
      </c>
      <c r="E4" s="314">
        <f t="shared" ref="D4:E17" si="0">D4</f>
        <v>0.01</v>
      </c>
      <c r="I4" s="244"/>
    </row>
    <row r="5" spans="1:9" x14ac:dyDescent="0.25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4">
        <v>0</v>
      </c>
      <c r="E5" s="314">
        <f t="shared" si="0"/>
        <v>0</v>
      </c>
      <c r="I5" s="244"/>
    </row>
    <row r="6" spans="1:9" x14ac:dyDescent="0.25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4">
        <v>5.0000000000000001E-3</v>
      </c>
      <c r="E6" s="314">
        <f t="shared" si="0"/>
        <v>5.0000000000000001E-3</v>
      </c>
      <c r="I6" s="244"/>
    </row>
    <row r="7" spans="1:9" x14ac:dyDescent="0.25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4">
        <v>0.01</v>
      </c>
      <c r="E7" s="314">
        <f t="shared" si="0"/>
        <v>0.01</v>
      </c>
      <c r="I7" s="244"/>
    </row>
    <row r="8" spans="1:9" x14ac:dyDescent="0.25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4">
        <v>0.115</v>
      </c>
      <c r="E8" s="314">
        <f t="shared" si="0"/>
        <v>0.115</v>
      </c>
      <c r="I8" s="244"/>
    </row>
    <row r="9" spans="1:9" x14ac:dyDescent="0.25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4">
        <v>1.4999999999999999E-2</v>
      </c>
      <c r="E9" s="314">
        <f t="shared" si="0"/>
        <v>1.4999999999999999E-2</v>
      </c>
      <c r="I9" s="244"/>
    </row>
    <row r="10" spans="1:9" x14ac:dyDescent="0.25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4">
        <v>0</v>
      </c>
      <c r="E10" s="314">
        <f t="shared" si="0"/>
        <v>0</v>
      </c>
      <c r="I10" s="244"/>
    </row>
    <row r="11" spans="1:9" x14ac:dyDescent="0.25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4">
        <v>0</v>
      </c>
      <c r="E11" s="314">
        <f t="shared" si="0"/>
        <v>0</v>
      </c>
      <c r="I11" s="244"/>
    </row>
    <row r="12" spans="1:9" x14ac:dyDescent="0.25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4">
        <v>0.155</v>
      </c>
      <c r="E12" s="314">
        <f t="shared" si="0"/>
        <v>0.155</v>
      </c>
    </row>
    <row r="13" spans="1:9" x14ac:dyDescent="0.25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4">
        <v>0.01</v>
      </c>
      <c r="E13" s="314">
        <f t="shared" si="0"/>
        <v>0.01</v>
      </c>
    </row>
    <row r="14" spans="1:9" x14ac:dyDescent="0.25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data'!$H$430,3)</f>
        <v>5.0999999999999997E-2</v>
      </c>
      <c r="E14" s="119">
        <f>ROUND('[1]Processer - data'!J$469/'[1]Processer - data'!J$468*E15*'[1]Processer - data'!$H$429/'[1]Processer - data'!$H$430,3)</f>
        <v>5.0999999999999997E-2</v>
      </c>
      <c r="F14" s="1" t="s">
        <v>325</v>
      </c>
    </row>
    <row r="15" spans="1:9" x14ac:dyDescent="0.25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4">
        <v>0.219</v>
      </c>
      <c r="E15" s="314">
        <f t="shared" si="0"/>
        <v>0.219</v>
      </c>
    </row>
    <row r="16" spans="1:9" x14ac:dyDescent="0.25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4">
        <v>0.01</v>
      </c>
      <c r="E16" s="314">
        <f t="shared" si="0"/>
        <v>0.01</v>
      </c>
    </row>
    <row r="17" spans="1:6" ht="15.75" thickBot="1" x14ac:dyDescent="0.3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4">
        <v>0</v>
      </c>
      <c r="E17" s="314">
        <f t="shared" si="0"/>
        <v>0</v>
      </c>
      <c r="F17" s="315"/>
    </row>
    <row r="18" spans="1:6" ht="15.75" thickBot="1" x14ac:dyDescent="0.3">
      <c r="A18" s="245" t="s">
        <v>30</v>
      </c>
      <c r="B18" s="245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8" t="s">
        <v>326</v>
      </c>
    </row>
  </sheetData>
  <conditionalFormatting sqref="C18:E18">
    <cfRule type="cellIs" dxfId="200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85" zoomScaleNormal="85" workbookViewId="0">
      <selection activeCell="C16" sqref="C16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9" t="s">
        <v>280</v>
      </c>
    </row>
    <row r="2" spans="1:4" x14ac:dyDescent="0.25">
      <c r="A2" s="103" t="s">
        <v>250</v>
      </c>
    </row>
    <row r="3" spans="1:4" x14ac:dyDescent="0.25">
      <c r="A3" s="6" t="s">
        <v>183</v>
      </c>
      <c r="B3" s="1" t="s">
        <v>171</v>
      </c>
    </row>
    <row r="4" spans="1:4" x14ac:dyDescent="0.25">
      <c r="A4" s="6" t="s">
        <v>177</v>
      </c>
      <c r="B4" s="1" t="s">
        <v>172</v>
      </c>
    </row>
    <row r="5" spans="1:4" x14ac:dyDescent="0.25">
      <c r="A5" s="6" t="s">
        <v>178</v>
      </c>
      <c r="B5" s="1" t="s">
        <v>173</v>
      </c>
    </row>
    <row r="6" spans="1:4" x14ac:dyDescent="0.25">
      <c r="A6" s="6" t="s">
        <v>179</v>
      </c>
      <c r="B6" s="1" t="s">
        <v>187</v>
      </c>
    </row>
    <row r="7" spans="1:4" x14ac:dyDescent="0.25">
      <c r="A7" s="6" t="s">
        <v>180</v>
      </c>
      <c r="B7" s="1" t="s">
        <v>188</v>
      </c>
    </row>
    <row r="8" spans="1:4" x14ac:dyDescent="0.25">
      <c r="A8" s="6" t="s">
        <v>181</v>
      </c>
      <c r="B8" s="1" t="s">
        <v>189</v>
      </c>
    </row>
    <row r="9" spans="1:4" x14ac:dyDescent="0.25">
      <c r="A9" s="2" t="s">
        <v>289</v>
      </c>
      <c r="B9" s="2"/>
      <c r="C9" s="33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288</v>
      </c>
      <c r="B11" s="2"/>
      <c r="C11" s="2"/>
      <c r="D11" s="2"/>
    </row>
    <row r="12" spans="1:4" x14ac:dyDescent="0.25">
      <c r="A12" s="2" t="s">
        <v>184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177</v>
      </c>
      <c r="B13" s="7">
        <v>0</v>
      </c>
      <c r="C13" s="8">
        <v>0.25</v>
      </c>
      <c r="D13" s="8">
        <v>0.25</v>
      </c>
    </row>
    <row r="14" spans="1:4" x14ac:dyDescent="0.25">
      <c r="A14" s="2" t="s">
        <v>178</v>
      </c>
      <c r="B14" s="7">
        <v>0</v>
      </c>
      <c r="C14" s="8">
        <v>0.25</v>
      </c>
      <c r="D14" s="8">
        <v>0.25</v>
      </c>
    </row>
    <row r="15" spans="1:4" x14ac:dyDescent="0.25">
      <c r="A15" s="2" t="s">
        <v>179</v>
      </c>
      <c r="B15" s="7">
        <v>0</v>
      </c>
      <c r="C15" s="8">
        <v>0.25</v>
      </c>
      <c r="D15" s="8">
        <v>0.25</v>
      </c>
    </row>
    <row r="16" spans="1:4" x14ac:dyDescent="0.25">
      <c r="A16" s="2" t="s">
        <v>180</v>
      </c>
      <c r="B16" s="7">
        <v>0</v>
      </c>
      <c r="C16" s="8">
        <v>0.25</v>
      </c>
      <c r="D16" s="8">
        <v>0.25</v>
      </c>
    </row>
    <row r="17" spans="1:8" ht="15.75" thickBot="1" x14ac:dyDescent="0.3">
      <c r="A17" s="335" t="s">
        <v>181</v>
      </c>
      <c r="B17" s="336">
        <v>0</v>
      </c>
      <c r="C17" s="339">
        <v>0</v>
      </c>
      <c r="D17" s="339">
        <v>0</v>
      </c>
    </row>
    <row r="18" spans="1:8" ht="15.75" thickBot="1" x14ac:dyDescent="0.3">
      <c r="A18" s="337" t="s">
        <v>30</v>
      </c>
      <c r="B18" s="338"/>
      <c r="C18" s="338">
        <f>SUM(C13:C17)</f>
        <v>1</v>
      </c>
      <c r="D18" s="338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316"/>
      <c r="B20" s="316"/>
      <c r="C20" s="316" t="s">
        <v>23</v>
      </c>
      <c r="D20" s="316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185</v>
      </c>
      <c r="B21" s="184" t="s">
        <v>186</v>
      </c>
      <c r="C21" s="184">
        <f>År1</f>
        <v>2019</v>
      </c>
      <c r="D21" s="184">
        <f>År2</f>
        <v>2030</v>
      </c>
      <c r="E21" s="184">
        <f>År3</f>
        <v>2050</v>
      </c>
      <c r="F21" s="184">
        <f>År1</f>
        <v>2019</v>
      </c>
      <c r="G21" s="184">
        <f>År2</f>
        <v>2030</v>
      </c>
      <c r="H21" s="184">
        <f>År3</f>
        <v>2050</v>
      </c>
    </row>
    <row r="22" spans="1:8" hidden="1" x14ac:dyDescent="0.25">
      <c r="A22" s="2" t="s">
        <v>183</v>
      </c>
      <c r="B22" s="185" t="s">
        <v>182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177</v>
      </c>
      <c r="B23" s="186">
        <v>10</v>
      </c>
      <c r="C23" s="109">
        <v>0</v>
      </c>
      <c r="D23" s="109">
        <f>IF(D$21-C$21+10&gt;$B23,IF(D$21-C$21&lt;=10,VLOOKUP($A23,$A$13:$D$17,MATCH(D$21,$A$12:$D$12)),VLOOKUP($A23,$A$13:$D$17,MATCH(D$21,$A$12:$D$12))/(D$21-C$21)*IF($B23=10,10,D$21-C$21-$B22)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56589.718580969005</v>
      </c>
      <c r="E23" s="109">
        <f>IF(E$21-D$21+10&gt;$B23,IF(E$21-D$21&lt;=10,VLOOKUP($A23,$A$13:$D$17,MATCH(E$21,$A$12:$D$12)),VLOOKUP($A23,$A$13:$D$17,MATCH(E$21,$A$12:$D$12))/(E$21-D$21)*IF($B23=10,10,E$21-D$21-$B22)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21)</f>
        <v>34592.603862515069</v>
      </c>
      <c r="F23" s="109">
        <v>0</v>
      </c>
      <c r="G23" s="109">
        <f>IF(G$21-F$21+10&gt;$B23,IF(G$21-F$21&lt;=10,VLOOKUP($A23,$A$13:$D$17,MATCH(G$21,$A$12:$D$12)),VLOOKUP($A23,$A$13:$D$17,MATCH(G$21,$A$12:$D$12))/(G$21-F$21)*IF($B23=10,10,G$21-F$21-$B22)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7079.2272378551706</v>
      </c>
      <c r="H23" s="109">
        <f>IF(H$21-G$21+10&gt;$B23,IF(H$21-G$21&lt;=10,VLOOKUP($A23,$A$13:$D$17,MATCH(H$21,$A$12:$D$12)),VLOOKUP($A23,$A$13:$D$17,MATCH(H$21,$A$12:$D$12))/(H$21-G$21)*IF($B23=10,10,H$21-G$21-$B22)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21)</f>
        <v>4635.3974309211899</v>
      </c>
    </row>
    <row r="24" spans="1:8" hidden="1" x14ac:dyDescent="0.25">
      <c r="A24" s="2" t="s">
        <v>177</v>
      </c>
      <c r="B24" s="186">
        <v>20</v>
      </c>
      <c r="C24" s="109">
        <v>0</v>
      </c>
      <c r="D24" s="109">
        <f>IF(D$21-C$21+10&gt;$B24,IF(D$21-C$21&lt;=10,VLOOKUP($A24,$A$13:$D$17,MATCH(D$21,$A$12:$D$12)),VLOOKUP($A24,$A$13:$D$17,MATCH(D$21,$A$12:$D$12))/(D$21-C$21)*IF($B24=10,10,D$21-C$21-$B23)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5658.9718580969002</v>
      </c>
      <c r="E24" s="109">
        <f>IF(E$21-D$21+10&gt;$B24,IF(E$21-D$21&lt;=10,VLOOKUP($A24,$A$13:$D$17,MATCH(E$21,$A$12:$D$12)),VLOOKUP($A24,$A$13:$D$17,MATCH(E$21,$A$12:$D$12))/(E$21-D$21)*IF($B24=10,10,E$21-D$21-$B23)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22)</f>
        <v>34592.603862515069</v>
      </c>
      <c r="F24" s="109">
        <v>0</v>
      </c>
      <c r="G24" s="109">
        <f>IF(G$21-F$21+10&gt;$B24,IF(G$21-F$21&lt;=10,VLOOKUP($A24,$A$13:$D$17,MATCH(G$21,$A$12:$D$12)),VLOOKUP($A24,$A$13:$D$17,MATCH(G$21,$A$12:$D$12))/(G$21-F$21)*IF($B24=10,10,G$21-F$21-$B23)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707.92272378551706</v>
      </c>
      <c r="H24" s="109">
        <f>IF(H$21-G$21+10&gt;$B24,IF(H$21-G$21&lt;=10,VLOOKUP($A24,$A$13:$D$17,MATCH(H$21,$A$12:$D$12)),VLOOKUP($A24,$A$13:$D$17,MATCH(H$21,$A$12:$D$12))/(H$21-G$21)*IF($B24=10,10,H$21-G$21-$B23)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22)</f>
        <v>4635.3974309211899</v>
      </c>
    </row>
    <row r="25" spans="1:8" hidden="1" x14ac:dyDescent="0.25">
      <c r="A25" s="2" t="s">
        <v>177</v>
      </c>
      <c r="B25" s="186">
        <v>30</v>
      </c>
      <c r="C25" s="109">
        <v>0</v>
      </c>
      <c r="D25" s="109">
        <f>IF(D$21-C$21+10&gt;$B25,IF(D$21-C$21&lt;=10,VLOOKUP($A25,$A$13:$D$17,MATCH(D$21,$A$12:$D$12)),VLOOKUP($A25,$A$13:$D$17,MATCH(D$21,$A$12:$D$12))/(D$21-C$21)*IF($B25=10,10,D$21-C$21-$B24)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5" s="109">
        <f>IF(E$21-D$21+10&gt;$B25,IF(E$21-D$21&lt;=10,VLOOKUP($A25,$A$13:$D$17,MATCH(E$21,$A$12:$D$12)),VLOOKUP($A25,$A$13:$D$17,MATCH(E$21,$A$12:$D$12))/(E$21-D$21)*IF($B25=10,10,E$21-D$21-$B24)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23)</f>
        <v>56589.718580969005</v>
      </c>
      <c r="F25" s="109">
        <v>0</v>
      </c>
      <c r="G25" s="109">
        <f>IF(G$21-F$21+10&gt;$B25,IF(G$21-F$21&lt;=10,VLOOKUP($A25,$A$13:$D$17,MATCH(G$21,$A$12:$D$12)),VLOOKUP($A25,$A$13:$D$17,MATCH(G$21,$A$12:$D$12))/(G$21-F$21)*IF($B25=10,10,G$21-F$21-$B24)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5" s="109">
        <f>IF(H$21-G$21+10&gt;$B25,IF(H$21-G$21&lt;=10,VLOOKUP($A25,$A$13:$D$17,MATCH(H$21,$A$12:$D$12)),VLOOKUP($A25,$A$13:$D$17,MATCH(H$21,$A$12:$D$12))/(H$21-G$21)*IF($B25=10,10,H$21-G$21-$B24)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23)</f>
        <v>7079.2272378551706</v>
      </c>
    </row>
    <row r="26" spans="1:8" hidden="1" x14ac:dyDescent="0.25">
      <c r="A26" s="2" t="s">
        <v>177</v>
      </c>
      <c r="B26" s="187">
        <v>40</v>
      </c>
      <c r="C26" s="109">
        <v>0</v>
      </c>
      <c r="D26" s="109">
        <f>IF(D$21-C$21+10&gt;$B26,IF(D$21-C$21&lt;=10,VLOOKUP($A26,$A$13:$D$17,MATCH(D$21,$A$12:$D$12)),VLOOKUP($A26,$A$13:$D$17,MATCH(D$21,$A$12:$D$12))/(D$21-C$21)*IF($B26=10,10,D$21-C$21-$B25)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6" s="109">
        <f>IF(E$21-D$21+10&gt;$B26,IF(E$21-D$21&lt;=10,VLOOKUP($A26,$A$13:$D$17,MATCH(E$21,$A$12:$D$12)),VLOOKUP($A26,$A$13:$D$17,MATCH(E$21,$A$12:$D$12))/(E$21-D$21)*IF($B26=10,10,E$21-D$21-$B25)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24)</f>
        <v>5658.9718580969002</v>
      </c>
      <c r="F26" s="109">
        <v>0</v>
      </c>
      <c r="G26" s="109">
        <f>IF(G$21-F$21+10&gt;$B26,IF(G$21-F$21&lt;=10,VLOOKUP($A26,$A$13:$D$17,MATCH(G$21,$A$12:$D$12)),VLOOKUP($A26,$A$13:$D$17,MATCH(G$21,$A$12:$D$12))/(G$21-F$21)*IF($B26=10,10,G$21-F$21-$B25)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6" s="109">
        <f>IF(H$21-G$21+10&gt;$B26,IF(H$21-G$21&lt;=10,VLOOKUP($A26,$A$13:$D$17,MATCH(H$21,$A$12:$D$12)),VLOOKUP($A26,$A$13:$D$17,MATCH(H$21,$A$12:$D$12))/(H$21-G$21)*IF($B26=10,10,H$21-G$21-$B25)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24)</f>
        <v>707.92272378551706</v>
      </c>
    </row>
    <row r="27" spans="1:8" hidden="1" x14ac:dyDescent="0.25">
      <c r="A27" s="2" t="s">
        <v>178</v>
      </c>
      <c r="B27" s="186">
        <v>10</v>
      </c>
      <c r="C27" s="109">
        <v>0</v>
      </c>
      <c r="D27" s="109">
        <f>IF(D$21-C$21+10&gt;$B27,IF(D$21-C$21&lt;=10,VLOOKUP($A27,$A$13:$D$17,MATCH(D$21,$A$12:$D$12)),VLOOKUP($A27,$A$13:$D$17,MATCH(D$21,$A$12:$D$12))/(D$21-C$21)*IF($B27=10,10,D$21-C$21-$B26)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56589.718580969005</v>
      </c>
      <c r="E27" s="109">
        <f>IF(E$21-D$21+10&gt;$B27,IF(E$21-D$21&lt;=10,VLOOKUP($A27,$A$13:$D$17,MATCH(E$21,$A$12:$D$12)),VLOOKUP($A27,$A$13:$D$17,MATCH(E$21,$A$12:$D$12))/(E$21-D$21)*IF($B27=10,10,E$21-D$21-$B26)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25)</f>
        <v>34592.603862515069</v>
      </c>
      <c r="F27" s="109">
        <v>0</v>
      </c>
      <c r="G27" s="109">
        <f>IF(G$21-F$21+10&gt;$B27,IF(G$21-F$21&lt;=10,VLOOKUP($A27,$A$13:$D$17,MATCH(G$21,$A$12:$D$12)),VLOOKUP($A27,$A$13:$D$17,MATCH(G$21,$A$12:$D$12))/(G$21-F$21)*IF($B27=10,10,G$21-F$21-$B26)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7079.2272378551706</v>
      </c>
      <c r="H27" s="109">
        <f>IF(H$21-G$21+10&gt;$B27,IF(H$21-G$21&lt;=10,VLOOKUP($A27,$A$13:$D$17,MATCH(H$21,$A$12:$D$12)),VLOOKUP($A27,$A$13:$D$17,MATCH(H$21,$A$12:$D$12))/(H$21-G$21)*IF($B27=10,10,H$21-G$21-$B26)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25)</f>
        <v>4635.3974309211899</v>
      </c>
    </row>
    <row r="28" spans="1:8" hidden="1" x14ac:dyDescent="0.25">
      <c r="A28" s="2" t="s">
        <v>178</v>
      </c>
      <c r="B28" s="186">
        <v>20</v>
      </c>
      <c r="C28" s="109">
        <v>0</v>
      </c>
      <c r="D28" s="109">
        <f>IF(D$21-C$21+10&gt;$B28,IF(D$21-C$21&lt;=10,VLOOKUP($A28,$A$13:$D$17,MATCH(D$21,$A$12:$D$12)),VLOOKUP($A28,$A$13:$D$17,MATCH(D$21,$A$12:$D$12))/(D$21-C$21)*IF($B28=10,10,D$21-C$21-$B27)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5658.9718580969002</v>
      </c>
      <c r="E28" s="109">
        <f>IF(E$21-D$21+10&gt;$B28,IF(E$21-D$21&lt;=10,VLOOKUP($A28,$A$13:$D$17,MATCH(E$21,$A$12:$D$12)),VLOOKUP($A28,$A$13:$D$17,MATCH(E$21,$A$12:$D$12))/(E$21-D$21)*IF($B28=10,10,E$21-D$21-$B27)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26)</f>
        <v>34592.603862515069</v>
      </c>
      <c r="F28" s="109">
        <v>0</v>
      </c>
      <c r="G28" s="109">
        <f>IF(G$21-F$21+10&gt;$B28,IF(G$21-F$21&lt;=10,VLOOKUP($A28,$A$13:$D$17,MATCH(G$21,$A$12:$D$12)),VLOOKUP($A28,$A$13:$D$17,MATCH(G$21,$A$12:$D$12))/(G$21-F$21)*IF($B28=10,10,G$21-F$21-$B27)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707.92272378551706</v>
      </c>
      <c r="H28" s="109">
        <f>IF(H$21-G$21+10&gt;$B28,IF(H$21-G$21&lt;=10,VLOOKUP($A28,$A$13:$D$17,MATCH(H$21,$A$12:$D$12)),VLOOKUP($A28,$A$13:$D$17,MATCH(H$21,$A$12:$D$12))/(H$21-G$21)*IF($B28=10,10,H$21-G$21-$B27)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26)</f>
        <v>4635.3974309211899</v>
      </c>
    </row>
    <row r="29" spans="1:8" hidden="1" x14ac:dyDescent="0.25">
      <c r="A29" s="2" t="s">
        <v>178</v>
      </c>
      <c r="B29" s="186">
        <v>30</v>
      </c>
      <c r="C29" s="109">
        <v>0</v>
      </c>
      <c r="D29" s="109">
        <f>IF(D$21-C$21+10&gt;$B29,IF(D$21-C$21&lt;=10,VLOOKUP($A29,$A$13:$D$17,MATCH(D$21,$A$12:$D$12)),VLOOKUP($A29,$A$13:$D$17,MATCH(D$21,$A$12:$D$12))/(D$21-C$21)*IF($B29=10,10,D$21-C$21-$B28)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9" s="109">
        <f>IF(E$21-D$21+10&gt;$B29,IF(E$21-D$21&lt;=10,VLOOKUP($A29,$A$13:$D$17,MATCH(E$21,$A$12:$D$12)),VLOOKUP($A29,$A$13:$D$17,MATCH(E$21,$A$12:$D$12))/(E$21-D$21)*IF($B29=10,10,E$21-D$21-$B28)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27)</f>
        <v>56589.718580969005</v>
      </c>
      <c r="F29" s="109">
        <v>0</v>
      </c>
      <c r="G29" s="109">
        <f>IF(G$21-F$21+10&gt;$B29,IF(G$21-F$21&lt;=10,VLOOKUP($A29,$A$13:$D$17,MATCH(G$21,$A$12:$D$12)),VLOOKUP($A29,$A$13:$D$17,MATCH(G$21,$A$12:$D$12))/(G$21-F$21)*IF($B29=10,10,G$21-F$21-$B28)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9" s="109">
        <f>IF(H$21-G$21+10&gt;$B29,IF(H$21-G$21&lt;=10,VLOOKUP($A29,$A$13:$D$17,MATCH(H$21,$A$12:$D$12)),VLOOKUP($A29,$A$13:$D$17,MATCH(H$21,$A$12:$D$12))/(H$21-G$21)*IF($B29=10,10,H$21-G$21-$B28)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27)</f>
        <v>7079.2272378551706</v>
      </c>
    </row>
    <row r="30" spans="1:8" hidden="1" x14ac:dyDescent="0.25">
      <c r="A30" s="2" t="s">
        <v>178</v>
      </c>
      <c r="B30" s="187">
        <v>40</v>
      </c>
      <c r="C30" s="109">
        <v>0</v>
      </c>
      <c r="D30" s="109">
        <f>IF(D$21-C$21+10&gt;$B30,IF(D$21-C$21&lt;=10,VLOOKUP($A30,$A$13:$D$17,MATCH(D$21,$A$12:$D$12)),VLOOKUP($A30,$A$13:$D$17,MATCH(D$21,$A$12:$D$12))/(D$21-C$21)*IF($B30=10,10,D$21-C$21-$B29)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0" s="109">
        <f>IF(E$21-D$21+10&gt;$B30,IF(E$21-D$21&lt;=10,VLOOKUP($A30,$A$13:$D$17,MATCH(E$21,$A$12:$D$12)),VLOOKUP($A30,$A$13:$D$17,MATCH(E$21,$A$12:$D$12))/(E$21-D$21)*IF($B30=10,10,E$21-D$21-$B29)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28)</f>
        <v>5658.9718580969002</v>
      </c>
      <c r="F30" s="109">
        <v>0</v>
      </c>
      <c r="G30" s="109">
        <f>IF(G$21-F$21+10&gt;$B30,IF(G$21-F$21&lt;=10,VLOOKUP($A30,$A$13:$D$17,MATCH(G$21,$A$12:$D$12)),VLOOKUP($A30,$A$13:$D$17,MATCH(G$21,$A$12:$D$12))/(G$21-F$21)*IF($B30=10,10,G$21-F$21-$B29)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0" s="109">
        <f>IF(H$21-G$21+10&gt;$B30,IF(H$21-G$21&lt;=10,VLOOKUP($A30,$A$13:$D$17,MATCH(H$21,$A$12:$D$12)),VLOOKUP($A30,$A$13:$D$17,MATCH(H$21,$A$12:$D$12))/(H$21-G$21)*IF($B30=10,10,H$21-G$21-$B29)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28)</f>
        <v>707.92272378551706</v>
      </c>
    </row>
    <row r="31" spans="1:8" hidden="1" x14ac:dyDescent="0.25">
      <c r="A31" s="2" t="s">
        <v>179</v>
      </c>
      <c r="B31" s="186">
        <v>10</v>
      </c>
      <c r="C31" s="109">
        <v>0</v>
      </c>
      <c r="D31" s="109">
        <f>IF(D$21-C$21+10&gt;$B31,IF(D$21-C$21&lt;=10,VLOOKUP($A31,$A$13:$D$17,MATCH(D$21,$A$12:$D$12)),VLOOKUP($A31,$A$13:$D$17,MATCH(D$21,$A$12:$D$12))/(D$21-C$21)*IF($B31=10,10,D$21-C$21-$B30)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56589.718580969005</v>
      </c>
      <c r="E31" s="109">
        <f>IF(E$21-D$21+10&gt;$B31,IF(E$21-D$21&lt;=10,VLOOKUP($A31,$A$13:$D$17,MATCH(E$21,$A$12:$D$12)),VLOOKUP($A31,$A$13:$D$17,MATCH(E$21,$A$12:$D$12))/(E$21-D$21)*IF($B31=10,10,E$21-D$21-$B30)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29)</f>
        <v>34592.603862515069</v>
      </c>
      <c r="F31" s="109">
        <v>0</v>
      </c>
      <c r="G31" s="109">
        <f>IF(G$21-F$21+10&gt;$B31,IF(G$21-F$21&lt;=10,VLOOKUP($A31,$A$13:$D$17,MATCH(G$21,$A$12:$D$12)),VLOOKUP($A31,$A$13:$D$17,MATCH(G$21,$A$12:$D$12))/(G$21-F$21)*IF($B31=10,10,G$21-F$21-$B30)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7079.2272378551706</v>
      </c>
      <c r="H31" s="109">
        <f>IF(H$21-G$21+10&gt;$B31,IF(H$21-G$21&lt;=10,VLOOKUP($A31,$A$13:$D$17,MATCH(H$21,$A$12:$D$12)),VLOOKUP($A31,$A$13:$D$17,MATCH(H$21,$A$12:$D$12))/(H$21-G$21)*IF($B31=10,10,H$21-G$21-$B30)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29)</f>
        <v>4635.3974309211899</v>
      </c>
    </row>
    <row r="32" spans="1:8" hidden="1" x14ac:dyDescent="0.25">
      <c r="A32" s="2" t="s">
        <v>179</v>
      </c>
      <c r="B32" s="186">
        <v>20</v>
      </c>
      <c r="C32" s="109">
        <v>0</v>
      </c>
      <c r="D32" s="109">
        <f>IF(D$21-C$21+10&gt;$B32,IF(D$21-C$21&lt;=10,VLOOKUP($A32,$A$13:$D$17,MATCH(D$21,$A$12:$D$12)),VLOOKUP($A32,$A$13:$D$17,MATCH(D$21,$A$12:$D$12))/(D$21-C$21)*IF($B32=10,10,D$21-C$21-$B31)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5658.9718580969002</v>
      </c>
      <c r="E32" s="109">
        <f>IF(E$21-D$21+10&gt;$B32,IF(E$21-D$21&lt;=10,VLOOKUP($A32,$A$13:$D$17,MATCH(E$21,$A$12:$D$12)),VLOOKUP($A32,$A$13:$D$17,MATCH(E$21,$A$12:$D$12))/(E$21-D$21)*IF($B32=10,10,E$21-D$21-$B31)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30)</f>
        <v>34592.603862515069</v>
      </c>
      <c r="F32" s="109">
        <v>0</v>
      </c>
      <c r="G32" s="109">
        <f>IF(G$21-F$21+10&gt;$B32,IF(G$21-F$21&lt;=10,VLOOKUP($A32,$A$13:$D$17,MATCH(G$21,$A$12:$D$12)),VLOOKUP($A32,$A$13:$D$17,MATCH(G$21,$A$12:$D$12))/(G$21-F$21)*IF($B32=10,10,G$21-F$21-$B31)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707.92272378551706</v>
      </c>
      <c r="H32" s="109">
        <f>IF(H$21-G$21+10&gt;$B32,IF(H$21-G$21&lt;=10,VLOOKUP($A32,$A$13:$D$17,MATCH(H$21,$A$12:$D$12)),VLOOKUP($A32,$A$13:$D$17,MATCH(H$21,$A$12:$D$12))/(H$21-G$21)*IF($B32=10,10,H$21-G$21-$B31)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30)</f>
        <v>4635.3974309211899</v>
      </c>
    </row>
    <row r="33" spans="1:10" hidden="1" x14ac:dyDescent="0.25">
      <c r="A33" s="2" t="s">
        <v>179</v>
      </c>
      <c r="B33" s="186">
        <v>30</v>
      </c>
      <c r="C33" s="109">
        <v>0</v>
      </c>
      <c r="D33" s="109">
        <f>IF(D$21-C$21+10&gt;$B33,IF(D$21-C$21&lt;=10,VLOOKUP($A33,$A$13:$D$17,MATCH(D$21,$A$12:$D$12)),VLOOKUP($A33,$A$13:$D$17,MATCH(D$21,$A$12:$D$12))/(D$21-C$21)*IF($B33=10,10,D$21-C$21-$B32)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3" s="109">
        <f>IF(E$21-D$21+10&gt;$B33,IF(E$21-D$21&lt;=10,VLOOKUP($A33,$A$13:$D$17,MATCH(E$21,$A$12:$D$12)),VLOOKUP($A33,$A$13:$D$17,MATCH(E$21,$A$12:$D$12))/(E$21-D$21)*IF($B33=10,10,E$21-D$21-$B32)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31)</f>
        <v>56589.718580969005</v>
      </c>
      <c r="F33" s="109">
        <v>0</v>
      </c>
      <c r="G33" s="109">
        <f>IF(G$21-F$21+10&gt;$B33,IF(G$21-F$21&lt;=10,VLOOKUP($A33,$A$13:$D$17,MATCH(G$21,$A$12:$D$12)),VLOOKUP($A33,$A$13:$D$17,MATCH(G$21,$A$12:$D$12))/(G$21-F$21)*IF($B33=10,10,G$21-F$21-$B32)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3" s="109">
        <f>IF(H$21-G$21+10&gt;$B33,IF(H$21-G$21&lt;=10,VLOOKUP($A33,$A$13:$D$17,MATCH(H$21,$A$12:$D$12)),VLOOKUP($A33,$A$13:$D$17,MATCH(H$21,$A$12:$D$12))/(H$21-G$21)*IF($B33=10,10,H$21-G$21-$B32)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31)</f>
        <v>7079.2272378551706</v>
      </c>
    </row>
    <row r="34" spans="1:10" hidden="1" x14ac:dyDescent="0.25">
      <c r="A34" s="2" t="s">
        <v>179</v>
      </c>
      <c r="B34" s="187">
        <v>40</v>
      </c>
      <c r="C34" s="109">
        <v>0</v>
      </c>
      <c r="D34" s="109">
        <f>IF(D$21-C$21+10&gt;$B34,IF(D$21-C$21&lt;=10,VLOOKUP($A34,$A$13:$D$17,MATCH(D$21,$A$12:$D$12)),VLOOKUP($A34,$A$13:$D$17,MATCH(D$21,$A$12:$D$12))/(D$21-C$21)*IF($B34=10,10,D$21-C$21-$B33)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4" s="109">
        <f>IF(E$21-D$21+10&gt;$B34,IF(E$21-D$21&lt;=10,VLOOKUP($A34,$A$13:$D$17,MATCH(E$21,$A$12:$D$12)),VLOOKUP($A34,$A$13:$D$17,MATCH(E$21,$A$12:$D$12))/(E$21-D$21)*IF($B34=10,10,E$21-D$21-$B33)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32)</f>
        <v>5658.9718580969002</v>
      </c>
      <c r="F34" s="109">
        <v>0</v>
      </c>
      <c r="G34" s="109">
        <f>IF(G$21-F$21+10&gt;$B34,IF(G$21-F$21&lt;=10,VLOOKUP($A34,$A$13:$D$17,MATCH(G$21,$A$12:$D$12)),VLOOKUP($A34,$A$13:$D$17,MATCH(G$21,$A$12:$D$12))/(G$21-F$21)*IF($B34=10,10,G$21-F$21-$B33)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4" s="109">
        <f>IF(H$21-G$21+10&gt;$B34,IF(H$21-G$21&lt;=10,VLOOKUP($A34,$A$13:$D$17,MATCH(H$21,$A$12:$D$12)),VLOOKUP($A34,$A$13:$D$17,MATCH(H$21,$A$12:$D$12))/(H$21-G$21)*IF($B34=10,10,H$21-G$21-$B33)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32)</f>
        <v>707.92272378551706</v>
      </c>
    </row>
    <row r="35" spans="1:10" hidden="1" x14ac:dyDescent="0.25">
      <c r="A35" s="2" t="s">
        <v>180</v>
      </c>
      <c r="B35" s="186">
        <v>10</v>
      </c>
      <c r="C35" s="109">
        <v>0</v>
      </c>
      <c r="D35" s="109">
        <f>IF(D$21-C$21+10&gt;$B35,IF(D$21-C$21&lt;=10,VLOOKUP($A35,$A$13:$D$17,MATCH(D$21,$A$12:$D$12)),VLOOKUP($A35,$A$13:$D$17,MATCH(D$21,$A$12:$D$12))/(D$21-C$21)*IF($B35=10,10,D$21-C$21-$B34)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56589.718580969005</v>
      </c>
      <c r="E35" s="109">
        <f>IF(E$21-D$21+10&gt;$B35,IF(E$21-D$21&lt;=10,VLOOKUP($A35,$A$13:$D$17,MATCH(E$21,$A$12:$D$12)),VLOOKUP($A35,$A$13:$D$17,MATCH(E$21,$A$12:$D$12))/(E$21-D$21)*IF($B35=10,10,E$21-D$21-$B34)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33)</f>
        <v>34592.603862515069</v>
      </c>
      <c r="F35" s="109">
        <v>0</v>
      </c>
      <c r="G35" s="109">
        <f>IF(G$21-F$21+10&gt;$B35,IF(G$21-F$21&lt;=10,VLOOKUP($A35,$A$13:$D$17,MATCH(G$21,$A$12:$D$12)),VLOOKUP($A35,$A$13:$D$17,MATCH(G$21,$A$12:$D$12))/(G$21-F$21)*IF($B35=10,10,G$21-F$21-$B34)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7079.2272378551706</v>
      </c>
      <c r="H35" s="109">
        <f>IF(H$21-G$21+10&gt;$B35,IF(H$21-G$21&lt;=10,VLOOKUP($A35,$A$13:$D$17,MATCH(H$21,$A$12:$D$12)),VLOOKUP($A35,$A$13:$D$17,MATCH(H$21,$A$12:$D$12))/(H$21-G$21)*IF($B35=10,10,H$21-G$21-$B34)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33)</f>
        <v>4635.3974309211899</v>
      </c>
    </row>
    <row r="36" spans="1:10" hidden="1" x14ac:dyDescent="0.25">
      <c r="A36" s="2" t="s">
        <v>180</v>
      </c>
      <c r="B36" s="186">
        <v>20</v>
      </c>
      <c r="C36" s="109">
        <v>0</v>
      </c>
      <c r="D36" s="109">
        <f>IF(D$21-C$21+10&gt;$B36,IF(D$21-C$21&lt;=10,VLOOKUP($A36,$A$13:$D$17,MATCH(D$21,$A$12:$D$12)),VLOOKUP($A36,$A$13:$D$17,MATCH(D$21,$A$12:$D$12))/(D$21-C$21)*IF($B36=10,10,D$21-C$21-$B35)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5658.9718580969002</v>
      </c>
      <c r="E36" s="109">
        <f>IF(E$21-D$21+10&gt;$B36,IF(E$21-D$21&lt;=10,VLOOKUP($A36,$A$13:$D$17,MATCH(E$21,$A$12:$D$12)),VLOOKUP($A36,$A$13:$D$17,MATCH(E$21,$A$12:$D$12))/(E$21-D$21)*IF($B36=10,10,E$21-D$21-$B35)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34)</f>
        <v>34592.603862515069</v>
      </c>
      <c r="F36" s="109">
        <v>0</v>
      </c>
      <c r="G36" s="109">
        <f>IF(G$21-F$21+10&gt;$B36,IF(G$21-F$21&lt;=10,VLOOKUP($A36,$A$13:$D$17,MATCH(G$21,$A$12:$D$12)),VLOOKUP($A36,$A$13:$D$17,MATCH(G$21,$A$12:$D$12))/(G$21-F$21)*IF($B36=10,10,G$21-F$21-$B35)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707.92272378551706</v>
      </c>
      <c r="H36" s="109">
        <f>IF(H$21-G$21+10&gt;$B36,IF(H$21-G$21&lt;=10,VLOOKUP($A36,$A$13:$D$17,MATCH(H$21,$A$12:$D$12)),VLOOKUP($A36,$A$13:$D$17,MATCH(H$21,$A$12:$D$12))/(H$21-G$21)*IF($B36=10,10,H$21-G$21-$B35)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34)</f>
        <v>4635.3974309211899</v>
      </c>
    </row>
    <row r="37" spans="1:10" hidden="1" x14ac:dyDescent="0.25">
      <c r="A37" s="2" t="s">
        <v>180</v>
      </c>
      <c r="B37" s="186">
        <v>30</v>
      </c>
      <c r="C37" s="109">
        <v>0</v>
      </c>
      <c r="D37" s="109">
        <f>IF(D$21-C$21+10&gt;$B37,IF(D$21-C$21&lt;=10,VLOOKUP($A37,$A$13:$D$17,MATCH(D$21,$A$12:$D$12)),VLOOKUP($A37,$A$13:$D$17,MATCH(D$21,$A$12:$D$12))/(D$21-C$21)*IF($B37=10,10,D$21-C$21-$B36)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7" s="109">
        <f>IF(E$21-D$21+10&gt;$B37,IF(E$21-D$21&lt;=10,VLOOKUP($A37,$A$13:$D$17,MATCH(E$21,$A$12:$D$12)),VLOOKUP($A37,$A$13:$D$17,MATCH(E$21,$A$12:$D$12))/(E$21-D$21)*IF($B37=10,10,E$21-D$21-$B36)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35)</f>
        <v>56589.718580969005</v>
      </c>
      <c r="F37" s="109">
        <v>0</v>
      </c>
      <c r="G37" s="109">
        <f>IF(G$21-F$21+10&gt;$B37,IF(G$21-F$21&lt;=10,VLOOKUP($A37,$A$13:$D$17,MATCH(G$21,$A$12:$D$12)),VLOOKUP($A37,$A$13:$D$17,MATCH(G$21,$A$12:$D$12))/(G$21-F$21)*IF($B37=10,10,G$21-F$21-$B36)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7" s="109">
        <f>IF(H$21-G$21+10&gt;$B37,IF(H$21-G$21&lt;=10,VLOOKUP($A37,$A$13:$D$17,MATCH(H$21,$A$12:$D$12)),VLOOKUP($A37,$A$13:$D$17,MATCH(H$21,$A$12:$D$12))/(H$21-G$21)*IF($B37=10,10,H$21-G$21-$B36)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35)</f>
        <v>7079.2272378551706</v>
      </c>
    </row>
    <row r="38" spans="1:10" hidden="1" x14ac:dyDescent="0.25">
      <c r="A38" s="2" t="s">
        <v>180</v>
      </c>
      <c r="B38" s="187">
        <v>40</v>
      </c>
      <c r="C38" s="109">
        <v>0</v>
      </c>
      <c r="D38" s="109">
        <f>IF(D$21-C$21+10&gt;$B38,IF(D$21-C$21&lt;=10,VLOOKUP($A38,$A$13:$D$17,MATCH(D$21,$A$12:$D$12)),VLOOKUP($A38,$A$13:$D$17,MATCH(D$21,$A$12:$D$12))/(D$21-C$21)*IF($B38=10,10,D$21-C$21-$B37)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8" s="109">
        <f>IF(E$21-D$21+10&gt;$B38,IF(E$21-D$21&lt;=10,VLOOKUP($A38,$A$13:$D$17,MATCH(E$21,$A$12:$D$12)),VLOOKUP($A38,$A$13:$D$17,MATCH(E$21,$A$12:$D$12))/(E$21-D$21)*IF($B38=10,10,E$21-D$21-$B37)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36)</f>
        <v>5658.9718580969002</v>
      </c>
      <c r="F38" s="109">
        <v>0</v>
      </c>
      <c r="G38" s="109">
        <f>IF(G$21-F$21+10&gt;$B38,IF(G$21-F$21&lt;=10,VLOOKUP($A38,$A$13:$D$17,MATCH(G$21,$A$12:$D$12)),VLOOKUP($A38,$A$13:$D$17,MATCH(G$21,$A$12:$D$12))/(G$21-F$21)*IF($B38=10,10,G$21-F$21-$B37)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8" s="109">
        <f>IF(H$21-G$21+10&gt;$B38,IF(H$21-G$21&lt;=10,VLOOKUP($A38,$A$13:$D$17,MATCH(H$21,$A$12:$D$12)),VLOOKUP($A38,$A$13:$D$17,MATCH(H$21,$A$12:$D$12))/(H$21-G$21)*IF($B38=10,10,H$21-G$21-$B37)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36)</f>
        <v>707.92272378551706</v>
      </c>
    </row>
    <row r="39" spans="1:10" hidden="1" x14ac:dyDescent="0.25">
      <c r="A39" s="2" t="s">
        <v>181</v>
      </c>
      <c r="B39" s="186">
        <v>10</v>
      </c>
      <c r="C39" s="109">
        <v>0</v>
      </c>
      <c r="D39" s="109">
        <f>IF(D$21-C$21+10&gt;$B39,IF(D$21-C$21&lt;=10,VLOOKUP($A39,$A$13:$D$17,MATCH(D$21,$A$12:$D$12)),VLOOKUP($A39,$A$13:$D$17,MATCH(D$21,$A$12:$D$12))/(D$21-C$21)*IF($B39=10,10,D$21-C$21-$B38)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9" s="109">
        <f>IF(E$21-D$21+10&gt;$B39,IF(E$21-D$21&lt;=10,VLOOKUP($A39,$A$13:$D$17,MATCH(E$21,$A$12:$D$12)),VLOOKUP($A39,$A$13:$D$17,MATCH(E$21,$A$12:$D$12))/(E$21-D$21)*IF($B39=10,10,E$21-D$21-$B38)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37)</f>
        <v>0</v>
      </c>
      <c r="F39" s="109">
        <v>0</v>
      </c>
      <c r="G39" s="109">
        <f>IF(G$21-F$21+10&gt;$B39,IF(G$21-F$21&lt;=10,VLOOKUP($A39,$A$13:$D$17,MATCH(G$21,$A$12:$D$12)),VLOOKUP($A39,$A$13:$D$17,MATCH(G$21,$A$12:$D$12))/(G$21-F$21)*IF($B39=10,10,G$21-F$21-$B38)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9" s="109">
        <f>IF(H$21-G$21+10&gt;$B39,IF(H$21-G$21&lt;=10,VLOOKUP($A39,$A$13:$D$17,MATCH(H$21,$A$12:$D$12)),VLOOKUP($A39,$A$13:$D$17,MATCH(H$21,$A$12:$D$12))/(H$21-G$21)*IF($B39=10,10,H$21-G$21-$B38)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37)</f>
        <v>0</v>
      </c>
    </row>
    <row r="40" spans="1:10" hidden="1" x14ac:dyDescent="0.25">
      <c r="A40" s="2" t="s">
        <v>181</v>
      </c>
      <c r="B40" s="186">
        <v>20</v>
      </c>
      <c r="C40" s="109">
        <v>0</v>
      </c>
      <c r="D40" s="109">
        <f>IF(D$21-C$21+10&gt;$B40,IF(D$21-C$21&lt;=10,VLOOKUP($A40,$A$13:$D$17,MATCH(D$21,$A$12:$D$12)),VLOOKUP($A40,$A$13:$D$17,MATCH(D$21,$A$12:$D$12))/(D$21-C$21)*IF($B40=10,10,D$21-C$21-$B39)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0" s="109">
        <f>IF(E$21-D$21+10&gt;$B40,IF(E$21-D$21&lt;=10,VLOOKUP($A40,$A$13:$D$17,MATCH(E$21,$A$12:$D$12)),VLOOKUP($A40,$A$13:$D$17,MATCH(E$21,$A$12:$D$12))/(E$21-D$21)*IF($B40=10,10,E$21-D$21-$B39)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38)</f>
        <v>0</v>
      </c>
      <c r="F40" s="109">
        <v>0</v>
      </c>
      <c r="G40" s="109">
        <f>IF(G$21-F$21+10&gt;$B40,IF(G$21-F$21&lt;=10,VLOOKUP($A40,$A$13:$D$17,MATCH(G$21,$A$12:$D$12)),VLOOKUP($A40,$A$13:$D$17,MATCH(G$21,$A$12:$D$12))/(G$21-F$21)*IF($B40=10,10,G$21-F$21-$B39)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0" s="109">
        <f>IF(H$21-G$21+10&gt;$B40,IF(H$21-G$21&lt;=10,VLOOKUP($A40,$A$13:$D$17,MATCH(H$21,$A$12:$D$12)),VLOOKUP($A40,$A$13:$D$17,MATCH(H$21,$A$12:$D$12))/(H$21-G$21)*IF($B40=10,10,H$21-G$21-$B39)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38)</f>
        <v>0</v>
      </c>
    </row>
    <row r="41" spans="1:10" hidden="1" x14ac:dyDescent="0.25">
      <c r="A41" s="2" t="s">
        <v>181</v>
      </c>
      <c r="B41" s="186">
        <v>30</v>
      </c>
      <c r="C41" s="109">
        <v>0</v>
      </c>
      <c r="D41" s="109">
        <f>IF(D$21-C$21+10&gt;$B41,IF(D$21-C$21&lt;=10,VLOOKUP($A41,$A$13:$D$17,MATCH(D$21,$A$12:$D$12)),VLOOKUP($A41,$A$13:$D$17,MATCH(D$21,$A$12:$D$12))/(D$21-C$21)*IF($B41=10,10,D$21-C$21-$B40)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1" s="109">
        <f>IF(E$21-D$21+10&gt;$B41,IF(E$21-D$21&lt;=10,VLOOKUP($A41,$A$13:$D$17,MATCH(E$21,$A$12:$D$12)),VLOOKUP($A41,$A$13:$D$17,MATCH(E$21,$A$12:$D$12))/(E$21-D$21)*IF($B41=10,10,E$21-D$21-$B40)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39)</f>
        <v>0</v>
      </c>
      <c r="F41" s="109">
        <v>0</v>
      </c>
      <c r="G41" s="109">
        <f>IF(G$21-F$21+10&gt;$B41,IF(G$21-F$21&lt;=10,VLOOKUP($A41,$A$13:$D$17,MATCH(G$21,$A$12:$D$12)),VLOOKUP($A41,$A$13:$D$17,MATCH(G$21,$A$12:$D$12))/(G$21-F$21)*IF($B41=10,10,G$21-F$21-$B40)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1" s="109">
        <f>IF(H$21-G$21+10&gt;$B41,IF(H$21-G$21&lt;=10,VLOOKUP($A41,$A$13:$D$17,MATCH(H$21,$A$12:$D$12)),VLOOKUP($A41,$A$13:$D$17,MATCH(H$21,$A$12:$D$12))/(H$21-G$21)*IF($B41=10,10,H$21-G$21-$B40)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39)</f>
        <v>0</v>
      </c>
    </row>
    <row r="42" spans="1:10" hidden="1" x14ac:dyDescent="0.25">
      <c r="A42" s="2" t="s">
        <v>181</v>
      </c>
      <c r="B42" s="109">
        <v>40</v>
      </c>
      <c r="C42" s="109">
        <v>0</v>
      </c>
      <c r="D42" s="109">
        <f>IF(D$21-C$21+10&gt;$B42,IF(D$21-C$21&lt;=10,VLOOKUP($A42,$A$13:$D$17,MATCH(D$21,$A$12:$D$12)),VLOOKUP($A42,$A$13:$D$17,MATCH(D$21,$A$12:$D$12))/(D$21-C$21)*IF($B42=10,10,D$21-C$21-$B41)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2" s="109">
        <f>IF(E$21-D$21+10&gt;$B42,IF(E$21-D$21&lt;=10,VLOOKUP($A42,$A$13:$D$17,MATCH(E$21,$A$12:$D$12)),VLOOKUP($A42,$A$13:$D$17,MATCH(E$21,$A$12:$D$12))/(E$21-D$21)*IF($B42=10,10,E$21-D$21-$B41)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40)</f>
        <v>0</v>
      </c>
      <c r="F42" s="109">
        <v>0</v>
      </c>
      <c r="G42" s="109">
        <f>IF(G$21-F$21+10&gt;$B42,IF(G$21-F$21&lt;=10,VLOOKUP($A42,$A$13:$D$17,MATCH(G$21,$A$12:$D$12)),VLOOKUP($A42,$A$13:$D$17,MATCH(G$21,$A$12:$D$12))/(G$21-F$21)*IF($B42=10,10,G$21-F$21-$B41)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2" s="109">
        <f>IF(H$21-G$21+10&gt;$B42,IF(H$21-G$21&lt;=10,VLOOKUP($A42,$A$13:$D$17,MATCH(H$21,$A$12:$D$12)),VLOOKUP($A42,$A$13:$D$17,MATCH(H$21,$A$12:$D$12))/(H$21-G$21)*IF($B42=10,10,H$21-G$21-$B41)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40)</f>
        <v>0</v>
      </c>
    </row>
    <row r="43" spans="1:10" hidden="1" x14ac:dyDescent="0.25">
      <c r="B43" s="153"/>
    </row>
    <row r="44" spans="1:10" hidden="1" x14ac:dyDescent="0.25">
      <c r="B44" s="153"/>
    </row>
    <row r="45" spans="1:10" hidden="1" x14ac:dyDescent="0.25">
      <c r="B45" s="153"/>
    </row>
    <row r="46" spans="1:10" hidden="1" x14ac:dyDescent="0.25"/>
    <row r="47" spans="1:10" hidden="1" x14ac:dyDescent="0.25">
      <c r="A47" s="348" t="s">
        <v>296</v>
      </c>
      <c r="B47" s="2" t="s">
        <v>23</v>
      </c>
      <c r="C47" s="2"/>
      <c r="D47" s="2"/>
      <c r="E47" s="2" t="s">
        <v>24</v>
      </c>
      <c r="F47" s="2"/>
      <c r="G47" s="2"/>
      <c r="H47" s="1" t="s">
        <v>338</v>
      </c>
    </row>
    <row r="48" spans="1:10" hidden="1" x14ac:dyDescent="0.25">
      <c r="A48" s="349"/>
      <c r="B48" s="184">
        <f>År1</f>
        <v>2019</v>
      </c>
      <c r="C48" s="184">
        <f>År2</f>
        <v>2030</v>
      </c>
      <c r="D48" s="184">
        <f>År3</f>
        <v>2050</v>
      </c>
      <c r="E48" s="184">
        <f>År1</f>
        <v>2019</v>
      </c>
      <c r="F48" s="184">
        <f>År2</f>
        <v>2030</v>
      </c>
      <c r="G48" s="184">
        <f>År3</f>
        <v>2050</v>
      </c>
      <c r="H48" s="184">
        <f>År1</f>
        <v>2019</v>
      </c>
      <c r="I48" s="184">
        <f>År2</f>
        <v>2030</v>
      </c>
      <c r="J48" s="184">
        <f>År3</f>
        <v>2050</v>
      </c>
    </row>
    <row r="49" spans="1:10" hidden="1" x14ac:dyDescent="0.25">
      <c r="A49" s="2" t="s">
        <v>183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177</v>
      </c>
      <c r="B50" s="109">
        <f t="shared" si="0"/>
        <v>0</v>
      </c>
      <c r="C50" s="109">
        <f t="shared" si="0"/>
        <v>62248.690439065904</v>
      </c>
      <c r="D50" s="109">
        <f t="shared" si="0"/>
        <v>131433.89816409603</v>
      </c>
      <c r="E50" s="109">
        <f t="shared" si="0"/>
        <v>0</v>
      </c>
      <c r="F50" s="109">
        <f t="shared" si="0"/>
        <v>7787.1499616406873</v>
      </c>
      <c r="G50" s="109">
        <f t="shared" si="0"/>
        <v>17057.944823483067</v>
      </c>
      <c r="H50" s="109">
        <f t="shared" ref="H50:H54" si="2">SUM(B50,E50)</f>
        <v>0</v>
      </c>
      <c r="I50" s="109">
        <f t="shared" si="1"/>
        <v>70035.840400706598</v>
      </c>
      <c r="J50" s="109">
        <f t="shared" si="1"/>
        <v>148491.84298757909</v>
      </c>
    </row>
    <row r="51" spans="1:10" hidden="1" x14ac:dyDescent="0.25">
      <c r="A51" s="2" t="s">
        <v>178</v>
      </c>
      <c r="B51" s="109">
        <f t="shared" si="0"/>
        <v>0</v>
      </c>
      <c r="C51" s="109">
        <f t="shared" si="0"/>
        <v>62248.690439065904</v>
      </c>
      <c r="D51" s="109">
        <f t="shared" si="0"/>
        <v>131433.89816409603</v>
      </c>
      <c r="E51" s="109">
        <f t="shared" si="0"/>
        <v>0</v>
      </c>
      <c r="F51" s="109">
        <f t="shared" si="0"/>
        <v>7787.1499616406873</v>
      </c>
      <c r="G51" s="109">
        <f t="shared" si="0"/>
        <v>17057.944823483067</v>
      </c>
      <c r="H51" s="109">
        <f t="shared" si="2"/>
        <v>0</v>
      </c>
      <c r="I51" s="109">
        <f t="shared" si="1"/>
        <v>70035.840400706598</v>
      </c>
      <c r="J51" s="109">
        <f t="shared" si="1"/>
        <v>148491.84298757909</v>
      </c>
    </row>
    <row r="52" spans="1:10" hidden="1" x14ac:dyDescent="0.25">
      <c r="A52" s="2" t="s">
        <v>179</v>
      </c>
      <c r="B52" s="109">
        <f t="shared" si="0"/>
        <v>0</v>
      </c>
      <c r="C52" s="109">
        <f t="shared" si="0"/>
        <v>62248.690439065904</v>
      </c>
      <c r="D52" s="109">
        <f t="shared" si="0"/>
        <v>131433.89816409603</v>
      </c>
      <c r="E52" s="109">
        <f t="shared" si="0"/>
        <v>0</v>
      </c>
      <c r="F52" s="109">
        <f t="shared" si="0"/>
        <v>7787.1499616406873</v>
      </c>
      <c r="G52" s="109">
        <f t="shared" si="0"/>
        <v>17057.944823483067</v>
      </c>
      <c r="H52" s="109">
        <f t="shared" si="2"/>
        <v>0</v>
      </c>
      <c r="I52" s="109">
        <f t="shared" si="1"/>
        <v>70035.840400706598</v>
      </c>
      <c r="J52" s="109">
        <f t="shared" si="1"/>
        <v>148491.84298757909</v>
      </c>
    </row>
    <row r="53" spans="1:10" hidden="1" x14ac:dyDescent="0.25">
      <c r="A53" s="2" t="s">
        <v>180</v>
      </c>
      <c r="B53" s="109">
        <f t="shared" si="0"/>
        <v>0</v>
      </c>
      <c r="C53" s="109">
        <f t="shared" si="0"/>
        <v>62248.690439065904</v>
      </c>
      <c r="D53" s="109">
        <f t="shared" si="0"/>
        <v>131433.89816409603</v>
      </c>
      <c r="E53" s="109">
        <f t="shared" si="0"/>
        <v>0</v>
      </c>
      <c r="F53" s="109">
        <f t="shared" si="0"/>
        <v>7787.1499616406873</v>
      </c>
      <c r="G53" s="109">
        <f t="shared" si="0"/>
        <v>17057.944823483067</v>
      </c>
      <c r="H53" s="109">
        <f t="shared" si="2"/>
        <v>0</v>
      </c>
      <c r="I53" s="109">
        <f t="shared" si="1"/>
        <v>70035.840400706598</v>
      </c>
      <c r="J53" s="109">
        <f t="shared" si="1"/>
        <v>148491.84298757909</v>
      </c>
    </row>
    <row r="54" spans="1:10" hidden="1" x14ac:dyDescent="0.25">
      <c r="A54" s="2" t="s">
        <v>181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5" spans="1:10" hidden="1" x14ac:dyDescent="0.25"/>
    <row r="57" spans="1:10" x14ac:dyDescent="0.25">
      <c r="A57" s="1" t="s">
        <v>339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119</v>
      </c>
      <c r="B59" s="7">
        <f>'[1]Processer - data'!$H402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40" t="s">
        <v>120</v>
      </c>
      <c r="B60" s="336">
        <f>'[1]Processer - data'!$H403</f>
        <v>0.52</v>
      </c>
      <c r="C60" s="339">
        <f>B60</f>
        <v>0.52</v>
      </c>
      <c r="D60" s="339">
        <f>C60</f>
        <v>0.52</v>
      </c>
    </row>
    <row r="61" spans="1:10" ht="15.75" thickBot="1" x14ac:dyDescent="0.3">
      <c r="A61" s="337" t="s">
        <v>30</v>
      </c>
      <c r="B61" s="338">
        <f>SUM(B59:B60)</f>
        <v>1</v>
      </c>
      <c r="C61" s="338">
        <f t="shared" ref="C61:D61" si="3">SUM(C59:C60)</f>
        <v>1</v>
      </c>
      <c r="D61" s="338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99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K20" sqref="K20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9" t="s">
        <v>280</v>
      </c>
      <c r="F1" s="75" t="s">
        <v>243</v>
      </c>
    </row>
    <row r="2" spans="1:7" s="323" customFormat="1" x14ac:dyDescent="0.25">
      <c r="A2" s="322"/>
      <c r="C2" s="350" t="s">
        <v>327</v>
      </c>
      <c r="D2" s="350"/>
      <c r="E2" s="350"/>
    </row>
    <row r="3" spans="1:7" s="12" customFormat="1" x14ac:dyDescent="0.25">
      <c r="B3" s="327"/>
      <c r="C3" s="2">
        <f>År1</f>
        <v>2019</v>
      </c>
      <c r="D3" s="2">
        <f>År2</f>
        <v>2030</v>
      </c>
      <c r="E3" s="2">
        <f>År3</f>
        <v>2050</v>
      </c>
      <c r="F3" s="328" t="s">
        <v>328</v>
      </c>
      <c r="G3" s="12" t="s">
        <v>324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4">
        <f>(9.6+43.4+265+84.7+55.6+112.4+6.1+10.5+121.4+27.4+89.4+13.5+12.6+0.4+218.5+0.9+3.9+3.4+5+0.4)*100</f>
        <v>108410.00000000003</v>
      </c>
      <c r="G4" s="351" t="s">
        <v>329</v>
      </c>
    </row>
    <row r="5" spans="1:7" s="12" customFormat="1" x14ac:dyDescent="0.25">
      <c r="A5" s="108" t="s">
        <v>99</v>
      </c>
      <c r="B5" s="2" t="s">
        <v>24</v>
      </c>
      <c r="C5" s="325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51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4">
        <v>600</v>
      </c>
      <c r="G6" s="352" t="s">
        <v>241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4">
        <v>200</v>
      </c>
      <c r="G7" s="352"/>
    </row>
    <row r="8" spans="1:7" s="12" customFormat="1" x14ac:dyDescent="0.25">
      <c r="A8" s="320"/>
      <c r="C8" s="12" t="s">
        <v>242</v>
      </c>
      <c r="F8" s="321"/>
    </row>
    <row r="9" spans="1:7" x14ac:dyDescent="0.25">
      <c r="A9" s="320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C5" sqref="C5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9" t="s">
        <v>280</v>
      </c>
    </row>
    <row r="2" spans="1:10" ht="15.75" x14ac:dyDescent="0.25">
      <c r="A2" s="227" t="s">
        <v>25</v>
      </c>
    </row>
    <row r="3" spans="1:10" x14ac:dyDescent="0.25">
      <c r="A3" s="6" t="s">
        <v>311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221</v>
      </c>
      <c r="B5" s="87">
        <v>0</v>
      </c>
      <c r="C5" s="3">
        <v>0.2</v>
      </c>
      <c r="D5" s="3">
        <v>0.5</v>
      </c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835972.72038527858</v>
      </c>
      <c r="J5" s="10">
        <f>SUMIFS('Resultat-Produktion &amp; forbrug'!$N$3:$N$1000,'Resultat-Produktion &amp; forbrug'!$A$3:$A$1000,Adfærd!$G5,'Resultat-Produktion &amp; forbrug'!$D$3:$D$1000,Adfærd!J$4)</f>
        <v>583643.97890224867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207</v>
      </c>
      <c r="B8" s="87">
        <v>0</v>
      </c>
      <c r="C8" s="3"/>
      <c r="D8" s="3"/>
    </row>
    <row r="9" spans="1:10" x14ac:dyDescent="0.25">
      <c r="A9" s="1" t="s">
        <v>222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330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331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71.823999999999998</v>
      </c>
      <c r="D20" s="115">
        <f>$B20*(1-SUM(D$5:D$8))</f>
        <v>44.89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35.375999999999998</v>
      </c>
      <c r="D21" s="115">
        <f>$B21*(1-SUM(D$5:D$8))</f>
        <v>22.11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32</v>
      </c>
      <c r="D22" s="115">
        <f t="shared" si="1"/>
        <v>80</v>
      </c>
      <c r="F22" s="1" t="s">
        <v>206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208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207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323</v>
      </c>
    </row>
    <row r="27" spans="1:9" hidden="1" x14ac:dyDescent="0.25">
      <c r="A27" s="2" t="s">
        <v>97</v>
      </c>
      <c r="B27" s="109">
        <v>26</v>
      </c>
      <c r="C27" s="115">
        <f>$B27*(1-SUM(C$5:C$8))</f>
        <v>20.8</v>
      </c>
      <c r="D27" s="115">
        <f>$B27*(1-SUM(D$5:D$8))</f>
        <v>13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2" t="s">
        <v>30</v>
      </c>
      <c r="B31" s="311">
        <f>SUM(B17:B30)</f>
        <v>1267</v>
      </c>
      <c r="C31" s="311">
        <f>SUM(C17:C30)</f>
        <v>1267</v>
      </c>
      <c r="D31" s="311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D4" sqref="D4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28" t="s">
        <v>280</v>
      </c>
    </row>
    <row r="2" spans="1:29" ht="46.5" customHeight="1" x14ac:dyDescent="0.2">
      <c r="A2" s="232" t="s">
        <v>139</v>
      </c>
      <c r="B2" s="232">
        <f>År1</f>
        <v>2019</v>
      </c>
      <c r="C2" s="232">
        <f>År2</f>
        <v>2030</v>
      </c>
      <c r="D2" s="232">
        <f>År3</f>
        <v>2050</v>
      </c>
      <c r="E2" s="123"/>
      <c r="F2" s="356" t="s">
        <v>335</v>
      </c>
      <c r="G2" s="357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3">
        <f>N12/SUMIFS('Resultater - Danmark'!H$3:H$482,'Resultater - Danmark'!$F$3:$F$482,$A3)</f>
        <v>0.16508293217043288</v>
      </c>
      <c r="C3" s="181">
        <v>0.62</v>
      </c>
      <c r="D3" s="181">
        <v>0.8</v>
      </c>
      <c r="E3" s="158" t="s">
        <v>340</v>
      </c>
      <c r="F3" s="174" t="s">
        <v>104</v>
      </c>
      <c r="G3" s="175">
        <v>0.85</v>
      </c>
      <c r="H3" s="150"/>
      <c r="N3" s="248"/>
      <c r="Z3" s="125" t="s">
        <v>111</v>
      </c>
      <c r="AA3" s="126">
        <f>SUM(C12:C14)/SUM(C12:C15)</f>
        <v>0.73155031690147754</v>
      </c>
      <c r="AB3" s="126">
        <f>SUM(D12:D14)/SUM(D12:D15)</f>
        <v>0.80920888294902538</v>
      </c>
      <c r="AC3" s="126">
        <f>SUM(E12:E14)/SUM(E12:E15)</f>
        <v>0.66630063675797169</v>
      </c>
    </row>
    <row r="4" spans="1:29" x14ac:dyDescent="0.2">
      <c r="A4" s="180" t="s">
        <v>137</v>
      </c>
      <c r="B4" s="233">
        <f>N13/SUMIFS('Resultater - Danmark'!H$3:H$482,'Resultater - Danmark'!$F$3:$F$482,$A4)</f>
        <v>0.30985833926453143</v>
      </c>
      <c r="C4" s="181">
        <v>0.62</v>
      </c>
      <c r="D4" s="181">
        <v>0.8</v>
      </c>
      <c r="E4" s="158" t="s">
        <v>340</v>
      </c>
      <c r="F4" s="174"/>
      <c r="G4" s="175"/>
      <c r="N4" s="248"/>
      <c r="Z4" s="124" t="s">
        <v>203</v>
      </c>
    </row>
    <row r="5" spans="1:29" x14ac:dyDescent="0.2">
      <c r="A5" s="180" t="s">
        <v>138</v>
      </c>
      <c r="B5" s="233">
        <v>0.5</v>
      </c>
      <c r="C5" s="181">
        <v>0.62</v>
      </c>
      <c r="D5" s="181">
        <v>0.8</v>
      </c>
      <c r="E5" s="158" t="s">
        <v>340</v>
      </c>
      <c r="F5" s="174"/>
      <c r="G5" s="175"/>
      <c r="H5" s="127"/>
      <c r="N5" s="248"/>
      <c r="Z5" s="125" t="s">
        <v>136</v>
      </c>
      <c r="AA5" s="147">
        <f t="shared" ref="AA5:AC6" si="0">C12/C$29</f>
        <v>0.22267199142680771</v>
      </c>
      <c r="AB5" s="147">
        <f t="shared" si="0"/>
        <v>0.35292320888453721</v>
      </c>
      <c r="AC5" s="147">
        <f t="shared" si="0"/>
        <v>0.28213107657985848</v>
      </c>
    </row>
    <row r="6" spans="1:29" x14ac:dyDescent="0.2">
      <c r="A6" s="180" t="s">
        <v>141</v>
      </c>
      <c r="B6" s="233">
        <f>N15/SUMIFS('Resultater - Danmark'!H$3:H$482,'Resultater - Danmark'!$F$3:$F$482,$A6)</f>
        <v>0.37924884410556858</v>
      </c>
      <c r="C6" s="181">
        <v>0.5</v>
      </c>
      <c r="D6" s="181">
        <v>0.8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0.28436254786890436</v>
      </c>
      <c r="AC6" s="147">
        <f t="shared" si="0"/>
        <v>0.2329064188576131</v>
      </c>
    </row>
    <row r="7" spans="1:29" x14ac:dyDescent="0.2">
      <c r="A7" s="180" t="s">
        <v>102</v>
      </c>
      <c r="B7" s="233">
        <f>N16/SUMIFS('Resultater - Danmark'!H$3:H$482,'Resultater - Danmark'!$F$3:$F$482,$A7)</f>
        <v>0.25812101313640656</v>
      </c>
      <c r="C7" s="181">
        <v>0.62</v>
      </c>
      <c r="D7" s="181">
        <v>0.8</v>
      </c>
      <c r="F7" s="174"/>
      <c r="G7" s="176"/>
      <c r="N7" s="159"/>
    </row>
    <row r="8" spans="1:29" ht="12.75" thickBot="1" x14ac:dyDescent="0.25">
      <c r="A8" s="180" t="s">
        <v>209</v>
      </c>
      <c r="B8" s="233">
        <v>0</v>
      </c>
      <c r="C8" s="181">
        <v>0.62</v>
      </c>
      <c r="D8" s="181">
        <v>0.8</v>
      </c>
      <c r="F8" s="177"/>
      <c r="G8" s="178"/>
      <c r="I8" s="159"/>
    </row>
    <row r="10" spans="1:29" ht="23.45" customHeight="1" x14ac:dyDescent="0.2">
      <c r="A10" s="129"/>
      <c r="B10" s="130"/>
      <c r="C10" s="354" t="s">
        <v>211</v>
      </c>
      <c r="D10" s="354"/>
      <c r="E10" s="354"/>
      <c r="F10" s="353" t="s">
        <v>336</v>
      </c>
      <c r="G10" s="353"/>
      <c r="J10" s="355" t="s">
        <v>212</v>
      </c>
      <c r="K10" s="355"/>
      <c r="L10" s="355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215</v>
      </c>
    </row>
    <row r="12" spans="1:29" x14ac:dyDescent="0.2">
      <c r="A12" s="132" t="s">
        <v>136</v>
      </c>
      <c r="B12" s="132" t="s">
        <v>140</v>
      </c>
      <c r="C12" s="133">
        <f>SUMIFS('Resultater - Danmark'!H$3:H$482,'Resultater - Danmark'!$F$3:$F$482,$A12)*B3</f>
        <v>2914869.3333333335</v>
      </c>
      <c r="D12" s="133">
        <f>SUMIFS('Resultater - Danmark'!I$3:I$482,'Resultater - Danmark'!$F$3:$F$482,$A12)*C3</f>
        <v>8560529.974906262</v>
      </c>
      <c r="E12" s="133">
        <f>SUMIFS('Resultater - Danmark'!J$3:J$482,'Resultater - Danmark'!$F$3:$F$482,$A12)*D3</f>
        <v>6609395.6836867332</v>
      </c>
      <c r="F12" s="241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5246776.4362328704</v>
      </c>
      <c r="G12" s="241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1652348.9209216833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0.35292320888453721</v>
      </c>
      <c r="L12" s="134">
        <f t="shared" ref="L12:L28" si="3">E12/E$29</f>
        <v>0.28213107657985848</v>
      </c>
      <c r="M12" s="125" t="s">
        <v>213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>
        <f>SUMIFS('Resultater - Danmark'!H$3:H$482,'Resultater - Danmark'!$F$3:$F$482,$A13)*B4</f>
        <v>4353509.666666667</v>
      </c>
      <c r="D13" s="136">
        <f>SUMIFS('Resultater - Danmark'!I$3:I$482,'Resultater - Danmark'!$F$3:$F$482,$A13)*C4</f>
        <v>6897517.7984649893</v>
      </c>
      <c r="E13" s="136">
        <f>SUMIFS('Resultater - Danmark'!J$3:J$482,'Resultater - Danmark'!$F$3:$F$482,$A13)*D4</f>
        <v>5456225.1637129262</v>
      </c>
      <c r="F13" s="242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4227510.9087366071</v>
      </c>
      <c r="G13" s="242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1364056.2909282306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0.28436254786890436</v>
      </c>
      <c r="L13" s="137">
        <f t="shared" si="3"/>
        <v>0.2329064188576131</v>
      </c>
      <c r="M13" s="125" t="s">
        <v>214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>
        <f>SUMIFS('Resultater - Danmark'!H$3:H$482,'Resultater - Danmark'!$F$3:$F$482,$A14)*B5</f>
        <v>4441.5</v>
      </c>
      <c r="D14" s="136">
        <f>SUMIFS('Resultater - Danmark'!I$3:I$482,'Resultater - Danmark'!$F$3:$F$482,$A14)*C5</f>
        <v>5606.6153976329688</v>
      </c>
      <c r="E14" s="136">
        <f>SUMIFS('Resultater - Danmark'!J$3:J$482,'Resultater - Danmark'!$F$3:$F$482,$A14)*D5</f>
        <v>7470.9040958807809</v>
      </c>
      <c r="F14" s="242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3436.3126630653678</v>
      </c>
      <c r="G14" s="242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1867.7260239701936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2.3114278005150604E-4</v>
      </c>
      <c r="L14" s="137">
        <f t="shared" si="3"/>
        <v>3.1890573911289851E-4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2">
      <c r="A15" s="127" t="s">
        <v>141</v>
      </c>
      <c r="B15" s="127" t="s">
        <v>140</v>
      </c>
      <c r="C15" s="136">
        <f>SUMIFS('Resultater - Danmark'!H$3:H$482,'Resultater - Danmark'!$F$3:$F$482,$A15)*B6</f>
        <v>2668834</v>
      </c>
      <c r="D15" s="136">
        <f>SUMIFS('Resultater - Danmark'!I$3:I$482,'Resultater - Danmark'!$F$3:$F$482,$A15)*C6</f>
        <v>3645941.0625492032</v>
      </c>
      <c r="E15" s="136">
        <f>SUMIFS('Resultater - Danmark'!J$3:J$482,'Resultater - Danmark'!$F$3:$F$482,$A15)*D6</f>
        <v>6046494.3414125368</v>
      </c>
      <c r="F15" s="242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3645941.0625492036</v>
      </c>
      <c r="G15" s="242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1511623.5853531342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0.15031046243288854</v>
      </c>
      <c r="L15" s="137">
        <f t="shared" si="3"/>
        <v>0.25810286442484331</v>
      </c>
      <c r="M15" s="139" t="s">
        <v>300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302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>
        <f>SUMIFS('Resultater - Danmark'!H$3:H$482,'Resultater - Danmark'!$F$3:$F$482,$A16)*B7</f>
        <v>757087</v>
      </c>
      <c r="D16" s="136">
        <f>SUMIFS('Resultater - Danmark'!I$3:I$482,'Resultater - Danmark'!$F$3:$F$482,$A16)*C7</f>
        <v>1512611.3283061129</v>
      </c>
      <c r="E16" s="136">
        <f>SUMIFS('Resultater - Danmark'!J$3:J$482,'Resultater - Danmark'!$F$3:$F$482,$A16)*D7</f>
        <v>1321975.9767089048</v>
      </c>
      <c r="F16" s="242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927084.3625101978</v>
      </c>
      <c r="G16" s="242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330493.99417722621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6.2360116178057194E-2</v>
      </c>
      <c r="L16" s="137">
        <f t="shared" si="3"/>
        <v>5.6430349062344169E-2</v>
      </c>
      <c r="M16" s="246" t="s">
        <v>157</v>
      </c>
      <c r="N16" s="247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2">
      <c r="A17" s="128" t="s">
        <v>209</v>
      </c>
      <c r="B17" s="127" t="s">
        <v>140</v>
      </c>
      <c r="C17" s="136">
        <f>SUMIFS('Resultater - Danmark'!H$3:H$482,'Resultater - Danmark'!$F$3:$F$482,$A17)*B8</f>
        <v>0</v>
      </c>
      <c r="D17" s="136">
        <f>SUMIFS('Resultater - Danmark'!I$3:I$482,'Resultater - Danmark'!$F$3:$F$482,$A17)*C8</f>
        <v>1727125.9811688233</v>
      </c>
      <c r="E17" s="136">
        <f>SUMIFS('Resultater - Danmark'!J$3:J$482,'Resultater - Danmark'!$F$3:$F$482,$A17)*D8</f>
        <v>1422603.3063451061</v>
      </c>
      <c r="F17" s="242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1058561.0852325046</v>
      </c>
      <c r="G17" s="242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355650.82658627629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7.1203867658746256E-2</v>
      </c>
      <c r="L17" s="137">
        <f t="shared" si="3"/>
        <v>6.0725763984118331E-2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2">
      <c r="A18" s="127" t="s">
        <v>103</v>
      </c>
      <c r="B18" s="127" t="s">
        <v>140</v>
      </c>
      <c r="C18" s="249">
        <f t="shared" ref="C18" si="7">N18</f>
        <v>729134</v>
      </c>
      <c r="D18" s="250">
        <v>363995</v>
      </c>
      <c r="E18" s="250">
        <v>369777</v>
      </c>
      <c r="F18" s="242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2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1"/>
        <v>5.5699827755684647E-2</v>
      </c>
      <c r="K18" s="137">
        <f t="shared" si="2"/>
        <v>1.5006347012917712E-2</v>
      </c>
      <c r="L18" s="137">
        <f t="shared" si="3"/>
        <v>1.5784435990413775E-2</v>
      </c>
      <c r="M18" s="161" t="s">
        <v>298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49">
        <f>N19</f>
        <v>995654</v>
      </c>
      <c r="D19" s="250">
        <v>600000</v>
      </c>
      <c r="E19" s="250">
        <v>500000</v>
      </c>
      <c r="F19" s="242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54089.706503608148</v>
      </c>
      <c r="G19" s="242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44787.470491779037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1"/>
        <v>7.6059758980185313E-2</v>
      </c>
      <c r="K19" s="137">
        <f t="shared" si="2"/>
        <v>2.4736076615751938E-2</v>
      </c>
      <c r="L19" s="137">
        <f t="shared" si="3"/>
        <v>2.1343182499741431E-2</v>
      </c>
      <c r="M19" s="163" t="s">
        <v>299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49">
        <f>N20</f>
        <v>75934</v>
      </c>
      <c r="D20" s="250"/>
      <c r="E20" s="250"/>
      <c r="F20" s="242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1083774.8488732188</v>
      </c>
      <c r="G20" s="242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675144.21380909253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0</v>
      </c>
      <c r="L20" s="137">
        <f t="shared" si="3"/>
        <v>0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49">
        <f t="shared" ref="C21:C28" si="9">N21</f>
        <v>3786</v>
      </c>
      <c r="D21" s="250"/>
      <c r="E21" s="250"/>
      <c r="F21" s="242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506782.8597521059</v>
      </c>
      <c r="G21" s="242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1371945.625518437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0</v>
      </c>
      <c r="L21" s="137">
        <f t="shared" si="3"/>
        <v>0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49">
        <f t="shared" si="9"/>
        <v>85677</v>
      </c>
      <c r="D22" s="250"/>
      <c r="E22" s="250"/>
      <c r="F22" s="242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651527.44368819054</v>
      </c>
      <c r="G22" s="242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92224.67040210776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0</v>
      </c>
      <c r="L22" s="137">
        <f t="shared" si="3"/>
        <v>0</v>
      </c>
      <c r="M22" s="165" t="s">
        <v>301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49">
        <f t="shared" si="9"/>
        <v>330026</v>
      </c>
      <c r="D23" s="250"/>
      <c r="E23" s="250">
        <v>750000</v>
      </c>
      <c r="F23" s="242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67599.913366084918</v>
      </c>
      <c r="G23" s="242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300848.41353906028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0</v>
      </c>
      <c r="L23" s="137">
        <f t="shared" si="3"/>
        <v>3.2014773749612147E-2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49">
        <f t="shared" si="9"/>
        <v>28645</v>
      </c>
      <c r="D24" s="250"/>
      <c r="E24" s="250"/>
      <c r="F24" s="242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107785.76819097856</v>
      </c>
      <c r="G24" s="242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258178.31605614454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0</v>
      </c>
      <c r="L24" s="137">
        <f t="shared" si="3"/>
        <v>0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49">
        <f t="shared" si="9"/>
        <v>78</v>
      </c>
      <c r="D25" s="250">
        <v>800000</v>
      </c>
      <c r="E25" s="250">
        <v>800000</v>
      </c>
      <c r="F25" s="242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182809</v>
      </c>
      <c r="G25" s="242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182809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3.2981435487669249E-2</v>
      </c>
      <c r="L25" s="137">
        <f t="shared" si="3"/>
        <v>3.4149091999586288E-2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49">
        <f t="shared" si="9"/>
        <v>142742</v>
      </c>
      <c r="D26" s="250">
        <v>142742</v>
      </c>
      <c r="E26" s="250">
        <v>142742</v>
      </c>
      <c r="F26" s="242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2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5.8847950804761049E-3</v>
      </c>
      <c r="L26" s="137">
        <f t="shared" si="3"/>
        <v>6.0931371127561831E-3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49">
        <f t="shared" si="9"/>
        <v>0</v>
      </c>
      <c r="D27" s="250">
        <v>0</v>
      </c>
      <c r="E27" s="250">
        <v>0</v>
      </c>
      <c r="F27" s="242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2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1">
        <f t="shared" si="9"/>
        <v>0</v>
      </c>
      <c r="D28" s="252">
        <v>0</v>
      </c>
      <c r="E28" s="252">
        <v>0</v>
      </c>
      <c r="F28" s="243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3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24256069.760793023</v>
      </c>
      <c r="E29" s="145">
        <f>SUM(E12:E28)</f>
        <v>23426684.375962086</v>
      </c>
      <c r="F29" s="145"/>
      <c r="G29" s="145"/>
      <c r="H29" s="146"/>
      <c r="I29" s="146"/>
      <c r="J29" s="147">
        <f>SUM(J12:J28)</f>
        <v>1</v>
      </c>
      <c r="K29" s="147">
        <f>SUM(K12:K28)</f>
        <v>1</v>
      </c>
      <c r="L29" s="147">
        <f>SUM(L12:L28)</f>
        <v>1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2">
      <c r="A30" s="148" t="s">
        <v>124</v>
      </c>
      <c r="C30" s="149">
        <f>SUMPRODUCT(C12:C28,$H$12:$H$28)/C29</f>
        <v>0.13822427556900557</v>
      </c>
      <c r="D30" s="149">
        <f>SUMPRODUCT(D12:D28,$H$12:$H$28)/D29</f>
        <v>9.9825532826112492E-2</v>
      </c>
      <c r="E30" s="149">
        <f>SUMPRODUCT(E12:E28,$H$12:$H$28)/E29</f>
        <v>0.10555641054141401</v>
      </c>
      <c r="F30" s="160"/>
      <c r="G30" s="160"/>
    </row>
    <row r="31" spans="1:23" x14ac:dyDescent="0.2">
      <c r="A31" s="148" t="s">
        <v>161</v>
      </c>
      <c r="C31" s="149">
        <f>SUM(C21:C24)/C29</f>
        <v>3.4233743881736389E-2</v>
      </c>
      <c r="D31" s="149">
        <f>SUM(D21:D24)/D29</f>
        <v>0</v>
      </c>
      <c r="E31" s="149">
        <f>SUM(E21:E24)/E29</f>
        <v>3.2014773749612147E-2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563188816.75390196</v>
      </c>
      <c r="E32" s="125">
        <f>SUMPRODUCT(E12:E28,$I$12:$I$28)</f>
        <v>601877886.74096167</v>
      </c>
    </row>
    <row r="33" spans="1:15" x14ac:dyDescent="0.2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20.218478521465084</v>
      </c>
      <c r="E33" s="125">
        <f>E32*[1]Energiindhold!$C$10</f>
        <v>21.607416134000527</v>
      </c>
    </row>
    <row r="34" spans="1:15" x14ac:dyDescent="0.2">
      <c r="C34" s="253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>
        <f>SUMIFS('Resultater - Vestdanmark'!H$3:H$482,'Resultater - Vestdanmark'!$F$3:$F$482,$A39)*B3</f>
        <v>2534442.072977222</v>
      </c>
      <c r="D39" s="133">
        <f>SUMIFS('Resultater - Vestdanmark'!I$3:I$482,'Resultater - Vestdanmark'!$F$3:$F$482,$A39)*C3</f>
        <v>7477117.2552370103</v>
      </c>
      <c r="E39" s="133">
        <f>SUMIFS('Resultater - Vestdanmark'!J$3:J$482,'Resultater - Vestdanmark'!$F$3:$F$482,$A39)*D3</f>
        <v>5772916.7070318246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Østdanmark'!H$3:H$482,'Resultater - Østdanmark'!$F$3:$F$482,$A39)*B3</f>
        <v>380427.26035611134</v>
      </c>
      <c r="L39" s="133">
        <f>SUMIFS('Resultater - Østdanmark'!I$3:I$482,'Resultater - Østdanmark'!$F$3:$F$482,$A39)*C3</f>
        <v>1083412.7196692515</v>
      </c>
      <c r="M39" s="133">
        <f>SUMIFS('Resultater - Østdanmark'!J$3:J$482,'Resultater - Østdanmark'!$F$3:$F$482,$A39)*D3</f>
        <v>836478.97665490792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>
        <f>SUMIFS('Resultater - Vestdanmark'!H$3:H$482,'Resultater - Vestdanmark'!$F$3:$F$482,$A40)*B4</f>
        <v>4066864.6068164087</v>
      </c>
      <c r="D40" s="136">
        <f>SUMIFS('Resultater - Vestdanmark'!I$3:I$482,'Resultater - Vestdanmark'!$F$3:$F$482,$A40)*C4</f>
        <v>6439814.3688225495</v>
      </c>
      <c r="E40" s="136">
        <f>SUMIFS('Resultater - Vestdanmark'!J$3:J$482,'Resultater - Vestdanmark'!$F$3:$F$482,$A40)*D4</f>
        <v>5094162.6010199301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Østdanmark'!H$3:H$482,'Resultater - Østdanmark'!$F$3:$F$482,$A40)*B4</f>
        <v>286645.05985025823</v>
      </c>
      <c r="L40" s="136">
        <f>SUMIFS('Resultater - Østdanmark'!I$3:I$482,'Resultater - Østdanmark'!$F$3:$F$482,$A40)*C4</f>
        <v>457703.4296424397</v>
      </c>
      <c r="M40" s="136">
        <f>SUMIFS('Resultater - Østdanmark'!J$3:J$482,'Resultater - Østdanmark'!$F$3:$F$482,$A40)*D4</f>
        <v>362062.56269299635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>
        <f>SUMIFS('Resultater - Vestdanmark'!H$3:H$482,'Resultater - Vestdanmark'!$F$3:$F$482,$A41)*B5</f>
        <v>4103.8061780475591</v>
      </c>
      <c r="D41" s="136">
        <f>SUMIFS('Resultater - Vestdanmark'!I$3:I$482,'Resultater - Vestdanmark'!$F$3:$F$482,$A41)*C5</f>
        <v>5172.4902040381994</v>
      </c>
      <c r="E41" s="136">
        <f>SUMIFS('Resultater - Vestdanmark'!J$3:J$482,'Resultater - Vestdanmark'!$F$3:$F$482,$A41)*D5</f>
        <v>6892.4253779859373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Østdanmark'!H$3:H$482,'Resultater - Østdanmark'!$F$3:$F$482,$A41)*B5</f>
        <v>337.693821952441</v>
      </c>
      <c r="L41" s="136">
        <f>SUMIFS('Resultater - Østdanmark'!I$3:I$482,'Resultater - Østdanmark'!$F$3:$F$482,$A41)*C5</f>
        <v>434.12519359476988</v>
      </c>
      <c r="M41" s="136">
        <f>SUMIFS('Resultater - Østdanmark'!J$3:J$482,'Resultater - Østdanmark'!$F$3:$F$482,$A41)*D5</f>
        <v>578.47871789484259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>
        <f>SUMIFS('Resultater - Vestdanmark'!H$3:H$482,'Resultater - Vestdanmark'!$F$3:$F$482,$A42)*B6</f>
        <v>1460182.5874658169</v>
      </c>
      <c r="D42" s="136">
        <f>SUMIFS('Resultater - Vestdanmark'!I$3:I$482,'Resultater - Vestdanmark'!$F$3:$F$482,$A42)*C6</f>
        <v>1974779.4199139304</v>
      </c>
      <c r="E42" s="136">
        <f>SUMIFS('Resultater - Vestdanmark'!J$3:J$482,'Resultater - Vestdanmark'!$F$3:$F$482,$A42)*D6</f>
        <v>3249666.458578188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Østdanmark'!H$3:H$482,'Resultater - Østdanmark'!$F$3:$F$482,$A42)*B6</f>
        <v>1208651.4125341829</v>
      </c>
      <c r="L42" s="136">
        <f>SUMIFS('Resultater - Østdanmark'!I$3:I$482,'Resultater - Østdanmark'!$F$3:$F$482,$A42)*C6</f>
        <v>1671161.6426352733</v>
      </c>
      <c r="M42" s="136">
        <f>SUMIFS('Resultater - Østdanmark'!J$3:J$482,'Resultater - Østdanmark'!$F$3:$F$482,$A42)*D6</f>
        <v>2796827.8828343488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>
        <f>SUMIFS('Resultater - Vestdanmark'!H$3:H$482,'Resultater - Vestdanmark'!$F$3:$F$482,$A43)*B7</f>
        <v>671194.67155029252</v>
      </c>
      <c r="D43" s="136">
        <f>SUMIFS('Resultater - Vestdanmark'!I$3:I$482,'Resultater - Vestdanmark'!$F$3:$F$482,$A43)*C7</f>
        <v>1333532.0474481385</v>
      </c>
      <c r="E43" s="136">
        <f>SUMIFS('Resultater - Vestdanmark'!J$3:J$482,'Resultater - Vestdanmark'!$F$3:$F$482,$A43)*D7</f>
        <v>1166509.8508162934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Østdanmark'!H$3:H$482,'Resultater - Østdanmark'!$F$3:$F$482,$A43)*B7</f>
        <v>85892.328449707566</v>
      </c>
      <c r="L43" s="136">
        <f>SUMIFS('Resultater - Østdanmark'!I$3:I$482,'Resultater - Østdanmark'!$F$3:$F$482,$A43)*C7</f>
        <v>179079.28085797431</v>
      </c>
      <c r="M43" s="136">
        <f>SUMIFS('Resultater - Østdanmark'!J$3:J$482,'Resultater - Østdanmark'!$F$3:$F$482,$A43)*D7</f>
        <v>155466.12589261169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>
        <f>SUMIFS('Resultater - Vestdanmark'!H$3:H$482,'Resultater - Vestdanmark'!$F$3:$F$482,$A44)*B8</f>
        <v>0</v>
      </c>
      <c r="D44" s="136">
        <f>SUMIFS('Resultater - Vestdanmark'!I$3:I$482,'Resultater - Vestdanmark'!$F$3:$F$482,$A44)*C8</f>
        <v>1538704.1181694835</v>
      </c>
      <c r="E44" s="136">
        <f>SUMIFS('Resultater - Vestdanmark'!J$3:J$482,'Resultater - Vestdanmark'!$F$3:$F$482,$A44)*D8</f>
        <v>1268345.8654431151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Østdanmark'!H$3:H$482,'Resultater - Østdanmark'!$F$3:$F$482,$A44)*B8</f>
        <v>0</v>
      </c>
      <c r="L44" s="136">
        <f>SUMIFS('Resultater - Østdanmark'!I$3:I$482,'Resultater - Østdanmark'!$F$3:$F$482,$A44)*C8</f>
        <v>188421.86299933988</v>
      </c>
      <c r="M44" s="136">
        <f>SUMIFS('Resultater - Østdanmark'!J$3:J$482,'Resultater - Østdanmark'!$F$3:$F$482,$A44)*D8</f>
        <v>154257.44090199118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>
        <f ca="1">SUMIFS('Resultater - Vestdanmark'!H$3:H$482,'Resultater - Vestdanmark'!$F$3:$F$482,$A45)/SUMIFS('Resultater - Danmark'!H$3:H$482,'Resultater - Danmark'!$F$3:$F$482,$A45)*C18</f>
        <v>393543.64426779439</v>
      </c>
      <c r="D45" s="136">
        <f ca="1">SUMIFS('Resultater - Vestdanmark'!I$3:I$482,'Resultater - Vestdanmark'!$F$3:$F$482,$A45)/SUMIFS('Resultater - Danmark'!I$3:I$482,'Resultater - Danmark'!$F$3:$F$482,$A45)*D18</f>
        <v>195082.24112879002</v>
      </c>
      <c r="E45" s="136">
        <f ca="1">SUMIFS('Resultater - Vestdanmark'!J$3:J$482,'Resultater - Vestdanmark'!$F$3:$F$482,$A45)/SUMIFS('Resultater - Danmark'!J$3:J$482,'Resultater - Danmark'!$F$3:$F$482,$A45)*E18</f>
        <v>197484.23354298095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>
        <f ca="1">SUMIFS('Resultater - Østdanmark'!H$3:H$482,'Resultater - Østdanmark'!$F$3:$F$482,$A45)/SUMIFS('Resultater - Danmark'!H$3:H$482,'Resultater - Danmark'!$F$3:$F$482,$A45)*C18</f>
        <v>335590.35573220561</v>
      </c>
      <c r="L45" s="136">
        <f ca="1">SUMIFS('Resultater - Østdanmark'!I$3:I$482,'Resultater - Østdanmark'!$F$3:$F$482,$A45)/SUMIFS('Resultater - Danmark'!I$3:I$482,'Resultater - Danmark'!$F$3:$F$482,$A45)*D18</f>
        <v>168912.75887120995</v>
      </c>
      <c r="M45" s="136">
        <f ca="1">SUMIFS('Resultater - Østdanmark'!J$3:J$482,'Resultater - Østdanmark'!$F$3:$F$482,$A45)/SUMIFS('Resultater - Danmark'!J$3:J$482,'Resultater - Danmark'!$F$3:$F$482,$A45)*E18</f>
        <v>172292.76645701908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>
        <f>SUMIFS('Resultater - Vestdanmark'!H$3:H$482,'Resultater - Vestdanmark'!$F$3:$F$482,$A46)/SUMIFS('Resultater - Danmark'!H$3:H$482,'Resultater - Danmark'!$F$3:$F$482,$A46)*C19</f>
        <v>716103.75203569303</v>
      </c>
      <c r="D46" s="136">
        <f>SUMIFS('Resultater - Vestdanmark'!I$3:I$482,'Resultater - Vestdanmark'!$F$3:$F$482,$A46)/SUMIFS('Resultater - Danmark'!I$3:I$482,'Resultater - Danmark'!$F$3:$F$482,$A46)*D19</f>
        <v>420706.10687194945</v>
      </c>
      <c r="E46" s="136">
        <f>SUMIFS('Resultater - Vestdanmark'!J$3:J$482,'Resultater - Vestdanmark'!$F$3:$F$482,$A46)/SUMIFS('Resultater - Danmark'!J$3:J$482,'Resultater - Danmark'!$F$3:$F$482,$A46)*E19</f>
        <v>330372.74489675317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>
        <f>SUMIFS('Resultater - Østdanmark'!H$3:H$482,'Resultater - Østdanmark'!$F$3:$F$482,$A46)/SUMIFS('Resultater - Danmark'!H$3:H$482,'Resultater - Danmark'!$F$3:$F$482,$A46)*C19</f>
        <v>279550.24796430691</v>
      </c>
      <c r="L46" s="136">
        <f>SUMIFS('Resultater - Østdanmark'!I$3:I$482,'Resultater - Østdanmark'!$F$3:$F$482,$A46)/SUMIFS('Resultater - Danmark'!I$3:I$482,'Resultater - Danmark'!$F$3:$F$482,$A46)*D19</f>
        <v>179293.89312805064</v>
      </c>
      <c r="M46" s="136">
        <f>SUMIFS('Resultater - Østdanmark'!J$3:J$482,'Resultater - Østdanmark'!$F$3:$F$482,$A46)/SUMIFS('Resultater - Danmark'!J$3:J$482,'Resultater - Danmark'!$F$3:$F$482,$A46)*E19</f>
        <v>169627.25510324695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>
        <f>SUMIFS('Resultater - Vestdanmark'!H$3:H$482,'Resultater - Vestdanmark'!$F$3:$F$482,$A47)/SUMIFS('Resultater - Danmark'!H$3:H$482,'Resultater - Danmark'!$F$3:$F$482,$A47)*C20</f>
        <v>53138.892747161146</v>
      </c>
      <c r="D47" s="136">
        <f>SUMIFS('Resultater - Vestdanmark'!I$3:I$482,'Resultater - Vestdanmark'!$F$3:$F$482,$A47)/SUMIFS('Resultater - Danmark'!I$3:I$482,'Resultater - Danmark'!$F$3:$F$482,$A47)*D20</f>
        <v>0</v>
      </c>
      <c r="E47" s="136">
        <f>SUMIFS('Resultater - Vestdanmark'!J$3:J$482,'Resultater - Vestdanmark'!$F$3:$F$482,$A47)/SUMIFS('Resultater - Danmark'!J$3:J$482,'Resultater - Danmark'!$F$3:$F$482,$A47)*E20</f>
        <v>0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Østdanmark'!H$3:H$482,'Resultater - Østdanmark'!$F$3:$F$482,$A47)/SUMIFS('Resultater - Danmark'!H$3:H$482,'Resultater - Danmark'!$F$3:$F$482,$A47)*C20</f>
        <v>22795.107252838847</v>
      </c>
      <c r="L47" s="136">
        <f>SUMIFS('Resultater - Østdanmark'!I$3:I$482,'Resultater - Østdanmark'!$F$3:$F$482,$A47)/SUMIFS('Resultater - Danmark'!I$3:I$482,'Resultater - Danmark'!$F$3:$F$482,$A47)*D20</f>
        <v>0</v>
      </c>
      <c r="M47" s="136">
        <f>SUMIFS('Resultater - Østdanmark'!J$3:J$482,'Resultater - Østdanmark'!$F$3:$F$482,$A47)/SUMIFS('Resultater - Danmark'!J$3:J$482,'Resultater - Danmark'!$F$3:$F$482,$A47)*E20</f>
        <v>0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>
        <f>SUMIFS('Resultater - Vestdanmark'!H$3:H$482,'Resultater - Vestdanmark'!$F$3:$F$482,$A48)/SUMIFS('Resultater - Danmark'!H$3:H$482,'Resultater - Danmark'!$F$3:$F$482,$A48)*C21</f>
        <v>2840.1853290986264</v>
      </c>
      <c r="D48" s="136">
        <f>SUMIFS('Resultater - Vestdanmark'!I$3:I$482,'Resultater - Vestdanmark'!$F$3:$F$482,$A48)/SUMIFS('Resultater - Danmark'!I$3:I$482,'Resultater - Danmark'!$F$3:$F$482,$A48)*D21</f>
        <v>0</v>
      </c>
      <c r="E48" s="136">
        <f>SUMIFS('Resultater - Vestdanmark'!J$3:J$482,'Resultater - Vestdanmark'!$F$3:$F$482,$A48)/SUMIFS('Resultater - Danmark'!J$3:J$482,'Resultater - Danmark'!$F$3:$F$482,$A48)*E21</f>
        <v>0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Østdanmark'!H$3:H$482,'Resultater - Østdanmark'!$F$3:$F$482,$A48)/SUMIFS('Resultater - Danmark'!H$3:H$482,'Resultater - Danmark'!$F$3:$F$482,$A48)*C21</f>
        <v>945.81467090137289</v>
      </c>
      <c r="L48" s="136">
        <f>SUMIFS('Resultater - Østdanmark'!I$3:I$482,'Resultater - Østdanmark'!$F$3:$F$482,$A48)/SUMIFS('Resultater - Danmark'!I$3:I$482,'Resultater - Danmark'!$F$3:$F$482,$A48)*D21</f>
        <v>0</v>
      </c>
      <c r="M48" s="136">
        <f>SUMIFS('Resultater - Østdanmark'!J$3:J$482,'Resultater - Østdanmark'!$F$3:$F$482,$A48)/SUMIFS('Resultater - Danmark'!J$3:J$482,'Resultater - Danmark'!$F$3:$F$482,$A48)*E21</f>
        <v>0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>
        <f>SUMIFS('Resultater - Vestdanmark'!H$3:H$482,'Resultater - Vestdanmark'!$F$3:$F$482,$A49)/SUMIFS('Resultater - Danmark'!H$3:H$482,'Resultater - Danmark'!$F$3:$F$482,$A49)*C22</f>
        <v>75746.163899662715</v>
      </c>
      <c r="D49" s="136">
        <f>SUMIFS('Resultater - Vestdanmark'!I$3:I$482,'Resultater - Vestdanmark'!$F$3:$F$482,$A49)/SUMIFS('Resultater - Danmark'!I$3:I$482,'Resultater - Danmark'!$F$3:$F$482,$A49)*D22</f>
        <v>0</v>
      </c>
      <c r="E49" s="136">
        <f>SUMIFS('Resultater - Vestdanmark'!J$3:J$482,'Resultater - Vestdanmark'!$F$3:$F$482,$A49)/SUMIFS('Resultater - Danmark'!J$3:J$482,'Resultater - Danmark'!$F$3:$F$482,$A49)*E22</f>
        <v>0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Østdanmark'!H$3:H$482,'Resultater - Østdanmark'!$F$3:$F$482,$A49)/SUMIFS('Resultater - Danmark'!H$3:H$482,'Resultater - Danmark'!$F$3:$F$482,$A49)*C22</f>
        <v>9930.836100337272</v>
      </c>
      <c r="L49" s="136">
        <f>SUMIFS('Resultater - Østdanmark'!I$3:I$482,'Resultater - Østdanmark'!$F$3:$F$482,$A49)/SUMIFS('Resultater - Danmark'!I$3:I$482,'Resultater - Danmark'!$F$3:$F$482,$A49)*D22</f>
        <v>0</v>
      </c>
      <c r="M49" s="136">
        <f>SUMIFS('Resultater - Østdanmark'!J$3:J$482,'Resultater - Østdanmark'!$F$3:$F$482,$A49)/SUMIFS('Resultater - Danmark'!J$3:J$482,'Resultater - Danmark'!$F$3:$F$482,$A49)*E22</f>
        <v>0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>
        <f>SUMIFS('Resultater - Vestdanmark'!H$3:H$482,'Resultater - Vestdanmark'!$F$3:$F$482,$A50)/SUMIFS('Resultater - Danmark'!H$3:H$482,'Resultater - Danmark'!$F$3:$F$482,$A50)*C23</f>
        <v>314821.43493156106</v>
      </c>
      <c r="D50" s="136">
        <f>SUMIFS('Resultater - Vestdanmark'!I$3:I$482,'Resultater - Vestdanmark'!$F$3:$F$482,$A50)/SUMIFS('Resultater - Danmark'!I$3:I$482,'Resultater - Danmark'!$F$3:$F$482,$A50)*D23</f>
        <v>0</v>
      </c>
      <c r="E50" s="136">
        <f>SUMIFS('Resultater - Vestdanmark'!J$3:J$482,'Resultater - Vestdanmark'!$F$3:$F$482,$A50)/SUMIFS('Resultater - Danmark'!J$3:J$482,'Resultater - Danmark'!$F$3:$F$482,$A50)*E23</f>
        <v>550329.17750715138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Østdanmark'!H$3:H$482,'Resultater - Østdanmark'!$F$3:$F$482,$A50)/SUMIFS('Resultater - Danmark'!H$3:H$482,'Resultater - Danmark'!$F$3:$F$482,$A50)*C23</f>
        <v>15204.565068438918</v>
      </c>
      <c r="L50" s="136">
        <f>SUMIFS('Resultater - Østdanmark'!I$3:I$482,'Resultater - Østdanmark'!$F$3:$F$482,$A50)/SUMIFS('Resultater - Danmark'!I$3:I$482,'Resultater - Danmark'!$F$3:$F$482,$A50)*D23</f>
        <v>0</v>
      </c>
      <c r="M50" s="136">
        <f>SUMIFS('Resultater - Østdanmark'!J$3:J$482,'Resultater - Østdanmark'!$F$3:$F$482,$A50)/SUMIFS('Resultater - Danmark'!J$3:J$482,'Resultater - Danmark'!$F$3:$F$482,$A50)*E23</f>
        <v>199670.8224928487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>
        <f>SUMIFS('Resultater - Vestdanmark'!H$3:H$482,'Resultater - Vestdanmark'!$F$3:$F$482,$A51)/SUMIFS('Resultater - Danmark'!H$3:H$482,'Resultater - Danmark'!$F$3:$F$482,$A51)*C24</f>
        <v>4101.0489241972273</v>
      </c>
      <c r="D51" s="136">
        <f>SUMIFS('Resultater - Vestdanmark'!I$3:I$482,'Resultater - Vestdanmark'!$F$3:$F$482,$A51)/SUMIFS('Resultater - Danmark'!I$3:I$482,'Resultater - Danmark'!$F$3:$F$482,$A51)*D24</f>
        <v>0</v>
      </c>
      <c r="E51" s="136">
        <f>SUMIFS('Resultater - Vestdanmark'!J$3:J$482,'Resultater - Vestdanmark'!$F$3:$F$482,$A51)/SUMIFS('Resultater - Danmark'!J$3:J$482,'Resultater - Danmark'!$F$3:$F$482,$A51)*E24</f>
        <v>0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Østdanmark'!H$3:H$482,'Resultater - Østdanmark'!$F$3:$F$482,$A51)/SUMIFS('Resultater - Danmark'!H$3:H$482,'Resultater - Danmark'!$F$3:$F$482,$A51)*C24</f>
        <v>24543.951075802775</v>
      </c>
      <c r="L51" s="136">
        <f>SUMIFS('Resultater - Østdanmark'!I$3:I$482,'Resultater - Østdanmark'!$F$3:$F$482,$A51)/SUMIFS('Resultater - Danmark'!I$3:I$482,'Resultater - Danmark'!$F$3:$F$482,$A51)*D24</f>
        <v>0</v>
      </c>
      <c r="M51" s="136">
        <f>SUMIFS('Resultater - Østdanmark'!J$3:J$482,'Resultater - Østdanmark'!$F$3:$F$482,$A51)/SUMIFS('Resultater - Danmark'!J$3:J$482,'Resultater - Danmark'!$F$3:$F$482,$A51)*E24</f>
        <v>0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>
        <f>SUMIFS('Resultater - Vestdanmark'!H$3:H$482,'Resultater - Vestdanmark'!$F$3:$F$482,$A52)/SUMIFS('Resultater - Danmark'!H$3:H$482,'Resultater - Danmark'!$F$3:$F$482,$A52)*C25</f>
        <v>42.099811904105366</v>
      </c>
      <c r="D52" s="136">
        <f>SUMIFS('Resultater - Vestdanmark'!I$3:I$482,'Resultater - Vestdanmark'!$F$3:$F$482,$A52)/SUMIFS('Resultater - Danmark'!I$3:I$482,'Resultater - Danmark'!$F$3:$F$482,$A52)*D25</f>
        <v>428758.06783893198</v>
      </c>
      <c r="E52" s="136">
        <f>SUMIFS('Resultater - Vestdanmark'!J$3:J$482,'Resultater - Vestdanmark'!$F$3:$F$482,$A52)/SUMIFS('Resultater - Danmark'!J$3:J$482,'Resultater - Danmark'!$F$3:$F$482,$A52)*E25</f>
        <v>427250.44238658639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Østdanmark'!H$3:H$482,'Resultater - Østdanmark'!$F$3:$F$482,$A52)/SUMIFS('Resultater - Danmark'!H$3:H$482,'Resultater - Danmark'!$F$3:$F$482,$A52)*C25</f>
        <v>35.900188095894634</v>
      </c>
      <c r="L52" s="136">
        <f>SUMIFS('Resultater - Østdanmark'!I$3:I$482,'Resultater - Østdanmark'!$F$3:$F$482,$A52)/SUMIFS('Resultater - Danmark'!I$3:I$482,'Resultater - Danmark'!$F$3:$F$482,$A52)*D25</f>
        <v>371241.93216106802</v>
      </c>
      <c r="M52" s="136">
        <f>SUMIFS('Resultater - Østdanmark'!J$3:J$482,'Resultater - Østdanmark'!$F$3:$F$482,$A52)/SUMIFS('Resultater - Danmark'!J$3:J$482,'Resultater - Danmark'!$F$3:$F$482,$A52)*E25</f>
        <v>372749.55761341366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>
        <f>SUMIFS('Resultater - Vestdanmark'!H$3:H$482,'Resultater - Vestdanmark'!$F$3:$F$482,$A54)/SUMIFS('Resultater - Danmark'!H$3:H$482,'Resultater - Danmark'!$F$3:$F$482,$A54)*C27</f>
        <v>0</v>
      </c>
      <c r="D54" s="136">
        <f>SUMIFS('Resultater - Vestdanmark'!I$3:I$482,'Resultater - Vestdanmark'!$F$3:$F$482,$A54)/SUMIFS('Resultater - Danmark'!I$3:I$482,'Resultater - Danmark'!$F$3:$F$482,$A54)*D27</f>
        <v>0</v>
      </c>
      <c r="E54" s="136">
        <f>SUMIFS('Resultater - Vestdanmark'!J$3:J$482,'Resultater - Vestdanmark'!$F$3:$F$482,$A54)/SUMIFS('Resultater - Danmark'!J$3:J$482,'Resultater - Danmark'!$F$3:$F$482,$A54)*E27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Østdanmark'!H$3:H$482,'Resultater - Østdanmark'!$F$3:$F$482,$A54)/SUMIFS('Resultater - Danmark'!H$3:H$482,'Resultater - Danmark'!$F$3:$F$482,$A54)*C27</f>
        <v>0</v>
      </c>
      <c r="L54" s="136">
        <f>SUMIFS('Resultater - Østdanmark'!I$3:I$482,'Resultater - Østdanmark'!$F$3:$F$482,$A54)/SUMIFS('Resultater - Danmark'!I$3:I$482,'Resultater - Danmark'!$F$3:$F$482,$A54)*D27</f>
        <v>0</v>
      </c>
      <c r="M54" s="136">
        <f>SUMIFS('Resultater - Østdanmark'!J$3:J$482,'Resultater - Østdanmark'!$F$3:$F$482,$A54)/SUMIFS('Resultater - Danmark'!J$3:J$482,'Resultater - Danmark'!$F$3:$F$482,$A54)*E27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>
        <f>SUMIFS('Resultater - Vestdanmark'!H$3:H$482,'Resultater - Vestdanmark'!$F$3:$F$482,$A55)/SUMIFS('Resultater - Danmark'!H$3:H$482,'Resultater - Danmark'!$F$3:$F$482,$A55)*C28</f>
        <v>0</v>
      </c>
      <c r="D55" s="179">
        <f>SUMIFS('Resultater - Vestdanmark'!I$3:I$482,'Resultater - Vestdanmark'!$F$3:$F$482,$A55)/SUMIFS('Resultater - Danmark'!I$3:I$482,'Resultater - Danmark'!$F$3:$F$482,$A55)*D28</f>
        <v>0</v>
      </c>
      <c r="E55" s="179">
        <f>SUMIFS('Resultater - Vestdanmark'!J$3:J$482,'Resultater - Vestdanmark'!$F$3:$F$482,$A55)/SUMIFS('Resultater - Danmark'!J$3:J$482,'Resultater - Danmark'!$F$3:$F$482,$A55)*E28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Østdanmark'!H$3:H$482,'Resultater - Østdanmark'!$F$3:$F$482,$A55)/SUMIFS('Resultater - Danmark'!H$3:H$482,'Resultater - Danmark'!$F$3:$F$482,$A55)*C28</f>
        <v>0</v>
      </c>
      <c r="L55" s="179">
        <f>SUMIFS('Resultater - Østdanmark'!I$3:I$482,'Resultater - Østdanmark'!$F$3:$F$482,$A55)/SUMIFS('Resultater - Danmark'!I$3:I$482,'Resultater - Danmark'!$F$3:$F$482,$A55)*D28</f>
        <v>0</v>
      </c>
      <c r="M55" s="179">
        <f>SUMIFS('Resultater - Østdanmark'!J$3:J$482,'Resultater - Østdanmark'!$F$3:$F$482,$A55)/SUMIFS('Resultater - Danmark'!J$3:J$482,'Resultater - Danmark'!$F$3:$F$482,$A55)*E28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19927859.715634823</v>
      </c>
      <c r="E56" s="145">
        <f ca="1">SUM(E39:E55)</f>
        <v>18178124.106600806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4328210.0451582018</v>
      </c>
      <c r="M56" s="145">
        <f ca="1">SUM(M39:M55)</f>
        <v>5248560.2693612808</v>
      </c>
      <c r="N56" s="146"/>
      <c r="O56" s="146"/>
    </row>
    <row r="57" spans="1:15" hidden="1" x14ac:dyDescent="0.2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9.5879611843237428E-2</v>
      </c>
      <c r="E57" s="149">
        <f ca="1">SUMPRODUCT(E39:E55,$F$39:$F$55)/E56</f>
        <v>0.1026238118777625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0.11799326474653495</v>
      </c>
      <c r="M57" s="149">
        <f ca="1">SUMPRODUCT(M39:M55,$N$39:$N$55)/M56</f>
        <v>0.1157133182888402</v>
      </c>
    </row>
    <row r="58" spans="1:15" hidden="1" x14ac:dyDescent="0.2">
      <c r="A58" s="148" t="s">
        <v>161</v>
      </c>
      <c r="C58" s="149">
        <f ca="1">SUM(C48:C51)/C56</f>
        <v>3.8180450490388568E-2</v>
      </c>
      <c r="D58" s="149">
        <f ca="1">SUM(D48:D51)/D56</f>
        <v>0</v>
      </c>
      <c r="E58" s="149">
        <f ca="1">SUM(E48:E51)/E56</f>
        <v>3.0274255708668912E-2</v>
      </c>
      <c r="I58" s="148" t="s">
        <v>161</v>
      </c>
      <c r="K58" s="149">
        <f ca="1">SUM(K48:K51)/K56</f>
        <v>1.8896340963997331E-2</v>
      </c>
      <c r="L58" s="149">
        <f ca="1">SUM(L48:L51)/L56</f>
        <v>0</v>
      </c>
      <c r="M58" s="149">
        <f ca="1">SUM(M48:M51)/M56</f>
        <v>3.8042970309102975E-2</v>
      </c>
    </row>
    <row r="59" spans="1:15" hidden="1" x14ac:dyDescent="0.2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442702887.09198487</v>
      </c>
      <c r="E59" s="125">
        <f ca="1">SUMPRODUCT(E39:E55,$I$12:$I$28)</f>
        <v>452644993.798729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120485929.66191711</v>
      </c>
      <c r="M59" s="125">
        <f ca="1">SUMPRODUCT(M39:M55,$I$12:$I$28)</f>
        <v>149232892.9422327</v>
      </c>
    </row>
    <row r="60" spans="1:15" hidden="1" x14ac:dyDescent="0.2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15.893033646602259</v>
      </c>
      <c r="E60" s="125">
        <f ca="1">E59*[1]Energiindhold!$C$10</f>
        <v>16.249955277374372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4.3254448748628249</v>
      </c>
      <c r="M60" s="125">
        <f ca="1">M59*[1]Energiindhold!$C$10</f>
        <v>5.3574608566261546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98" priority="7" operator="greaterThan">
      <formula>13%</formula>
    </cfRule>
  </conditionalFormatting>
  <conditionalFormatting sqref="K57:M57">
    <cfRule type="cellIs" dxfId="197" priority="5" operator="greaterThan">
      <formula>13%</formula>
    </cfRule>
  </conditionalFormatting>
  <conditionalFormatting sqref="C58:E58">
    <cfRule type="cellIs" dxfId="196" priority="2" operator="greaterThan">
      <formula>13%</formula>
    </cfRule>
  </conditionalFormatting>
  <conditionalFormatting sqref="K58:M58">
    <cfRule type="cellIs" dxfId="195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0"/>
  <sheetViews>
    <sheetView zoomScale="117" workbookViewId="0">
      <selection activeCell="D5" sqref="D5"/>
    </sheetView>
  </sheetViews>
  <sheetFormatPr defaultColWidth="9.140625" defaultRowHeight="15" x14ac:dyDescent="0.25"/>
  <cols>
    <col min="1" max="1" width="20" style="1" customWidth="1"/>
    <col min="2" max="2" width="9.28515625" style="1" bestFit="1" customWidth="1"/>
    <col min="3" max="3" width="12.140625" style="1" bestFit="1" customWidth="1"/>
    <col min="4" max="4" width="13.7109375" style="1" bestFit="1" customWidth="1"/>
    <col min="5" max="5" width="45.7109375" style="1" customWidth="1"/>
    <col min="6" max="16384" width="9.140625" style="1"/>
  </cols>
  <sheetData>
    <row r="1" spans="1:5" x14ac:dyDescent="0.25">
      <c r="A1" s="229" t="s">
        <v>280</v>
      </c>
    </row>
    <row r="2" spans="1:5" ht="15.75" x14ac:dyDescent="0.25">
      <c r="A2" s="227" t="s">
        <v>318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380">
        <v>0</v>
      </c>
      <c r="C4" s="381">
        <v>1480000</v>
      </c>
      <c r="D4" s="381">
        <v>2500000</v>
      </c>
    </row>
    <row r="5" spans="1:5" x14ac:dyDescent="0.25">
      <c r="A5" s="309"/>
      <c r="C5" s="15">
        <f>C4/(C4+Biogasanlæg!F20)</f>
        <v>0.57727378074968694</v>
      </c>
      <c r="D5" s="15">
        <f>D4/(D4+Biogasanlæg!G20)</f>
        <v>0.78736581133140116</v>
      </c>
    </row>
    <row r="6" spans="1:5" x14ac:dyDescent="0.25">
      <c r="A6" s="309"/>
    </row>
    <row r="7" spans="1:5" ht="15.75" x14ac:dyDescent="0.25">
      <c r="A7" s="227" t="s">
        <v>303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data'!$D460</f>
        <v>Rapsolie</v>
      </c>
      <c r="B10" s="87">
        <v>0.48</v>
      </c>
      <c r="C10" s="3">
        <v>0</v>
      </c>
      <c r="D10" s="3">
        <v>0</v>
      </c>
      <c r="E10" s="1" t="s">
        <v>337</v>
      </c>
    </row>
    <row r="11" spans="1:5" x14ac:dyDescent="0.25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data'!$D463</f>
        <v>Have/parkaffald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data'!$D464</f>
        <v>Bioaffald</v>
      </c>
      <c r="B13" s="87">
        <v>0</v>
      </c>
      <c r="C13" s="3">
        <v>0</v>
      </c>
      <c r="D13" s="3">
        <v>0</v>
      </c>
    </row>
    <row r="15" spans="1:5" x14ac:dyDescent="0.25">
      <c r="A15" s="2" t="s">
        <v>249</v>
      </c>
      <c r="B15" s="2">
        <f>År1</f>
        <v>2019</v>
      </c>
      <c r="C15" s="2">
        <f>År2</f>
        <v>2030</v>
      </c>
      <c r="D15" s="2">
        <f>År3</f>
        <v>2050</v>
      </c>
    </row>
    <row r="16" spans="1:5" x14ac:dyDescent="0.25">
      <c r="A16" s="2" t="str">
        <f>A9</f>
        <v>Halm</v>
      </c>
      <c r="B16" s="109">
        <f>SUMIFS('Forbrug af biomasse'!$E$2:$E$403,'Forbrug af biomasse'!$D$2:$D$403,'Forbrug til andet'!B$15,'Forbrug af biomasse'!$C$2:$C$403,'Forbrug til andet'!$A16,'Forbrug af biomasse'!$A$2:$A$403,"Materialer")</f>
        <v>0</v>
      </c>
      <c r="C16" s="109">
        <f>SUMIFS('Forbrug af biomasse'!$E$2:$E$403,'Forbrug af biomasse'!$D$2:$D$403,'Forbrug til andet'!C$15,'Forbrug af biomasse'!$C$2:$C$403,'Forbrug til andet'!$A16,'Forbrug af biomasse'!$A$2:$A$403,"Materialer")</f>
        <v>0</v>
      </c>
      <c r="D16" s="109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109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109">
        <f>SUMIFS('Forbrug af biomasse'!$E$2:$E$403,'Forbrug af biomasse'!$D$2:$D$403,'Forbrug til andet'!C$15,'Forbrug af biomasse'!$C$2:$C$403,'Forbrug til andet'!$A17,'Forbrug af biomasse'!$A$2:$A$403,"Materialer")</f>
        <v>0</v>
      </c>
      <c r="D17" s="109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109">
        <f>SUMIFS('Forbrug af biomasse'!$E$2:$E$403,'Forbrug af biomasse'!$D$2:$D$403,'Forbrug til andet'!B$15,'Forbrug af biomasse'!$C$2:$C$403,'Forbrug til andet'!$A18,'Forbrug af biomasse'!$A$2:$A$403,"Materialer")</f>
        <v>0</v>
      </c>
      <c r="C18" s="109">
        <f>SUMIFS('Forbrug af biomasse'!$E$2:$E$403,'Forbrug af biomasse'!$D$2:$D$403,'Forbrug til andet'!C$15,'Forbrug af biomasse'!$C$2:$C$403,'Forbrug til andet'!$A18,'Forbrug af biomasse'!$A$2:$A$403,"Materialer")</f>
        <v>0</v>
      </c>
      <c r="D18" s="109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109">
        <f>SUMIFS('Forbrug af biomasse'!$E$2:$E$403,'Forbrug af biomasse'!$D$2:$D$403,'Forbrug til andet'!B$15,'Forbrug af biomasse'!$C$2:$C$403,'Forbrug til andet'!$A19,'Forbrug af biomasse'!$A$2:$A$403,"Materialer")</f>
        <v>0</v>
      </c>
      <c r="C19" s="109">
        <f>SUMIFS('Forbrug af biomasse'!$E$2:$E$403,'Forbrug af biomasse'!$D$2:$D$403,'Forbrug til andet'!C$15,'Forbrug af biomasse'!$C$2:$C$403,'Forbrug til andet'!$A19,'Forbrug af biomasse'!$A$2:$A$403,"Materialer")</f>
        <v>0</v>
      </c>
      <c r="D19" s="109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109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109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109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5546875" defaultRowHeight="15" x14ac:dyDescent="0.25"/>
  <cols>
    <col min="1" max="16384" width="8.85546875" style="92"/>
  </cols>
  <sheetData>
    <row r="1" spans="1:1" x14ac:dyDescent="0.25">
      <c r="A1" s="6" t="s">
        <v>251</v>
      </c>
    </row>
    <row r="2" spans="1:1" x14ac:dyDescent="0.25">
      <c r="A2" s="92" t="s">
        <v>252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workbookViewId="0">
      <selection activeCell="H3" sqref="H3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561138.95623976586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456814.61907104118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161327.44991893266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131334.20298292433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127659.1125445467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103925.32583866185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182370.16077792388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97073.106552596262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56113.895623976576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45681.461907104116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42085.421717982426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34261.096430328085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7014.236952997072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5710.1827383880145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70142.369529970732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57101.827383880147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14028.473905994144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11420.365476776029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39235.776034734517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31941.243579612597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56668.45145378921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46132.91730390468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10643.311931460419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8664.5570255986549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4092.8205610553005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3331.9024543463102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70142.369529970732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108493.47202937228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17988.68709801232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0.43582889538516162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1542.0658644465243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3.7361084700125495E-2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1651.2179103063932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4.0005614304589723E-2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15238.021720870902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0.36918592992793164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71.268800751408534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1.7266964808312041E-3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1125.1496418632635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2.7260061998102159E-2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29.518660249897398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7.1517643393687155E-4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3810.4154462517859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9.2318530299077425E-2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64.91370276951497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1.5727255257291396E-3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1148.0573462747577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2.7815068567234969E-2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2833.7440917610315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6.8655791864482674E-2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325.57753513414758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7.888074139408327E-3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534.71836671684468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1.2955126399086169E-2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15113.849399235503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0.36617748993000948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0.29674680641973877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0.28302441074714974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1.7086450333499009E-2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1.6296325462585758E-2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2.2126179468366147E-2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2.1103003539193144E-2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0.51029954485989426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0.48670187804556381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5.9312754358377721E-4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5.6569968029666602E-4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3.1394414813143305E-2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2.9942649966292749E-2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3.3950117003646611E-4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3.2380169396541565E-4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4.2220294070089238E-2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4.0267910529275863E-2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1.2099053290264164E-3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1.1539559496494725E-3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2.1398266344745977E-2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2.040875113805252E-2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6.8082129291564208E-2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6.4933822734728863E-2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6.0683334637179846E-3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5.7877168873610831E-3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1.4324445842879414E-2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1.3662043722977473E-2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0.52979341323357754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0.50529429585861441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87576.600106784259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96900.070712039029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25178.272530700477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27858.770329711224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19923.67652429342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22044.766086988879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28462.395034704889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20591.265026308294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8757.6600106784263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9690.0070712039033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6568.2450080088183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7267.505303402927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1094.7075013348033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1211.2508839004879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10947.075013348032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12112.508839004879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2189.4150026696066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2422.5017678009758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6123.5026181377571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6775.4153047663094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8844.2091864295289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9785.7703371919033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1661.0949257192565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1837.9363387633509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638.76390259244579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706.76718728558092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10947.075013348032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23013.766794109266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2807.4829574932523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9.2448553566549435E-2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240.66923895986218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7.9250785727538933E-3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257.704529354177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8.4860393979432746E-3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2378.1883610607765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7.8312166954409748E-2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11.122876417849888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3.6626895047934632E-4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175.60138919253245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5.7824373935368217E-3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4.6069585361111542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1.5170409204721518E-4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594.6891158890071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1.9582718548289149E-2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10.131040316629504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3.3360844485163561E-4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179.17658005444198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5.9001660597165087E-3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442.26063859854253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1.4563349789435716E-2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50.812678893768705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1.6732278477532812E-3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83.453155499160744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2.7480571149576727E-3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2358.8088657766393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7.7674013015456553E-2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4.6313085394988143E-2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6.0035481067577209E-2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2.6666714393322154E-3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3.4567963102454641E-3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3.4532187609588785E-3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4.4763946901318786E-3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7.9642125498364996E-2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0.10323979231269535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9.2569038593999904E-5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1.1999690188111097E-4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4.8997063581206323E-3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6.3514712049711885E-3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5.2985731739795291E-5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6.8685207810845745E-5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6.5892944502451414E-3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8.5416779910585158E-3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1.8882915539718639E-4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2.4477853477413049E-4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3.3396138225904128E-3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4.329129029283868E-3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1.0625534629319271E-2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1.3773841186154611E-2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9.4708094520454093E-4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1.2276975215614421E-3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2.2356071546690416E-3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2.8980092745709792E-3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8.2684521140500539E-2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0.10718363851546366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182635.09976023421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165742.2609289588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52507.591181067335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47650.900017075655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41549.485195453271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37706.364361338121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59356.407422076118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35220.230447403745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18263.509976023419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16574.226092895879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13697.632482017563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12430.669569671909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2282.9387470029274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2071.7782616119848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22829.387470029276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20717.78261611985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4565.8774940058547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4143.5565232239696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12770.152188849457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11588.976593028619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18444.002451504257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16738.023911640095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3464.1015648020552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3143.6893904380149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1332.0990873242467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1208.8865437387055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22829.387470029276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39363.786970627712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2543.5266161074505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6.1624419250252083E-2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68.781025480452769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1.6664228020370887E-3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277.81730642917057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6.7309420148972078E-3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816.89928733229783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1.9791789812224642E-2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15.471187824817051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3.7483506513290803E-4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26.302435262527187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6.37253916533074E-4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73.48347036613049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1.7803533712322671E-3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78.344719162303662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1.8981314326050301E-3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16.900566419398675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4.094659690212412E-4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120.67824120695344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2.9237856145973122E-3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876.11830838913772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2.1226544910947009E-2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26.483091404220694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6.4163084333437122E-4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56.207011126951372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1.3617802921958929E-3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1628.961148843877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3.9466378744780817E-2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4.5754933628917617E-2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4.3639098547811596E-2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8.3106047603679744E-4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7.9262993379232123E-4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4.0595359645178462E-3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3.8718117580661539E-3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2.9831848636857054E-2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2.8452341185441699E-2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1.4040654632499296E-4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1.3391375805562911E-4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8.0030056464171814E-4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7.6329244604556935E-4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9.2161460426674424E-4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8.7899658788446707E-4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9.466157148310761E-4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9.0284157772906114E-4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3.4350362462884858E-4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3.2761906395237006E-4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2.452782483126852E-3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2.3393590156990207E-3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2.2953573895167008E-2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2.1892136952037899E-2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5.3826822503920445E-4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5.1337720885242047E-4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1.6419437573988649E-3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1.56601572237464E-3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5.7100799688875818E-2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5.4460300281297752E-2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28503.743893215742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35157.449287960953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8194.826369299526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10107.766670288775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6484.6017357065812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7998.3197130111166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9263.7167652951175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7470.957973691703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2850.3743893215742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3515.7449287960953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2137.7807919911802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2636.8086965970715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356.29679866519677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439.46811609951192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3562.9679866519677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4394.6811609951192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712.59359733039355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878.93623219902383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1993.0295323637881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2458.2677621575858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2878.5437352058666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3550.4899206509294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540.64012861072547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666.84320403230618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207.89985755927555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256.43047897487696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3562.9679866519677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8349.8942058907251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396.96658170463104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1.3071846507629228E-2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10.734610913134247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3.5348362467453397E-4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43.358770367558421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1.4277755789175895E-3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127.4929523582199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4.1982584450173483E-3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2.4145784466477478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7.9510468361525957E-5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4.1050043473308326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1.351750732039854E-4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11.468518496448112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3.7765071510987484E-4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12.227210505099418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4.0263394024955173E-4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2.6376606550506607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8.6856417671172357E-5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18.834176373339556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6.2019694855094509E-4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136.73522732084808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4.5026004356554256E-3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4.1331992364968713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1.3610351222244238E-4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8.7721924880213127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2.8886248622337122E-4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254.23093074442014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8.3716560973777481E-3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7.1409433987328075E-3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9.2567784798388234E-3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1.2970308007510711E-4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1.6813362231958326E-4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6.3356919677446158E-4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8.2129340322615392E-4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4.6558376485268237E-3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6.0353450999421779E-3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2.1913160409102947E-5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2.8405948678466784E-5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1.2490240026200229E-4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1.6191051885815108E-4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1.4383580529018554E-4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1.8645382167246271E-4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1.4773771271930092E-4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1.9151184982131597E-4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5.36103922831151E-5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6.9494952959593638E-5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3.8280420256893069E-4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4.9622766999676197E-4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3.5823496830607472E-3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4.6437866261898574E-3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8.4007179630396072E-5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1.0889819581718008E-4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2.5625711820675929E-4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3.3218515323098425E-4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8.9116855005759964E-3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1.1552184908154068E-2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8065001.0864567999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4825776.8190355003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1168595.3908364461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699241.13927277888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528953.31354319979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545444.68096449983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76643.809163553771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79033.360727221094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548590.27160400525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38990.51034720122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147641.72839599467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10493.48965279878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183</v>
      </c>
      <c r="D185" t="s">
        <v>183</v>
      </c>
      <c r="E185" s="155" t="s">
        <v>182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177</v>
      </c>
      <c r="D186" t="s">
        <v>177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56589.718580969005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34592.603862515069</v>
      </c>
    </row>
    <row r="187" spans="1:9" x14ac:dyDescent="0.25">
      <c r="A187" t="s">
        <v>23</v>
      </c>
      <c r="B187" t="s">
        <v>177</v>
      </c>
      <c r="D187" t="s">
        <v>177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5658.9718580969002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34592.603862515069</v>
      </c>
    </row>
    <row r="188" spans="1:9" x14ac:dyDescent="0.25">
      <c r="A188" t="s">
        <v>23</v>
      </c>
      <c r="B188" t="s">
        <v>177</v>
      </c>
      <c r="D188" t="s">
        <v>177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56589.718580969005</v>
      </c>
    </row>
    <row r="189" spans="1:9" x14ac:dyDescent="0.25">
      <c r="A189" t="s">
        <v>23</v>
      </c>
      <c r="B189" t="s">
        <v>177</v>
      </c>
      <c r="D189" t="s">
        <v>177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5658.9718580969002</v>
      </c>
    </row>
    <row r="190" spans="1:9" x14ac:dyDescent="0.25">
      <c r="A190" t="s">
        <v>23</v>
      </c>
      <c r="B190" t="s">
        <v>178</v>
      </c>
      <c r="D190" t="s">
        <v>178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56589.718580969005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34592.603862515069</v>
      </c>
    </row>
    <row r="191" spans="1:9" x14ac:dyDescent="0.25">
      <c r="A191" t="s">
        <v>23</v>
      </c>
      <c r="B191" t="s">
        <v>178</v>
      </c>
      <c r="D191" t="s">
        <v>178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5658.9718580969002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34592.603862515069</v>
      </c>
    </row>
    <row r="192" spans="1:9" x14ac:dyDescent="0.25">
      <c r="A192" t="s">
        <v>23</v>
      </c>
      <c r="B192" t="s">
        <v>178</v>
      </c>
      <c r="D192" t="s">
        <v>178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56589.718580969005</v>
      </c>
    </row>
    <row r="193" spans="1:9" x14ac:dyDescent="0.25">
      <c r="A193" t="s">
        <v>23</v>
      </c>
      <c r="B193" t="s">
        <v>178</v>
      </c>
      <c r="D193" t="s">
        <v>178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5658.9718580969002</v>
      </c>
    </row>
    <row r="194" spans="1:9" x14ac:dyDescent="0.25">
      <c r="A194" t="s">
        <v>23</v>
      </c>
      <c r="B194" t="s">
        <v>179</v>
      </c>
      <c r="D194" t="s">
        <v>179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56589.718580969005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34592.603862515069</v>
      </c>
    </row>
    <row r="195" spans="1:9" x14ac:dyDescent="0.25">
      <c r="A195" t="s">
        <v>23</v>
      </c>
      <c r="B195" t="s">
        <v>179</v>
      </c>
      <c r="D195" t="s">
        <v>179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5658.9718580969002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34592.603862515069</v>
      </c>
    </row>
    <row r="196" spans="1:9" x14ac:dyDescent="0.25">
      <c r="A196" t="s">
        <v>23</v>
      </c>
      <c r="B196" t="s">
        <v>179</v>
      </c>
      <c r="D196" t="s">
        <v>179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56589.718580969005</v>
      </c>
    </row>
    <row r="197" spans="1:9" x14ac:dyDescent="0.25">
      <c r="A197" t="s">
        <v>23</v>
      </c>
      <c r="B197" t="s">
        <v>179</v>
      </c>
      <c r="D197" t="s">
        <v>179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5658.9718580969002</v>
      </c>
    </row>
    <row r="198" spans="1:9" x14ac:dyDescent="0.25">
      <c r="A198" t="s">
        <v>23</v>
      </c>
      <c r="B198" t="s">
        <v>180</v>
      </c>
      <c r="D198" t="s">
        <v>180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56589.718580969005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34592.603862515069</v>
      </c>
    </row>
    <row r="199" spans="1:9" x14ac:dyDescent="0.25">
      <c r="A199" t="s">
        <v>23</v>
      </c>
      <c r="B199" t="s">
        <v>180</v>
      </c>
      <c r="D199" t="s">
        <v>180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5658.9718580969002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34592.603862515069</v>
      </c>
    </row>
    <row r="200" spans="1:9" x14ac:dyDescent="0.25">
      <c r="A200" t="s">
        <v>23</v>
      </c>
      <c r="B200" t="s">
        <v>180</v>
      </c>
      <c r="D200" t="s">
        <v>180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56589.718580969005</v>
      </c>
    </row>
    <row r="201" spans="1:9" x14ac:dyDescent="0.25">
      <c r="A201" t="s">
        <v>23</v>
      </c>
      <c r="B201" t="s">
        <v>180</v>
      </c>
      <c r="D201" t="s">
        <v>180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5658.9718580969002</v>
      </c>
    </row>
    <row r="202" spans="1:9" x14ac:dyDescent="0.25">
      <c r="A202" t="s">
        <v>23</v>
      </c>
      <c r="B202" t="s">
        <v>181</v>
      </c>
      <c r="D202" t="s">
        <v>181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181</v>
      </c>
      <c r="D203" t="s">
        <v>181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181</v>
      </c>
      <c r="D204" t="s">
        <v>181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181</v>
      </c>
      <c r="D205" t="s">
        <v>181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183</v>
      </c>
      <c r="D206" t="s">
        <v>183</v>
      </c>
      <c r="E206" t="s">
        <v>182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177</v>
      </c>
      <c r="D207" t="s">
        <v>177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7079.2272378551706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4635.3974309211899</v>
      </c>
    </row>
    <row r="208" spans="1:9" x14ac:dyDescent="0.25">
      <c r="A208" t="s">
        <v>24</v>
      </c>
      <c r="B208" t="s">
        <v>177</v>
      </c>
      <c r="D208" t="s">
        <v>177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707.92272378551706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4635.3974309211899</v>
      </c>
    </row>
    <row r="209" spans="1:9" x14ac:dyDescent="0.25">
      <c r="A209" t="s">
        <v>24</v>
      </c>
      <c r="B209" t="s">
        <v>177</v>
      </c>
      <c r="D209" t="s">
        <v>177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7079.2272378551706</v>
      </c>
    </row>
    <row r="210" spans="1:9" x14ac:dyDescent="0.25">
      <c r="A210" t="s">
        <v>24</v>
      </c>
      <c r="B210" t="s">
        <v>177</v>
      </c>
      <c r="D210" t="s">
        <v>177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707.92272378551706</v>
      </c>
    </row>
    <row r="211" spans="1:9" x14ac:dyDescent="0.25">
      <c r="A211" t="s">
        <v>24</v>
      </c>
      <c r="B211" t="s">
        <v>178</v>
      </c>
      <c r="D211" t="s">
        <v>178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7079.2272378551706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4635.3974309211899</v>
      </c>
    </row>
    <row r="212" spans="1:9" x14ac:dyDescent="0.25">
      <c r="A212" t="s">
        <v>24</v>
      </c>
      <c r="B212" t="s">
        <v>178</v>
      </c>
      <c r="D212" t="s">
        <v>178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707.92272378551706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4635.3974309211899</v>
      </c>
    </row>
    <row r="213" spans="1:9" x14ac:dyDescent="0.25">
      <c r="A213" t="s">
        <v>24</v>
      </c>
      <c r="B213" t="s">
        <v>178</v>
      </c>
      <c r="D213" t="s">
        <v>178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7079.2272378551706</v>
      </c>
    </row>
    <row r="214" spans="1:9" x14ac:dyDescent="0.25">
      <c r="A214" t="s">
        <v>24</v>
      </c>
      <c r="B214" t="s">
        <v>178</v>
      </c>
      <c r="D214" t="s">
        <v>178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707.92272378551706</v>
      </c>
    </row>
    <row r="215" spans="1:9" x14ac:dyDescent="0.25">
      <c r="A215" t="s">
        <v>24</v>
      </c>
      <c r="B215" t="s">
        <v>179</v>
      </c>
      <c r="D215" t="s">
        <v>179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7079.2272378551706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4635.3974309211899</v>
      </c>
    </row>
    <row r="216" spans="1:9" x14ac:dyDescent="0.25">
      <c r="A216" t="s">
        <v>24</v>
      </c>
      <c r="B216" t="s">
        <v>179</v>
      </c>
      <c r="D216" t="s">
        <v>179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707.92272378551706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4635.3974309211899</v>
      </c>
    </row>
    <row r="217" spans="1:9" x14ac:dyDescent="0.25">
      <c r="A217" t="s">
        <v>24</v>
      </c>
      <c r="B217" t="s">
        <v>179</v>
      </c>
      <c r="D217" t="s">
        <v>179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7079.2272378551706</v>
      </c>
    </row>
    <row r="218" spans="1:9" x14ac:dyDescent="0.25">
      <c r="A218" t="s">
        <v>24</v>
      </c>
      <c r="B218" t="s">
        <v>179</v>
      </c>
      <c r="D218" t="s">
        <v>179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707.92272378551706</v>
      </c>
    </row>
    <row r="219" spans="1:9" x14ac:dyDescent="0.25">
      <c r="A219" t="s">
        <v>24</v>
      </c>
      <c r="B219" t="s">
        <v>180</v>
      </c>
      <c r="D219" t="s">
        <v>180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7079.2272378551706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4635.3974309211899</v>
      </c>
    </row>
    <row r="220" spans="1:9" x14ac:dyDescent="0.25">
      <c r="A220" t="s">
        <v>24</v>
      </c>
      <c r="B220" t="s">
        <v>180</v>
      </c>
      <c r="D220" t="s">
        <v>180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707.92272378551706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4635.3974309211899</v>
      </c>
    </row>
    <row r="221" spans="1:9" x14ac:dyDescent="0.25">
      <c r="A221" t="s">
        <v>24</v>
      </c>
      <c r="B221" t="s">
        <v>180</v>
      </c>
      <c r="D221" t="s">
        <v>180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7079.2272378551706</v>
      </c>
    </row>
    <row r="222" spans="1:9" x14ac:dyDescent="0.25">
      <c r="A222" t="s">
        <v>24</v>
      </c>
      <c r="B222" t="s">
        <v>180</v>
      </c>
      <c r="D222" t="s">
        <v>180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707.92272378551706</v>
      </c>
    </row>
    <row r="223" spans="1:9" x14ac:dyDescent="0.25">
      <c r="A223" t="s">
        <v>24</v>
      </c>
      <c r="B223" t="s">
        <v>181</v>
      </c>
      <c r="D223" t="s">
        <v>181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181</v>
      </c>
      <c r="D224" t="s">
        <v>181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181</v>
      </c>
      <c r="D225" t="s">
        <v>181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181</v>
      </c>
      <c r="D226" t="s">
        <v>181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26" workbookViewId="0">
      <selection activeCell="E341" sqref="E341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319</v>
      </c>
      <c r="G1" t="s">
        <v>224</v>
      </c>
      <c r="I1" s="156" t="s">
        <v>190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97500.435238944279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48022.602431121806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43439.71273733316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28235.813279266553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63313.545971354491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31184.283836637289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112833.22962148272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18335.399813490942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84421.151879638346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41580.567343702467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37612.453499504722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24448.094774678073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55237.148778432362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27206.356861018925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98440.006733673188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15996.501094221892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0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7477117.2552370103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6439814.3688225495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5172.4902040381994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1974779.4199139304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420706.10687194945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1333532.0474481385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1538704.1181694835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428758.06783893198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5772916.7070318246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5094162.6010199301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6892.4253779859373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3249666.458578188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330372.74489675317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1166509.8508162934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1268345.8654431151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550329.17750715138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427250.44238658639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1083412.7196692515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457703.4296424397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434.12519359476988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1671161.6426352733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179293.89312805064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179079.28085797431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188421.86299933988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371241.93216106802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836478.97665490792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362062.56269299635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578.47871789484259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2796827.8828343488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169627.25510324695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155466.12589261169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154257.44090199118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199670.8224928487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372749.55761341366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5879215.2019956242</v>
      </c>
      <c r="G188" s="317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773085.89354292618</v>
      </c>
      <c r="R189" s="98">
        <f>-SUMIFS('Resultater - Vestdanmark'!H$3:H$482,'Resultater - Vestdanmark'!$F$3:$F$482,"Foder",'Resultater - Vestdanmark'!$A$3:$A$482,"&lt;&gt;Foderproduktion")</f>
        <v>13228458157.530001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0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64498.47547519199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841167.61765562883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5657053.7864699634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214099.10609126228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0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0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12237689.9092583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1515714.1736670118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0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0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39415.735012617326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4828427.5390456235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4738960.0403951732</v>
      </c>
      <c r="G203" s="317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561023.48468616733</v>
      </c>
      <c r="G204" s="317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0</v>
      </c>
      <c r="G205" s="317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49206.445220713846</v>
      </c>
      <c r="G206" s="317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700073.51609470148</v>
      </c>
      <c r="G207" s="317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4627957.3505216967</v>
      </c>
      <c r="G208" s="317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158593.80217920942</v>
      </c>
      <c r="G209" s="317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0</v>
      </c>
      <c r="G210" s="317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0</v>
      </c>
      <c r="G211" s="317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9936191.571616387</v>
      </c>
      <c r="G212" s="317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1106692.197418018</v>
      </c>
      <c r="G213" s="317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1757373.0435969227</v>
      </c>
      <c r="G214" s="317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849034.84571740788</v>
      </c>
      <c r="G215" s="317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38768.714416319999</v>
      </c>
      <c r="G216" s="317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0</v>
      </c>
      <c r="G217" s="317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3027382.7402155618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358397.79190306552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0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31434.479653499999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447226.91507024999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2956471.058206012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101314.24095790923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0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0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6347522.3700933373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706986.51785111031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1122659.9876249996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542387.65802129998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24766.559727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0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721621.60770550335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94889.448034412548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0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7916.616753740097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103245.87683002709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694353.2611092875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26278.769501998373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0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0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1502068.0760117143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186040.49371289223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0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0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4837.9324606189475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592646.72642582108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580308.89041419514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68700.076202243421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0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6025.5704593107703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85727.434262012321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566716.06683172472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19420.588606927966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0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0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1216735.3716252823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135519.88529959068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215198.9449753846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103968.47937974401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4747.4191497600004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0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368193.1930872486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43588.683268641777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0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3823.0915711153852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54392.166443596157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359568.84629440639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12321.935177858404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0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0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771991.75994211878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85984.378525822089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136538.9846826923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65965.707290699997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3012.1327530000003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0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71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Vestdanmark'!H$3:H$1000,'Resultater - Østdanmark'!H$3:H$1000),IF(D278=År2,IF(B278="Vestdanmark",'Resultater - Vestdanmark'!I$3:I$1000,'Resultater - Østdanmark'!I$3:I$1000),IF(B278="Vestdanmark",'Resultater - Vestdanmark'!J$3:J$1000,'Resultater - Østdanmark'!J$3:J$1000))),'Resultater - Vestdanmark'!$F$3:$F$1000,C278))</f>
        <v>1159590.3134327475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 s="171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Vestdanmark'!H$3:H$1000,'Resultater - Østdanmark'!H$3:H$1000),IF(D279=År2,IF(B279="Vestdanmark",'Resultater - Vestdanmark'!I$3:I$1000,'Resultater - Østdanmark'!I$3:I$1000),IF(B279="Vestdanmark",'Resultater - Vestdanmark'!J$3:J$1000,'Resultater - Østdanmark'!J$3:J$1000))),'Resultater - Vestdanmark'!$F$3:$F$1000,C279))</f>
        <v>80676.325166481722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71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Vestdanmark'!H$3:H$1000,'Resultater - Østdanmark'!H$3:H$1000),IF(D280=År2,IF(B280="Vestdanmark",'Resultater - Vestdanmark'!I$3:I$1000,'Resultater - Østdanmark'!I$3:I$1000),IF(B280="Vestdanmark",'Resultater - Vestdanmark'!J$3:J$1000,'Resultater - Østdanmark'!J$3:J$1000))),'Resultater - Vestdanmark'!$F$3:$F$1000,C280))</f>
        <v>172205.06744997756</v>
      </c>
      <c r="F280" s="171">
        <v>1</v>
      </c>
    </row>
    <row r="281" spans="1:7" x14ac:dyDescent="0.25">
      <c r="A281" t="s">
        <v>121</v>
      </c>
      <c r="B281" t="s">
        <v>23</v>
      </c>
      <c r="C281" t="s">
        <v>120</v>
      </c>
      <c r="D281">
        <f t="shared" si="20"/>
        <v>2019</v>
      </c>
      <c r="E281" s="171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Vestdanmark'!H$3:H$1000,'Resultater - Østdanmark'!H$3:H$1000),IF(D281=År2,IF(B281="Vestdanmark",'Resultater - Vestdanmark'!I$3:I$1000,'Resultater - Østdanmark'!I$3:I$1000),IF(B281="Vestdanmark",'Resultater - Vestdanmark'!J$3:J$1000,'Resultater - Østdanmark'!J$3:J$1000))),'Resultater - Vestdanmark'!$F$3:$F$1000,C281))</f>
        <v>2328635.6388303456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71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Vestdanmark'!H$3:H$1000,'Resultater - Østdanmark'!H$3:H$1000),IF(D282=År2,IF(B282="Vestdanmark",'Resultater - Vestdanmark'!I$3:I$1000,'Resultater - Østdanmark'!I$3:I$1000),IF(B282="Vestdanmark",'Resultater - Vestdanmark'!J$3:J$1000,'Resultater - Østdanmark'!J$3:J$1000))),'Resultater - Vestdanmark'!$F$3:$F$1000,C282))</f>
        <v>530420.38785042788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andet'!A13</f>
        <v>Bioaffald</v>
      </c>
      <c r="D283">
        <f t="shared" si="20"/>
        <v>2019</v>
      </c>
      <c r="E283" s="171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Vestdanmark'!H$3:H$1000,'Resultater - Østdanmark'!H$3:H$1000),IF(D283=År2,IF(B283="Vestdanmark",'Resultater - Vestdanmark'!I$3:I$1000,'Resultater - Østdanmark'!I$3:I$1000),IF(B283="Vestdanmark",'Resultater - Vestdanmark'!J$3:J$1000,'Resultater - Østdanmark'!J$3:J$1000))),'Resultater - Vestdanmark'!$F$3:$F$1000,C283))</f>
        <v>0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71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Vestdanmark'!H$3:H$1000,'Resultater - Østdanmark'!H$3:H$1000),IF(D284=År2,IF(B284="Vestdanmark",'Resultater - Vestdanmark'!I$3:I$1000,'Resultater - Østdanmark'!I$3:I$1000),IF(B284="Vestdanmark",'Resultater - Vestdanmark'!J$3:J$1000,'Resultater - Østdanmark'!J$3:J$1000))),'Resultater - Vestdanmark'!$F$3:$F$1000,C284))</f>
        <v>0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 s="171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Vestdanmark'!H$3:H$1000,'Resultater - Østdanmark'!H$3:H$1000),IF(D285=År2,IF(B285="Vestdanmark",'Resultater - Vestdanmark'!I$3:I$1000,'Resultater - Østdanmark'!I$3:I$1000),IF(B285="Vestdanmark",'Resultater - Vestdanmark'!J$3:J$1000,'Resultater - Østdanmark'!J$3:J$1000))),'Resultater - Vestdanmark'!$F$3:$F$1000,C285))</f>
        <v>74470.453999829275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 s="171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Vestdanmark'!H$3:H$1000,'Resultater - Østdanmark'!H$3:H$1000),IF(D286=År2,IF(B286="Vestdanmark",'Resultater - Vestdanmark'!I$3:I$1000,'Resultater - Østdanmark'!I$3:I$1000),IF(B286="Vestdanmark",'Resultater - Vestdanmark'!J$3:J$1000,'Resultater - Østdanmark'!J$3:J$1000))),'Resultater - Vestdanmark'!$F$3:$F$1000,C286))</f>
        <v>0</v>
      </c>
      <c r="F286" s="171">
        <v>1</v>
      </c>
      <c r="G286" s="171">
        <v>1</v>
      </c>
    </row>
    <row r="287" spans="1:7" s="171" customFormat="1" x14ac:dyDescent="0.25">
      <c r="A287" s="171" t="s">
        <v>165</v>
      </c>
      <c r="B287" s="171" t="s">
        <v>23</v>
      </c>
      <c r="C287" s="171" t="s">
        <v>119</v>
      </c>
      <c r="D287" s="171">
        <f t="shared" si="20"/>
        <v>2019</v>
      </c>
      <c r="E287" s="171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Vestdanmark'!H$3:H$1000,'Resultater - Østdanmark'!H$3:H$1000),IF(D287=År2,IF(B287="Vestdanmark",'Resultater - Vestdanmark'!I$3:I$1000,'Resultater - Østdanmark'!I$3:I$1000),IF(B287="Vestdanmark",'Resultater - Vestdanmark'!J$3:J$1000,'Resultater - Østdanmark'!J$3:J$1000))),'Resultater - Vestdanmark'!$F$3:$F$1000,C287))</f>
        <v>640280.13059892249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>C282</f>
        <v>Have/parkaffald</v>
      </c>
      <c r="D288">
        <f t="shared" si="20"/>
        <v>2019</v>
      </c>
      <c r="E288" s="171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Vestdanmark'!H$3:H$1000,'Resultater - Østdanmark'!H$3:H$1000),IF(D288=År2,IF(B288="Vestdanmark",'Resultater - Vestdanmark'!I$3:I$1000,'Resultater - Østdanmark'!I$3:I$1000),IF(B288="Vestdanmark",'Resultater - Vestdanmark'!J$3:J$1000,'Resultater - Østdanmark'!J$3:J$1000))),'Resultater - Vestdanmark'!$F$3:$F$1000,C288))</f>
        <v>0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>C283</f>
        <v>Bioaffald</v>
      </c>
      <c r="D289">
        <f t="shared" si="20"/>
        <v>2019</v>
      </c>
      <c r="E289" s="171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Vestdanmark'!H$3:H$1000,'Resultater - Østdanmark'!H$3:H$1000),IF(D289=År2,IF(B289="Vestdanmark",'Resultater - Vestdanmark'!I$3:I$1000,'Resultater - Østdanmark'!I$3:I$1000),IF(B289="Vestdanmark",'Resultater - Vestdanmark'!J$3:J$1000,'Resultater - Østdanmark'!J$3:J$1000))),'Resultater - Vestdanmark'!$F$3:$F$1000,C289))</f>
        <v>0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>C278</f>
        <v>Halm</v>
      </c>
      <c r="D290">
        <f t="shared" si="20"/>
        <v>2019</v>
      </c>
      <c r="E290" s="171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Vestdanmark'!H$3:H$1000,'Resultater - Østdanmark'!H$3:H$1000),IF(D290=År2,IF(B290="Vestdanmark",'Resultater - Vestdanmark'!I$3:I$1000,'Resultater - Østdanmark'!I$3:I$1000),IF(B290="Vestdanmark",'Resultater - Vestdanmark'!J$3:J$1000,'Resultater - Østdanmark'!J$3:J$1000))),'Resultater - Vestdanmark'!$F$3:$F$1000,C290))</f>
        <v>734174.89910281403</v>
      </c>
      <c r="F290" s="171">
        <v>1</v>
      </c>
    </row>
    <row r="291" spans="1:7" x14ac:dyDescent="0.25">
      <c r="A291" t="s">
        <v>121</v>
      </c>
      <c r="B291" t="s">
        <v>24</v>
      </c>
      <c r="C291" s="171" t="str">
        <f t="shared" ref="C291:C349" si="22">C279</f>
        <v>Rapsolie</v>
      </c>
      <c r="D291">
        <f t="shared" si="20"/>
        <v>2019</v>
      </c>
      <c r="E291" s="17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Vestdanmark'!H$3:H$1000,'Resultater - Østdanmark'!H$3:H$1000),IF(D291=År2,IF(B291="Vestdanmark",'Resultater - Vestdanmark'!I$3:I$1000,'Resultater - Østdanmark'!I$3:I$1000),IF(B291="Vestdanmark",'Resultater - Vestdanmark'!J$3:J$1000,'Resultater - Østdanmark'!J$3:J$1000))),'Resultater - Vestdanmark'!$F$3:$F$1000,C291))</f>
        <v>32210.735628649098</v>
      </c>
      <c r="F291" s="171">
        <v>1</v>
      </c>
    </row>
    <row r="292" spans="1:7" x14ac:dyDescent="0.25">
      <c r="A292" t="s">
        <v>121</v>
      </c>
      <c r="B292" t="s">
        <v>24</v>
      </c>
      <c r="C292" s="171" t="str">
        <f t="shared" si="22"/>
        <v>Pil &amp; poppel</v>
      </c>
      <c r="D292">
        <f t="shared" si="20"/>
        <v>2019</v>
      </c>
      <c r="E292" s="171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Vestdanmark'!H$3:H$1000,'Resultater - Østdanmark'!H$3:H$1000),IF(D292=År2,IF(B292="Vestdanmark",'Resultater - Vestdanmark'!I$3:I$1000,'Resultater - Østdanmark'!I$3:I$1000),IF(B292="Vestdanmark",'Resultater - Vestdanmark'!J$3:J$1000,'Resultater - Østdanmark'!J$3:J$1000))),'Resultater - Vestdanmark'!$F$3:$F$1000,C292))</f>
        <v>37577.319945022478</v>
      </c>
      <c r="F292" s="171">
        <v>1</v>
      </c>
    </row>
    <row r="293" spans="1:7" x14ac:dyDescent="0.25">
      <c r="A293" t="s">
        <v>121</v>
      </c>
      <c r="B293" t="s">
        <v>24</v>
      </c>
      <c r="C293" s="171" t="str">
        <f t="shared" si="22"/>
        <v>Træ til energi</v>
      </c>
      <c r="D293">
        <f t="shared" si="20"/>
        <v>2019</v>
      </c>
      <c r="E293" s="171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Vestdanmark'!H$3:H$1000,'Resultater - Østdanmark'!H$3:H$1000),IF(D293=År2,IF(B293="Vestdanmark",'Resultater - Vestdanmark'!I$3:I$1000,'Resultater - Østdanmark'!I$3:I$1000),IF(B293="Vestdanmark",'Resultater - Vestdanmark'!J$3:J$1000,'Resultater - Østdanmark'!J$3:J$1000))),'Resultater - Vestdanmark'!$F$3:$F$1000,C293))</f>
        <v>681602.85349434032</v>
      </c>
      <c r="F293" s="171">
        <v>1</v>
      </c>
    </row>
    <row r="294" spans="1:7" x14ac:dyDescent="0.25">
      <c r="A294" t="s">
        <v>121</v>
      </c>
      <c r="B294" t="s">
        <v>24</v>
      </c>
      <c r="C294" s="171" t="str">
        <f t="shared" si="22"/>
        <v>Have/parkaffald</v>
      </c>
      <c r="D294">
        <f t="shared" si="20"/>
        <v>2019</v>
      </c>
      <c r="E294" s="171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Vestdanmark'!H$3:H$1000,'Resultater - Østdanmark'!H$3:H$1000),IF(D294=År2,IF(B294="Vestdanmark",'Resultater - Vestdanmark'!I$3:I$1000,'Resultater - Østdanmark'!I$3:I$1000),IF(B294="Vestdanmark",'Resultater - Vestdanmark'!J$3:J$1000,'Resultater - Østdanmark'!J$3:J$1000))),'Resultater - Vestdanmark'!$F$3:$F$1000,C294))</f>
        <v>452310.61214957217</v>
      </c>
      <c r="F294" s="171">
        <v>1</v>
      </c>
    </row>
    <row r="295" spans="1:7" x14ac:dyDescent="0.25">
      <c r="A295" t="s">
        <v>121</v>
      </c>
      <c r="B295" t="s">
        <v>24</v>
      </c>
      <c r="C295" s="171" t="str">
        <f t="shared" si="22"/>
        <v>Bioaffald</v>
      </c>
      <c r="D295">
        <f t="shared" si="20"/>
        <v>2019</v>
      </c>
      <c r="E295" s="171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Vestdanmark'!H$3:H$1000,'Resultater - Østdanmark'!H$3:H$1000),IF(D295=År2,IF(B295="Vestdanmark",'Resultater - Vestdanmark'!I$3:I$1000,'Resultater - Østdanmark'!I$3:I$1000),IF(B295="Vestdanmark",'Resultater - Vestdanmark'!J$3:J$1000,'Resultater - Østdanmark'!J$3:J$1000))),'Resultater - Vestdanmark'!$F$3:$F$1000,C295))</f>
        <v>0</v>
      </c>
      <c r="F295" s="171">
        <v>1</v>
      </c>
    </row>
    <row r="296" spans="1:7" x14ac:dyDescent="0.25">
      <c r="A296" t="s">
        <v>165</v>
      </c>
      <c r="B296" t="s">
        <v>24</v>
      </c>
      <c r="C296" s="171" t="str">
        <f t="shared" si="22"/>
        <v>Halm</v>
      </c>
      <c r="D296">
        <f t="shared" si="20"/>
        <v>2019</v>
      </c>
      <c r="E296" s="171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Vestdanmark'!H$3:H$1000,'Resultater - Østdanmark'!H$3:H$1000),IF(D296=År2,IF(B296="Vestdanmark",'Resultater - Vestdanmark'!I$3:I$1000,'Resultater - Østdanmark'!I$3:I$1000),IF(B296="Vestdanmark",'Resultater - Vestdanmark'!J$3:J$1000,'Resultater - Østdanmark'!J$3:J$1000))),'Resultater - Vestdanmark'!$F$3:$F$1000,C296))</f>
        <v>0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s="171" t="str">
        <f t="shared" si="22"/>
        <v>Rapsolie</v>
      </c>
      <c r="D297">
        <f t="shared" si="20"/>
        <v>2019</v>
      </c>
      <c r="E297" s="171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Vestdanmark'!H$3:H$1000,'Resultater - Østdanmark'!H$3:H$1000),IF(D297=År2,IF(B297="Vestdanmark",'Resultater - Vestdanmark'!I$3:I$1000,'Resultater - Østdanmark'!I$3:I$1000),IF(B297="Vestdanmark",'Resultater - Vestdanmark'!J$3:J$1000,'Resultater - Østdanmark'!J$3:J$1000))),'Resultater - Vestdanmark'!$F$3:$F$1000,C297))</f>
        <v>29732.986734137623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s="171" t="str">
        <f t="shared" si="22"/>
        <v>Pil &amp; poppel</v>
      </c>
      <c r="D298">
        <f t="shared" si="20"/>
        <v>2019</v>
      </c>
      <c r="E298" s="171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Vestdanmark'!H$3:H$1000,'Resultater - Østdanmark'!H$3:H$1000),IF(D298=År2,IF(B298="Vestdanmark",'Resultater - Vestdanmark'!I$3:I$1000,'Resultater - Østdanmark'!I$3:I$1000),IF(B298="Vestdanmark",'Resultater - Vestdanmark'!J$3:J$1000,'Resultater - Østdanmark'!J$3:J$1000))),'Resultater - Vestdanmark'!$F$3:$F$1000,C298))</f>
        <v>0</v>
      </c>
      <c r="F298" s="171">
        <v>1</v>
      </c>
      <c r="G298" s="171">
        <v>1</v>
      </c>
    </row>
    <row r="299" spans="1:7" s="171" customFormat="1" x14ac:dyDescent="0.25">
      <c r="A299" s="171" t="s">
        <v>165</v>
      </c>
      <c r="B299" s="171" t="s">
        <v>24</v>
      </c>
      <c r="C299" s="171" t="str">
        <f t="shared" si="22"/>
        <v>Træmaterialer</v>
      </c>
      <c r="D299" s="171">
        <f t="shared" si="20"/>
        <v>2019</v>
      </c>
      <c r="E299" s="171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Vestdanmark'!H$3:H$1000,'Resultater - Østdanmark'!H$3:H$1000),IF(D299=År2,IF(B299="Vestdanmark",'Resultater - Vestdanmark'!I$3:I$1000,'Resultater - Østdanmark'!I$3:I$1000),IF(B299="Vestdanmark",'Resultater - Vestdanmark'!J$3:J$1000,'Resultater - Østdanmark'!J$3:J$1000))),'Resultater - Vestdanmark'!$F$3:$F$1000,C299))</f>
        <v>187413.07432328182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s="171" t="str">
        <f t="shared" si="22"/>
        <v>Have/parkaffald</v>
      </c>
      <c r="D300">
        <f t="shared" si="20"/>
        <v>2019</v>
      </c>
      <c r="E300" s="171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Vestdanmark'!H$3:H$1000,'Resultater - Østdanmark'!H$3:H$1000),IF(D300=År2,IF(B300="Vestdanmark",'Resultater - Vestdanmark'!I$3:I$1000,'Resultater - Østdanmark'!I$3:I$1000),IF(B300="Vestdanmark",'Resultater - Vestdanmark'!J$3:J$1000,'Resultater - Østdanmark'!J$3:J$1000))),'Resultater - Vestdanmark'!$F$3:$F$1000,C300))</f>
        <v>0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s="171" t="str">
        <f t="shared" si="22"/>
        <v>Bioaffald</v>
      </c>
      <c r="D301">
        <f t="shared" si="20"/>
        <v>2019</v>
      </c>
      <c r="E301" s="17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Vestdanmark'!H$3:H$1000,'Resultater - Østdanmark'!H$3:H$1000),IF(D301=År2,IF(B301="Vestdanmark",'Resultater - Vestdanmark'!I$3:I$1000,'Resultater - Østdanmark'!I$3:I$1000),IF(B301="Vestdanmark",'Resultater - Vestdanmark'!J$3:J$1000,'Resultater - Østdanmark'!J$3:J$1000))),'Resultater - Vestdanmark'!$F$3:$F$1000,C301))</f>
        <v>0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s="171" t="str">
        <f>C290</f>
        <v>Halm</v>
      </c>
      <c r="D302">
        <f t="shared" ref="D302:D325" si="23">År2</f>
        <v>2030</v>
      </c>
      <c r="E302" s="171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Vestdanmark'!H$3:H$1000,'Resultater - Østdanmark'!H$3:H$1000),IF(D302=År2,IF(B302="Vestdanmark",'Resultater - Vestdanmark'!I$3:I$1000,'Resultater - Østdanmark'!I$3:I$1000),IF(B302="Vestdanmark",'Resultater - Vestdanmark'!J$3:J$1000,'Resultater - Østdanmark'!J$3:J$1000))),'Resultater - Vestdanmark'!$F$3:$F$1000,C302))</f>
        <v>694779.36433719518</v>
      </c>
      <c r="F302" s="171">
        <v>1</v>
      </c>
    </row>
    <row r="303" spans="1:7" x14ac:dyDescent="0.25">
      <c r="A303" t="s">
        <v>121</v>
      </c>
      <c r="B303" t="s">
        <v>23</v>
      </c>
      <c r="C303" s="171" t="str">
        <f t="shared" si="22"/>
        <v>Rapsolie</v>
      </c>
      <c r="D303">
        <f t="shared" si="23"/>
        <v>2030</v>
      </c>
      <c r="E303" s="171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Vestdanmark'!H$3:H$1000,'Resultater - Østdanmark'!H$3:H$1000),IF(D303=År2,IF(B303="Vestdanmark",'Resultater - Vestdanmark'!I$3:I$1000,'Resultater - Østdanmark'!I$3:I$1000),IF(B303="Vestdanmark",'Resultater - Vestdanmark'!J$3:J$1000,'Resultater - Østdanmark'!J$3:J$1000))),'Resultater - Vestdanmark'!$F$3:$F$1000,C303))</f>
        <v>212472.91959491745</v>
      </c>
      <c r="F303" s="171">
        <v>1</v>
      </c>
    </row>
    <row r="304" spans="1:7" x14ac:dyDescent="0.25">
      <c r="A304" t="s">
        <v>121</v>
      </c>
      <c r="B304" t="s">
        <v>23</v>
      </c>
      <c r="C304" s="171" t="str">
        <f t="shared" si="22"/>
        <v>Pil &amp; poppel</v>
      </c>
      <c r="D304">
        <f t="shared" si="23"/>
        <v>2030</v>
      </c>
      <c r="E304" s="171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Vestdanmark'!H$3:H$1000,'Resultater - Østdanmark'!H$3:H$1000),IF(D304=År2,IF(B304="Vestdanmark",'Resultater - Vestdanmark'!I$3:I$1000,'Resultater - Østdanmark'!I$3:I$1000),IF(B304="Vestdanmark",'Resultater - Vestdanmark'!J$3:J$1000,'Resultater - Østdanmark'!J$3:J$1000))),'Resultater - Vestdanmark'!$F$3:$F$1000,C304))</f>
        <v>134802.2173997864</v>
      </c>
      <c r="F304" s="171">
        <v>1</v>
      </c>
    </row>
    <row r="305" spans="1:7" x14ac:dyDescent="0.25">
      <c r="A305" t="s">
        <v>121</v>
      </c>
      <c r="B305" t="s">
        <v>23</v>
      </c>
      <c r="C305" s="171" t="str">
        <f t="shared" si="22"/>
        <v>Træ til energi</v>
      </c>
      <c r="D305">
        <f t="shared" si="23"/>
        <v>2030</v>
      </c>
      <c r="E305" s="171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Vestdanmark'!H$3:H$1000,'Resultater - Østdanmark'!H$3:H$1000),IF(D305=År2,IF(B305="Vestdanmark",'Resultater - Vestdanmark'!I$3:I$1000,'Resultater - Østdanmark'!I$3:I$1000),IF(B305="Vestdanmark",'Resultater - Vestdanmark'!J$3:J$1000,'Resultater - Østdanmark'!J$3:J$1000))),'Resultater - Vestdanmark'!$F$3:$F$1000,C305))</f>
        <v>2226876.9610476061</v>
      </c>
      <c r="F305" s="171">
        <v>1</v>
      </c>
    </row>
    <row r="306" spans="1:7" x14ac:dyDescent="0.25">
      <c r="A306" t="s">
        <v>121</v>
      </c>
      <c r="B306" t="s">
        <v>23</v>
      </c>
      <c r="C306" s="171" t="str">
        <f t="shared" si="22"/>
        <v>Have/parkaffald</v>
      </c>
      <c r="D306">
        <f t="shared" si="23"/>
        <v>2030</v>
      </c>
      <c r="E306" s="171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Vestdanmark'!H$3:H$1000,'Resultater - Østdanmark'!H$3:H$1000),IF(D306=År2,IF(B306="Vestdanmark",'Resultater - Vestdanmark'!I$3:I$1000,'Resultater - Østdanmark'!I$3:I$1000),IF(B306="Vestdanmark",'Resultater - Vestdanmark'!J$3:J$1000,'Resultater - Østdanmark'!J$3:J$1000))),'Resultater - Vestdanmark'!$F$3:$F$1000,C306))</f>
        <v>97976.042029459204</v>
      </c>
      <c r="F306" s="171">
        <v>1</v>
      </c>
    </row>
    <row r="307" spans="1:7" x14ac:dyDescent="0.25">
      <c r="A307" t="s">
        <v>121</v>
      </c>
      <c r="B307" t="s">
        <v>23</v>
      </c>
      <c r="C307" s="171" t="str">
        <f t="shared" si="22"/>
        <v>Bioaffald</v>
      </c>
      <c r="D307">
        <f t="shared" si="23"/>
        <v>2030</v>
      </c>
      <c r="E307" s="171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Vestdanmark'!H$3:H$1000,'Resultater - Østdanmark'!H$3:H$1000),IF(D307=År2,IF(B307="Vestdanmark",'Resultater - Vestdanmark'!I$3:I$1000,'Resultater - Østdanmark'!I$3:I$1000),IF(B307="Vestdanmark",'Resultater - Vestdanmark'!J$3:J$1000,'Resultater - Østdanmark'!J$3:J$1000))),'Resultater - Vestdanmark'!$F$3:$F$1000,C307))</f>
        <v>0</v>
      </c>
      <c r="F307" s="171">
        <v>1</v>
      </c>
    </row>
    <row r="308" spans="1:7" x14ac:dyDescent="0.25">
      <c r="A308" t="s">
        <v>165</v>
      </c>
      <c r="B308" t="s">
        <v>23</v>
      </c>
      <c r="C308" s="171" t="str">
        <f t="shared" si="22"/>
        <v>Halm</v>
      </c>
      <c r="D308">
        <f t="shared" si="23"/>
        <v>2030</v>
      </c>
      <c r="E308" s="171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Vestdanmark'!H$3:H$1000,'Resultater - Østdanmark'!H$3:H$1000),IF(D308=År2,IF(B308="Vestdanmark",'Resultater - Vestdanmark'!I$3:I$1000,'Resultater - Østdanmark'!I$3:I$1000),IF(B308="Vestdanmark",'Resultater - Vestdanmark'!J$3:J$1000,'Resultater - Østdanmark'!J$3:J$1000))),'Resultater - Vestdanmark'!$F$3:$F$1000,C308))</f>
        <v>0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s="171" t="str">
        <f t="shared" si="22"/>
        <v>Rapsolie</v>
      </c>
      <c r="D309">
        <f t="shared" si="23"/>
        <v>2030</v>
      </c>
      <c r="E309" s="171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Vestdanmark'!H$3:H$1000,'Resultater - Østdanmark'!H$3:H$1000),IF(D309=År2,IF(B309="Vestdanmark",'Resultater - Vestdanmark'!I$3:I$1000,'Resultater - Østdanmark'!I$3:I$1000),IF(B309="Vestdanmark",'Resultater - Vestdanmark'!J$3:J$1000,'Resultater - Østdanmark'!J$3:J$1000))),'Resultater - Vestdanmark'!$F$3:$F$1000,C309))</f>
        <v>0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s="171" t="str">
        <f t="shared" si="22"/>
        <v>Pil &amp; poppel</v>
      </c>
      <c r="D310">
        <f t="shared" si="23"/>
        <v>2030</v>
      </c>
      <c r="E310" s="171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Vestdanmark'!H$3:H$1000,'Resultater - Østdanmark'!H$3:H$1000),IF(D310=År2,IF(B310="Vestdanmark",'Resultater - Vestdanmark'!I$3:I$1000,'Resultater - Østdanmark'!I$3:I$1000),IF(B310="Vestdanmark",'Resultater - Vestdanmark'!J$3:J$1000,'Resultater - Østdanmark'!J$3:J$1000))),'Resultater - Vestdanmark'!$F$3:$F$1000,C310))</f>
        <v>0</v>
      </c>
      <c r="F310" s="171">
        <v>1</v>
      </c>
      <c r="G310" s="171">
        <v>1</v>
      </c>
    </row>
    <row r="311" spans="1:7" s="171" customFormat="1" x14ac:dyDescent="0.25">
      <c r="A311" s="171" t="s">
        <v>165</v>
      </c>
      <c r="B311" s="171" t="s">
        <v>23</v>
      </c>
      <c r="C311" s="171" t="str">
        <f t="shared" si="22"/>
        <v>Træmaterialer</v>
      </c>
      <c r="D311" s="171">
        <f t="shared" si="23"/>
        <v>2030</v>
      </c>
      <c r="E311" s="171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Vestdanmark'!H$3:H$1000,'Resultater - Østdanmark'!H$3:H$1000),IF(D311=År2,IF(B311="Vestdanmark",'Resultater - Vestdanmark'!I$3:I$1000,'Resultater - Østdanmark'!I$3:I$1000),IF(B311="Vestdanmark",'Resultater - Vestdanmark'!J$3:J$1000,'Resultater - Østdanmark'!J$3:J$1000))),'Resultater - Vestdanmark'!$F$3:$F$1000,C311))</f>
        <v>613716.58108207851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s="171" t="str">
        <f t="shared" si="22"/>
        <v>Have/parkaffald</v>
      </c>
      <c r="D312">
        <f t="shared" si="23"/>
        <v>2030</v>
      </c>
      <c r="E312" s="171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Vestdanmark'!H$3:H$1000,'Resultater - Østdanmark'!H$3:H$1000),IF(D312=År2,IF(B312="Vestdanmark",'Resultater - Vestdanmark'!I$3:I$1000,'Resultater - Østdanmark'!I$3:I$1000),IF(B312="Vestdanmark",'Resultater - Vestdanmark'!J$3:J$1000,'Resultater - Østdanmark'!J$3:J$1000))),'Resultater - Vestdanmark'!$F$3:$F$1000,C312))</f>
        <v>0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s="171" t="str">
        <f t="shared" si="22"/>
        <v>Bioaffald</v>
      </c>
      <c r="D313">
        <f t="shared" si="23"/>
        <v>2030</v>
      </c>
      <c r="E313" s="171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Vestdanmark'!H$3:H$1000,'Resultater - Østdanmark'!H$3:H$1000),IF(D313=År2,IF(B313="Vestdanmark",'Resultater - Vestdanmark'!I$3:I$1000,'Resultater - Østdanmark'!I$3:I$1000),IF(B313="Vestdanmark",'Resultater - Vestdanmark'!J$3:J$1000,'Resultater - Østdanmark'!J$3:J$1000))),'Resultater - Vestdanmark'!$F$3:$F$1000,C313))</f>
        <v>0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s="171" t="str">
        <f>C302</f>
        <v>Halm</v>
      </c>
      <c r="D314">
        <f t="shared" si="23"/>
        <v>2030</v>
      </c>
      <c r="E314" s="171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Vestdanmark'!H$3:H$1000,'Resultater - Østdanmark'!H$3:H$1000),IF(D314=År2,IF(B314="Vestdanmark",'Resultater - Vestdanmark'!I$3:I$1000,'Resultater - Østdanmark'!I$3:I$1000),IF(B314="Vestdanmark",'Resultater - Vestdanmark'!J$3:J$1000,'Resultater - Østdanmark'!J$3:J$1000))),'Resultater - Vestdanmark'!$F$3:$F$1000,C314))</f>
        <v>388995.48453602241</v>
      </c>
      <c r="F314" s="171">
        <v>1</v>
      </c>
    </row>
    <row r="315" spans="1:7" x14ac:dyDescent="0.25">
      <c r="A315" t="s">
        <v>121</v>
      </c>
      <c r="B315" t="s">
        <v>24</v>
      </c>
      <c r="C315" s="171" t="str">
        <f t="shared" si="22"/>
        <v>Rapsolie</v>
      </c>
      <c r="D315">
        <f t="shared" si="23"/>
        <v>2030</v>
      </c>
      <c r="E315" s="171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Vestdanmark'!H$3:H$1000,'Resultater - Østdanmark'!H$3:H$1000),IF(D315=År2,IF(B315="Vestdanmark",'Resultater - Vestdanmark'!I$3:I$1000,'Resultater - Østdanmark'!I$3:I$1000),IF(B315="Vestdanmark",'Resultater - Vestdanmark'!J$3:J$1000,'Resultater - Østdanmark'!J$3:J$1000))),'Resultater - Vestdanmark'!$F$3:$F$1000,C315))</f>
        <v>68643.431730543147</v>
      </c>
      <c r="F315" s="171">
        <v>1</v>
      </c>
    </row>
    <row r="316" spans="1:7" x14ac:dyDescent="0.25">
      <c r="A316" t="s">
        <v>121</v>
      </c>
      <c r="B316" t="s">
        <v>24</v>
      </c>
      <c r="C316" s="171" t="str">
        <f t="shared" si="22"/>
        <v>Pil &amp; poppel</v>
      </c>
      <c r="D316">
        <f t="shared" si="23"/>
        <v>2030</v>
      </c>
      <c r="E316" s="171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Vestdanmark'!H$3:H$1000,'Resultater - Østdanmark'!H$3:H$1000),IF(D316=År2,IF(B316="Vestdanmark",'Resultater - Vestdanmark'!I$3:I$1000,'Resultater - Østdanmark'!I$3:I$1000),IF(B316="Vestdanmark",'Resultater - Vestdanmark'!J$3:J$1000,'Resultater - Østdanmark'!J$3:J$1000))),'Resultater - Vestdanmark'!$F$3:$F$1000,C316))</f>
        <v>39848.41282272341</v>
      </c>
      <c r="F316" s="171">
        <v>1</v>
      </c>
    </row>
    <row r="317" spans="1:7" x14ac:dyDescent="0.25">
      <c r="A317" t="s">
        <v>121</v>
      </c>
      <c r="B317" t="s">
        <v>24</v>
      </c>
      <c r="C317" s="171" t="str">
        <f t="shared" si="22"/>
        <v>Træ til energi</v>
      </c>
      <c r="D317">
        <f t="shared" si="23"/>
        <v>2030</v>
      </c>
      <c r="E317" s="171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Vestdanmark'!H$3:H$1000,'Resultater - Østdanmark'!H$3:H$1000),IF(D317=År2,IF(B317="Vestdanmark",'Resultater - Vestdanmark'!I$3:I$1000,'Resultater - Østdanmark'!I$3:I$1000),IF(B317="Vestdanmark",'Resultater - Vestdanmark'!J$3:J$1000,'Resultater - Østdanmark'!J$3:J$1000))),'Resultater - Vestdanmark'!$F$3:$F$1000,C317))</f>
        <v>647935.48316961934</v>
      </c>
      <c r="F317" s="171">
        <v>1</v>
      </c>
    </row>
    <row r="318" spans="1:7" x14ac:dyDescent="0.25">
      <c r="A318" t="s">
        <v>121</v>
      </c>
      <c r="B318" t="s">
        <v>24</v>
      </c>
      <c r="C318" s="171" t="str">
        <f t="shared" si="22"/>
        <v>Have/parkaffald</v>
      </c>
      <c r="D318">
        <f t="shared" si="23"/>
        <v>2030</v>
      </c>
      <c r="E318" s="171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Vestdanmark'!H$3:H$1000,'Resultater - Østdanmark'!H$3:H$1000),IF(D318=År2,IF(B318="Vestdanmark",'Resultater - Vestdanmark'!I$3:I$1000,'Resultater - Østdanmark'!I$3:I$1000),IF(B318="Vestdanmark",'Resultater - Vestdanmark'!J$3:J$1000,'Resultater - Østdanmark'!J$3:J$1000))),'Resultater - Vestdanmark'!$F$3:$F$1000,C318))</f>
        <v>84832.957970540854</v>
      </c>
      <c r="F318" s="171">
        <v>1</v>
      </c>
    </row>
    <row r="319" spans="1:7" x14ac:dyDescent="0.25">
      <c r="A319" t="s">
        <v>121</v>
      </c>
      <c r="B319" t="s">
        <v>24</v>
      </c>
      <c r="C319" s="171" t="str">
        <f t="shared" si="22"/>
        <v>Bioaffald</v>
      </c>
      <c r="D319">
        <f t="shared" si="23"/>
        <v>2030</v>
      </c>
      <c r="E319" s="171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Vestdanmark'!H$3:H$1000,'Resultater - Østdanmark'!H$3:H$1000),IF(D319=År2,IF(B319="Vestdanmark",'Resultater - Vestdanmark'!I$3:I$1000,'Resultater - Østdanmark'!I$3:I$1000),IF(B319="Vestdanmark",'Resultater - Vestdanmark'!J$3:J$1000,'Resultater - Østdanmark'!J$3:J$1000))),'Resultater - Vestdanmark'!$F$3:$F$1000,C319))</f>
        <v>0</v>
      </c>
      <c r="F319" s="171">
        <v>1</v>
      </c>
    </row>
    <row r="320" spans="1:7" x14ac:dyDescent="0.25">
      <c r="A320" t="s">
        <v>165</v>
      </c>
      <c r="B320" t="s">
        <v>24</v>
      </c>
      <c r="C320" s="171" t="str">
        <f t="shared" si="22"/>
        <v>Halm</v>
      </c>
      <c r="D320">
        <f t="shared" si="23"/>
        <v>2030</v>
      </c>
      <c r="E320" s="171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Vestdanmark'!H$3:H$1000,'Resultater - Østdanmark'!H$3:H$1000),IF(D320=År2,IF(B320="Vestdanmark",'Resultater - Vestdanmark'!I$3:I$1000,'Resultater - Østdanmark'!I$3:I$1000),IF(B320="Vestdanmark",'Resultater - Vestdanmark'!J$3:J$1000,'Resultater - Østdanmark'!J$3:J$1000))),'Resultater - Vestdanmark'!$F$3:$F$1000,C320))</f>
        <v>0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s="171" t="str">
        <f t="shared" si="22"/>
        <v>Rapsolie</v>
      </c>
      <c r="D321">
        <f t="shared" si="23"/>
        <v>2030</v>
      </c>
      <c r="E321" s="17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Vestdanmark'!H$3:H$1000,'Resultater - Østdanmark'!H$3:H$1000),IF(D321=År2,IF(B321="Vestdanmark",'Resultater - Vestdanmark'!I$3:I$1000,'Resultater - Østdanmark'!I$3:I$1000),IF(B321="Vestdanmark",'Resultater - Vestdanmark'!J$3:J$1000,'Resultater - Østdanmark'!J$3:J$1000))),'Resultater - Vestdanmark'!$F$3:$F$1000,C321))</f>
        <v>0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s="171" t="str">
        <f t="shared" si="22"/>
        <v>Pil &amp; poppel</v>
      </c>
      <c r="D322">
        <f t="shared" si="23"/>
        <v>2030</v>
      </c>
      <c r="E322" s="171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Vestdanmark'!H$3:H$1000,'Resultater - Østdanmark'!H$3:H$1000),IF(D322=År2,IF(B322="Vestdanmark",'Resultater - Vestdanmark'!I$3:I$1000,'Resultater - Østdanmark'!I$3:I$1000),IF(B322="Vestdanmark",'Resultater - Vestdanmark'!J$3:J$1000,'Resultater - Østdanmark'!J$3:J$1000))),'Resultater - Vestdanmark'!$F$3:$F$1000,C322))</f>
        <v>0</v>
      </c>
      <c r="F322" s="171">
        <v>1</v>
      </c>
      <c r="G322" s="171">
        <v>1</v>
      </c>
    </row>
    <row r="323" spans="1:7" s="171" customFormat="1" x14ac:dyDescent="0.25">
      <c r="A323" s="171" t="s">
        <v>165</v>
      </c>
      <c r="B323" s="171" t="s">
        <v>24</v>
      </c>
      <c r="C323" s="171" t="str">
        <f t="shared" si="22"/>
        <v>Træmaterialer</v>
      </c>
      <c r="D323" s="171">
        <f t="shared" si="23"/>
        <v>2030</v>
      </c>
      <c r="E323" s="171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Vestdanmark'!H$3:H$1000,'Resultater - Østdanmark'!H$3:H$1000),IF(D323=År2,IF(B323="Vestdanmark",'Resultater - Vestdanmark'!I$3:I$1000,'Resultater - Østdanmark'!I$3:I$1000),IF(B323="Vestdanmark",'Resultater - Vestdanmark'!J$3:J$1000,'Resultater - Østdanmark'!J$3:J$1000))),'Resultater - Vestdanmark'!$F$3:$F$1000,C323))</f>
        <v>178333.04788774872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s="171" t="str">
        <f t="shared" si="22"/>
        <v>Have/parkaffald</v>
      </c>
      <c r="D324">
        <f t="shared" si="23"/>
        <v>2030</v>
      </c>
      <c r="E324" s="171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Vestdanmark'!H$3:H$1000,'Resultater - Østdanmark'!H$3:H$1000),IF(D324=År2,IF(B324="Vestdanmark",'Resultater - Vestdanmark'!I$3:I$1000,'Resultater - Østdanmark'!I$3:I$1000),IF(B324="Vestdanmark",'Resultater - Vestdanmark'!J$3:J$1000,'Resultater - Østdanmark'!J$3:J$1000))),'Resultater - Vestdanmark'!$F$3:$F$1000,C324))</f>
        <v>0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s="171" t="str">
        <f t="shared" si="22"/>
        <v>Bioaffald</v>
      </c>
      <c r="D325">
        <f t="shared" si="23"/>
        <v>2030</v>
      </c>
      <c r="E325" s="171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Vestdanmark'!H$3:H$1000,'Resultater - Østdanmark'!H$3:H$1000),IF(D325=År2,IF(B325="Vestdanmark",'Resultater - Vestdanmark'!I$3:I$1000,'Resultater - Østdanmark'!I$3:I$1000),IF(B325="Vestdanmark",'Resultater - Vestdanmark'!J$3:J$1000,'Resultater - Østdanmark'!J$3:J$1000))),'Resultater - Vestdanmark'!$F$3:$F$1000,C325))</f>
        <v>0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s="171" t="str">
        <f>C314</f>
        <v>Halm</v>
      </c>
      <c r="D326">
        <f t="shared" ref="D326:D349" si="24">År3</f>
        <v>2050</v>
      </c>
      <c r="E326" s="171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Vestdanmark'!H$3:H$1000,'Resultater - Østdanmark'!H$3:H$1000),IF(D326=År2,IF(B326="Vestdanmark",'Resultater - Vestdanmark'!I$3:I$1000,'Resultater - Østdanmark'!I$3:I$1000),IF(B326="Vestdanmark",'Resultater - Vestdanmark'!J$3:J$1000,'Resultater - Østdanmark'!J$3:J$1000))),'Resultater - Vestdanmark'!$F$3:$F$1000,C326))</f>
        <v>413997.02302441839</v>
      </c>
      <c r="F326" s="171">
        <v>1</v>
      </c>
    </row>
    <row r="327" spans="1:7" x14ac:dyDescent="0.25">
      <c r="A327" t="s">
        <v>121</v>
      </c>
      <c r="B327" t="s">
        <v>23</v>
      </c>
      <c r="C327" s="171" t="str">
        <f t="shared" si="22"/>
        <v>Rapsolie</v>
      </c>
      <c r="D327">
        <f t="shared" si="24"/>
        <v>2050</v>
      </c>
      <c r="E327" s="171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Vestdanmark'!H$3:H$1000,'Resultater - Østdanmark'!H$3:H$1000),IF(D327=År2,IF(B327="Vestdanmark",'Resultater - Vestdanmark'!I$3:I$1000,'Resultater - Østdanmark'!I$3:I$1000),IF(B327="Vestdanmark",'Resultater - Vestdanmark'!J$3:J$1000,'Resultater - Østdanmark'!J$3:J$1000))),'Resultater - Vestdanmark'!$F$3:$F$1000,C327))</f>
        <v>175163.13579435539</v>
      </c>
      <c r="F327" s="171">
        <v>1</v>
      </c>
    </row>
    <row r="328" spans="1:7" x14ac:dyDescent="0.25">
      <c r="A328" t="s">
        <v>121</v>
      </c>
      <c r="B328" t="s">
        <v>23</v>
      </c>
      <c r="C328" s="171" t="str">
        <f t="shared" si="22"/>
        <v>Pil &amp; poppel</v>
      </c>
      <c r="D328">
        <f t="shared" si="24"/>
        <v>2050</v>
      </c>
      <c r="E328" s="171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Vestdanmark'!H$3:H$1000,'Resultater - Østdanmark'!H$3:H$1000),IF(D328=År2,IF(B328="Vestdanmark",'Resultater - Vestdanmark'!I$3:I$1000,'Resultater - Østdanmark'!I$3:I$1000),IF(B328="Vestdanmark",'Resultater - Vestdanmark'!J$3:J$1000,'Resultater - Østdanmark'!J$3:J$1000))),'Resultater - Vestdanmark'!$F$3:$F$1000,C328))</f>
        <v>97651.319921337825</v>
      </c>
      <c r="F328" s="171">
        <v>1</v>
      </c>
    </row>
    <row r="329" spans="1:7" x14ac:dyDescent="0.25">
      <c r="A329" t="s">
        <v>121</v>
      </c>
      <c r="B329" t="s">
        <v>23</v>
      </c>
      <c r="C329" s="171" t="str">
        <f t="shared" si="22"/>
        <v>Træ til energi</v>
      </c>
      <c r="D329">
        <f t="shared" si="24"/>
        <v>2050</v>
      </c>
      <c r="E329" s="171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Vestdanmark'!H$3:H$1000,'Resultater - Østdanmark'!H$3:H$1000),IF(D329=År2,IF(B329="Vestdanmark",'Resultater - Vestdanmark'!I$3:I$1000,'Resultater - Østdanmark'!I$3:I$1000),IF(B329="Vestdanmark",'Resultater - Vestdanmark'!J$3:J$1000,'Resultater - Østdanmark'!J$3:J$1000))),'Resultater - Vestdanmark'!$F$3:$F$1000,C329))</f>
        <v>2347927.0937342439</v>
      </c>
      <c r="F329" s="171">
        <v>1</v>
      </c>
    </row>
    <row r="330" spans="1:7" x14ac:dyDescent="0.25">
      <c r="A330" t="s">
        <v>121</v>
      </c>
      <c r="B330" t="s">
        <v>23</v>
      </c>
      <c r="C330" s="171" t="str">
        <f t="shared" si="22"/>
        <v>Have/parkaffald</v>
      </c>
      <c r="D330">
        <f t="shared" si="24"/>
        <v>2050</v>
      </c>
      <c r="E330" s="171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Vestdanmark'!H$3:H$1000,'Resultater - Østdanmark'!H$3:H$1000),IF(D330=År2,IF(B330="Vestdanmark",'Resultater - Vestdanmark'!I$3:I$1000,'Resultater - Østdanmark'!I$3:I$1000),IF(B330="Vestdanmark",'Resultater - Vestdanmark'!J$3:J$1000,'Resultater - Østdanmark'!J$3:J$1000))),'Resultater - Vestdanmark'!$F$3:$F$1000,C330))</f>
        <v>97631.532652811788</v>
      </c>
      <c r="F330" s="171">
        <v>1</v>
      </c>
    </row>
    <row r="331" spans="1:7" x14ac:dyDescent="0.25">
      <c r="A331" t="s">
        <v>121</v>
      </c>
      <c r="B331" t="s">
        <v>23</v>
      </c>
      <c r="C331" s="171" t="str">
        <f t="shared" si="22"/>
        <v>Bioaffald</v>
      </c>
      <c r="D331">
        <f t="shared" si="24"/>
        <v>2050</v>
      </c>
      <c r="E331" s="17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Vestdanmark'!H$3:H$1000,'Resultater - Østdanmark'!H$3:H$1000),IF(D331=År2,IF(B331="Vestdanmark",'Resultater - Vestdanmark'!I$3:I$1000,'Resultater - Østdanmark'!I$3:I$1000),IF(B331="Vestdanmark",'Resultater - Vestdanmark'!J$3:J$1000,'Resultater - Østdanmark'!J$3:J$1000))),'Resultater - Vestdanmark'!$F$3:$F$1000,C331))</f>
        <v>0</v>
      </c>
      <c r="F331" s="171">
        <v>1</v>
      </c>
    </row>
    <row r="332" spans="1:7" x14ac:dyDescent="0.25">
      <c r="A332" t="s">
        <v>165</v>
      </c>
      <c r="B332" t="s">
        <v>23</v>
      </c>
      <c r="C332" s="171" t="str">
        <f t="shared" si="22"/>
        <v>Halm</v>
      </c>
      <c r="D332">
        <f t="shared" si="24"/>
        <v>2050</v>
      </c>
      <c r="E332" s="171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Vestdanmark'!H$3:H$1000,'Resultater - Østdanmark'!H$3:H$1000),IF(D332=År2,IF(B332="Vestdanmark",'Resultater - Vestdanmark'!I$3:I$1000,'Resultater - Østdanmark'!I$3:I$1000),IF(B332="Vestdanmark",'Resultater - Vestdanmark'!J$3:J$1000,'Resultater - Østdanmark'!J$3:J$1000))),'Resultater - Vestdanmark'!$F$3:$F$1000,C332))</f>
        <v>0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s="171" t="str">
        <f t="shared" si="22"/>
        <v>Rapsolie</v>
      </c>
      <c r="D333">
        <f t="shared" si="24"/>
        <v>2050</v>
      </c>
      <c r="E333" s="171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Vestdanmark'!H$3:H$1000,'Resultater - Østdanmark'!H$3:H$1000),IF(D333=År2,IF(B333="Vestdanmark",'Resultater - Vestdanmark'!I$3:I$1000,'Resultater - Østdanmark'!I$3:I$1000),IF(B333="Vestdanmark",'Resultater - Vestdanmark'!J$3:J$1000,'Resultater - Østdanmark'!J$3:J$1000))),'Resultater - Vestdanmark'!$F$3:$F$1000,C333))</f>
        <v>0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s="171" t="str">
        <f t="shared" si="22"/>
        <v>Pil &amp; poppel</v>
      </c>
      <c r="D334">
        <f t="shared" si="24"/>
        <v>2050</v>
      </c>
      <c r="E334" s="171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Vestdanmark'!H$3:H$1000,'Resultater - Østdanmark'!H$3:H$1000),IF(D334=År2,IF(B334="Vestdanmark",'Resultater - Vestdanmark'!I$3:I$1000,'Resultater - Østdanmark'!I$3:I$1000),IF(B334="Vestdanmark",'Resultater - Vestdanmark'!J$3:J$1000,'Resultater - Østdanmark'!J$3:J$1000))),'Resultater - Vestdanmark'!$F$3:$F$1000,C334))</f>
        <v>0</v>
      </c>
      <c r="F334" s="171">
        <v>1</v>
      </c>
      <c r="G334" s="171">
        <v>1</v>
      </c>
    </row>
    <row r="335" spans="1:7" s="171" customFormat="1" x14ac:dyDescent="0.25">
      <c r="A335" s="171" t="s">
        <v>165</v>
      </c>
      <c r="B335" s="171" t="s">
        <v>23</v>
      </c>
      <c r="C335" s="171" t="str">
        <f t="shared" si="22"/>
        <v>Træmaterialer</v>
      </c>
      <c r="D335" s="171">
        <f t="shared" si="24"/>
        <v>2050</v>
      </c>
      <c r="E335" s="171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Vestdanmark'!H$3:H$1000,'Resultater - Østdanmark'!H$3:H$1000),IF(D335=År2,IF(B335="Vestdanmark",'Resultater - Vestdanmark'!I$3:I$1000,'Resultater - Østdanmark'!I$3:I$1000),IF(B335="Vestdanmark",'Resultater - Vestdanmark'!J$3:J$1000,'Resultater - Østdanmark'!J$3:J$1000))),'Resultater - Vestdanmark'!$F$3:$F$1000,C335))</f>
        <v>691748.76447704039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s="171" t="str">
        <f t="shared" si="22"/>
        <v>Have/parkaffald</v>
      </c>
      <c r="D336">
        <f t="shared" si="24"/>
        <v>2050</v>
      </c>
      <c r="E336" s="171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Vestdanmark'!H$3:H$1000,'Resultater - Østdanmark'!H$3:H$1000),IF(D336=År2,IF(B336="Vestdanmark",'Resultater - Vestdanmark'!I$3:I$1000,'Resultater - Østdanmark'!I$3:I$1000),IF(B336="Vestdanmark",'Resultater - Vestdanmark'!J$3:J$1000,'Resultater - Østdanmark'!J$3:J$1000))),'Resultater - Vestdanmark'!$F$3:$F$1000,C336))</f>
        <v>0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s="171" t="str">
        <f t="shared" si="22"/>
        <v>Bioaffald</v>
      </c>
      <c r="D337">
        <f t="shared" si="24"/>
        <v>2050</v>
      </c>
      <c r="E337" s="171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Vestdanmark'!H$3:H$1000,'Resultater - Østdanmark'!H$3:H$1000),IF(D337=År2,IF(B337="Vestdanmark",'Resultater - Vestdanmark'!I$3:I$1000,'Resultater - Østdanmark'!I$3:I$1000),IF(B337="Vestdanmark",'Resultater - Vestdanmark'!J$3:J$1000,'Resultater - Østdanmark'!J$3:J$1000))),'Resultater - Vestdanmark'!$F$3:$F$1000,C337))</f>
        <v>0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s="171" t="str">
        <f>C326</f>
        <v>Halm</v>
      </c>
      <c r="D338">
        <f t="shared" si="24"/>
        <v>2050</v>
      </c>
      <c r="E338" s="171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Vestdanmark'!H$3:H$1000,'Resultater - Østdanmark'!H$3:H$1000),IF(D338=År2,IF(B338="Vestdanmark",'Resultater - Vestdanmark'!I$3:I$1000,'Resultater - Østdanmark'!I$3:I$1000),IF(B338="Vestdanmark",'Resultater - Vestdanmark'!J$3:J$1000,'Resultater - Østdanmark'!J$3:J$1000))),'Resultater - Vestdanmark'!$F$3:$F$1000,C338))</f>
        <v>261147.19078467367</v>
      </c>
      <c r="F338" s="171">
        <v>1</v>
      </c>
    </row>
    <row r="339" spans="1:7" x14ac:dyDescent="0.25">
      <c r="A339" t="s">
        <v>121</v>
      </c>
      <c r="B339" t="s">
        <v>24</v>
      </c>
      <c r="C339" s="171" t="str">
        <f t="shared" si="22"/>
        <v>Rapsolie</v>
      </c>
      <c r="D339">
        <f t="shared" si="24"/>
        <v>2050</v>
      </c>
      <c r="E339" s="171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Vestdanmark'!H$3:H$1000,'Resultater - Østdanmark'!H$3:H$1000),IF(D339=År2,IF(B339="Vestdanmark",'Resultater - Vestdanmark'!I$3:I$1000,'Resultater - Østdanmark'!I$3:I$1000),IF(B339="Vestdanmark",'Resultater - Vestdanmark'!J$3:J$1000,'Resultater - Østdanmark'!J$3:J$1000))),'Resultater - Vestdanmark'!$F$3:$F$1000,C339))</f>
        <v>63552.963662500122</v>
      </c>
      <c r="F339" s="171">
        <v>1</v>
      </c>
    </row>
    <row r="340" spans="1:7" x14ac:dyDescent="0.25">
      <c r="A340" t="s">
        <v>121</v>
      </c>
      <c r="B340" t="s">
        <v>24</v>
      </c>
      <c r="C340" s="171" t="str">
        <f t="shared" si="22"/>
        <v>Pil &amp; poppel</v>
      </c>
      <c r="D340">
        <f t="shared" si="24"/>
        <v>2050</v>
      </c>
      <c r="E340" s="171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Vestdanmark'!H$3:H$1000,'Resultater - Østdanmark'!H$3:H$1000),IF(D340=År2,IF(B340="Vestdanmark",'Resultater - Vestdanmark'!I$3:I$1000,'Resultater - Østdanmark'!I$3:I$1000),IF(B340="Vestdanmark",'Resultater - Vestdanmark'!J$3:J$1000,'Resultater - Østdanmark'!J$3:J$1000))),'Resultater - Vestdanmark'!$F$3:$F$1000,C340))</f>
        <v>35429.762263631419</v>
      </c>
      <c r="F340" s="171">
        <v>1</v>
      </c>
    </row>
    <row r="341" spans="1:7" x14ac:dyDescent="0.25">
      <c r="A341" t="s">
        <v>121</v>
      </c>
      <c r="B341" t="s">
        <v>24</v>
      </c>
      <c r="C341" s="171" t="str">
        <f t="shared" si="22"/>
        <v>Træ til energi</v>
      </c>
      <c r="D341">
        <f t="shared" si="24"/>
        <v>2050</v>
      </c>
      <c r="E341" s="171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Vestdanmark'!H$3:H$1000,'Resultater - Østdanmark'!H$3:H$1000),IF(D341=År2,IF(B341="Vestdanmark",'Resultater - Vestdanmark'!I$3:I$1000,'Resultater - Østdanmark'!I$3:I$1000),IF(B341="Vestdanmark",'Resultater - Vestdanmark'!J$3:J$1000,'Resultater - Østdanmark'!J$3:J$1000))),'Resultater - Vestdanmark'!$F$3:$F$1000,C341))</f>
        <v>629106.00625063898</v>
      </c>
      <c r="F341" s="171">
        <v>1</v>
      </c>
    </row>
    <row r="342" spans="1:7" x14ac:dyDescent="0.25">
      <c r="A342" t="s">
        <v>121</v>
      </c>
      <c r="B342" t="s">
        <v>24</v>
      </c>
      <c r="C342" s="171" t="str">
        <f t="shared" si="22"/>
        <v>Have/parkaffald</v>
      </c>
      <c r="D342">
        <f t="shared" si="24"/>
        <v>2050</v>
      </c>
      <c r="E342" s="171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Vestdanmark'!H$3:H$1000,'Resultater - Østdanmark'!H$3:H$1000),IF(D342=År2,IF(B342="Vestdanmark",'Resultater - Vestdanmark'!I$3:I$1000,'Resultater - Østdanmark'!I$3:I$1000),IF(B342="Vestdanmark",'Resultater - Vestdanmark'!J$3:J$1000,'Resultater - Østdanmark'!J$3:J$1000))),'Resultater - Vestdanmark'!$F$3:$F$1000,C342))</f>
        <v>85177.467347188154</v>
      </c>
      <c r="F342" s="171">
        <v>1</v>
      </c>
    </row>
    <row r="343" spans="1:7" x14ac:dyDescent="0.25">
      <c r="A343" t="s">
        <v>121</v>
      </c>
      <c r="B343" t="s">
        <v>24</v>
      </c>
      <c r="C343" s="171" t="str">
        <f t="shared" si="22"/>
        <v>Bioaffald</v>
      </c>
      <c r="D343">
        <f t="shared" si="24"/>
        <v>2050</v>
      </c>
      <c r="E343" s="171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Vestdanmark'!H$3:H$1000,'Resultater - Østdanmark'!H$3:H$1000),IF(D343=År2,IF(B343="Vestdanmark",'Resultater - Vestdanmark'!I$3:I$1000,'Resultater - Østdanmark'!I$3:I$1000),IF(B343="Vestdanmark",'Resultater - Vestdanmark'!J$3:J$1000,'Resultater - Østdanmark'!J$3:J$1000))),'Resultater - Vestdanmark'!$F$3:$F$1000,C343))</f>
        <v>0</v>
      </c>
      <c r="F343" s="171">
        <v>1</v>
      </c>
    </row>
    <row r="344" spans="1:7" x14ac:dyDescent="0.25">
      <c r="A344" t="s">
        <v>165</v>
      </c>
      <c r="B344" t="s">
        <v>24</v>
      </c>
      <c r="C344" s="171" t="str">
        <f t="shared" si="22"/>
        <v>Halm</v>
      </c>
      <c r="D344">
        <f t="shared" si="24"/>
        <v>2050</v>
      </c>
      <c r="E344" s="171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Vestdanmark'!H$3:H$1000,'Resultater - Østdanmark'!H$3:H$1000),IF(D344=År2,IF(B344="Vestdanmark",'Resultater - Vestdanmark'!I$3:I$1000,'Resultater - Østdanmark'!I$3:I$1000),IF(B344="Vestdanmark",'Resultater - Vestdanmark'!J$3:J$1000,'Resultater - Østdanmark'!J$3:J$1000))),'Resultater - Vestdanmark'!$F$3:$F$1000,C344))</f>
        <v>0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s="171" t="str">
        <f t="shared" si="22"/>
        <v>Rapsolie</v>
      </c>
      <c r="D345">
        <f t="shared" si="24"/>
        <v>2050</v>
      </c>
      <c r="E345" s="171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Vestdanmark'!H$3:H$1000,'Resultater - Østdanmark'!H$3:H$1000),IF(D345=År2,IF(B345="Vestdanmark",'Resultater - Vestdanmark'!I$3:I$1000,'Resultater - Østdanmark'!I$3:I$1000),IF(B345="Vestdanmark",'Resultater - Vestdanmark'!J$3:J$1000,'Resultater - Østdanmark'!J$3:J$1000))),'Resultater - Vestdanmark'!$F$3:$F$1000,C345))</f>
        <v>0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s="171" t="str">
        <f t="shared" si="22"/>
        <v>Pil &amp; poppel</v>
      </c>
      <c r="D346">
        <f t="shared" si="24"/>
        <v>2050</v>
      </c>
      <c r="E346" s="171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Vestdanmark'!H$3:H$1000,'Resultater - Østdanmark'!H$3:H$1000),IF(D346=År2,IF(B346="Vestdanmark",'Resultater - Vestdanmark'!I$3:I$1000,'Resultater - Østdanmark'!I$3:I$1000),IF(B346="Vestdanmark",'Resultater - Vestdanmark'!J$3:J$1000,'Resultater - Østdanmark'!J$3:J$1000))),'Resultater - Vestdanmark'!$F$3:$F$1000,C346))</f>
        <v>0</v>
      </c>
      <c r="F346" s="171">
        <v>1</v>
      </c>
      <c r="G346" s="171">
        <v>1</v>
      </c>
    </row>
    <row r="347" spans="1:7" s="171" customFormat="1" x14ac:dyDescent="0.25">
      <c r="A347" s="171" t="s">
        <v>165</v>
      </c>
      <c r="B347" s="171" t="s">
        <v>24</v>
      </c>
      <c r="C347" s="171" t="str">
        <f t="shared" si="22"/>
        <v>Træmaterialer</v>
      </c>
      <c r="D347" s="171">
        <f t="shared" si="24"/>
        <v>2050</v>
      </c>
      <c r="E347" s="171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Vestdanmark'!H$3:H$1000,'Resultater - Østdanmark'!H$3:H$1000),IF(D347=År2,IF(B347="Vestdanmark",'Resultater - Vestdanmark'!I$3:I$1000,'Resultater - Østdanmark'!I$3:I$1000),IF(B347="Vestdanmark",'Resultater - Vestdanmark'!J$3:J$1000,'Resultater - Østdanmark'!J$3:J$1000))),'Resultater - Vestdanmark'!$F$3:$F$1000,C347))</f>
        <v>178830.65970425931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s="171" t="str">
        <f t="shared" si="22"/>
        <v>Have/parkaffald</v>
      </c>
      <c r="D348">
        <f t="shared" si="24"/>
        <v>2050</v>
      </c>
      <c r="E348" s="171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Vestdanmark'!H$3:H$1000,'Resultater - Østdanmark'!H$3:H$1000),IF(D348=År2,IF(B348="Vestdanmark",'Resultater - Vestdanmark'!I$3:I$1000,'Resultater - Østdanmark'!I$3:I$1000),IF(B348="Vestdanmark",'Resultater - Vestdanmark'!J$3:J$1000,'Resultater - Østdanmark'!J$3:J$1000))),'Resultater - Vestdanmark'!$F$3:$F$1000,C348))</f>
        <v>0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s="171" t="str">
        <f t="shared" si="22"/>
        <v>Bioaffald</v>
      </c>
      <c r="D349">
        <f t="shared" si="24"/>
        <v>2050</v>
      </c>
      <c r="E349" s="171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Vestdanmark'!H$3:H$1000,'Resultater - Østdanmark'!H$3:H$1000),IF(D349=År2,IF(B349="Vestdanmark",'Resultater - Vestdanmark'!I$3:I$1000,'Resultater - Østdanmark'!I$3:I$1000),IF(B349="Vestdanmark",'Resultater - Vestdanmark'!J$3:J$1000,'Resultater - Østdanmark'!J$3:J$1000))),'Resultater - Vestdanmark'!$F$3:$F$1000,C349))</f>
        <v>0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5">År1</f>
        <v>2019</v>
      </c>
      <c r="E350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12818096.433914844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5"/>
        <v>2019</v>
      </c>
      <c r="E351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9058051.1739541572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5"/>
        <v>2019</v>
      </c>
      <c r="E352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4103.8061780475591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5"/>
        <v>2019</v>
      </c>
      <c r="E353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730307.97492940596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5"/>
        <v>2019</v>
      </c>
      <c r="E354">
        <f ca="1"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7001759.6428652545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5"/>
        <v>2019</v>
      </c>
      <c r="E355">
        <f ca="1"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567745.18896312197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6">År2</f>
        <v>2030</v>
      </c>
      <c r="E356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4582749.2854678454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6"/>
        <v>2030</v>
      </c>
      <c r="E357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3946983.0002460787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6"/>
        <v>2030</v>
      </c>
      <c r="E358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3170.2359315072836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6"/>
        <v>2030</v>
      </c>
      <c r="E359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309416.30686181458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6"/>
        <v>2030</v>
      </c>
      <c r="E360">
        <f ca="1"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14824448.951279402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6"/>
        <v>2030</v>
      </c>
      <c r="E361">
        <f ca="1"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1144486.0287738238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7">År3</f>
        <v>2050</v>
      </c>
      <c r="E362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1443229.1767579557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7"/>
        <v>2050</v>
      </c>
      <c r="E363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1273540.6502549821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7"/>
        <v>2050</v>
      </c>
      <c r="E364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1723.1063444964839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7"/>
        <v>2050</v>
      </c>
      <c r="E365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110401.82516654204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7"/>
        <v>2050</v>
      </c>
      <c r="E366">
        <f ca="1"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11134649.546942962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7"/>
        <v>2050</v>
      </c>
      <c r="E367">
        <f ca="1"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1136583.5049650094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28">År1</f>
        <v>2019</v>
      </c>
      <c r="E368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1924034.2327518209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28"/>
        <v>2019</v>
      </c>
      <c r="E369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638439.1593791761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28"/>
        <v>2019</v>
      </c>
      <c r="E370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337.693821952441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28"/>
        <v>2019</v>
      </c>
      <c r="E371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93457.017927737121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28"/>
        <v>2019</v>
      </c>
      <c r="E372">
        <f ca="1"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1801732.0926432305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28"/>
        <v>2019</v>
      </c>
      <c r="E373">
        <f ca="1"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377069.89971696056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29">År2</f>
        <v>2030</v>
      </c>
      <c r="E374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664027.15076502506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29"/>
        <v>2030</v>
      </c>
      <c r="E375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280527.90849052754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29"/>
        <v>2030</v>
      </c>
      <c r="E376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266.07673155808476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29"/>
        <v>2030</v>
      </c>
      <c r="E377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41551.344659903254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29"/>
        <v>2030</v>
      </c>
      <c r="E378">
        <f ca="1"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3219780.2363352538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29"/>
        <v>2030</v>
      </c>
      <c r="E379">
        <f ca="1"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515528.42000534153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0">År3</f>
        <v>2050</v>
      </c>
      <c r="E380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209119.74416372692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0"/>
        <v>2050</v>
      </c>
      <c r="E381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90515.640673249072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0"/>
        <v>2050</v>
      </c>
      <c r="E382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144.61967947371059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0"/>
        <v>2050</v>
      </c>
      <c r="E383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14713.758343407888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0"/>
        <v>2050</v>
      </c>
      <c r="E384">
        <f ca="1"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3214901.5422402946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0"/>
        <v>2050</v>
      </c>
      <c r="E385">
        <f ca="1"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479704.42610224185</v>
      </c>
    </row>
    <row r="386" spans="1:7" x14ac:dyDescent="0.25">
      <c r="A386" t="s">
        <v>210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data'!$A$3:$J$470,MATCH(D386,'[1]Processer - data'!$A$2:$J$2,0),FALSE)</f>
        <v>0</v>
      </c>
      <c r="G386" s="171">
        <v>1</v>
      </c>
    </row>
    <row r="387" spans="1:7" x14ac:dyDescent="0.25">
      <c r="A387" t="s">
        <v>210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data'!$A$3:$J$470,MATCH(D387,'[1]Processer - data'!$A$2:$J$2,0),FALSE)</f>
        <v>5078828.5991281262</v>
      </c>
      <c r="G387" s="171">
        <v>1</v>
      </c>
    </row>
    <row r="388" spans="1:7" x14ac:dyDescent="0.25">
      <c r="A388" t="s">
        <v>210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data'!$A$3:$J$470,MATCH(D388,'[1]Processer - data'!$A$2:$J$2,0),FALSE)</f>
        <v>3244500.462221988</v>
      </c>
      <c r="G388" s="171">
        <v>1</v>
      </c>
    </row>
    <row r="389" spans="1:7" x14ac:dyDescent="0.25">
      <c r="A389" t="s">
        <v>210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data'!$A$3:$J$470,MATCH(D389,'[1]Processer - data'!$A$2:$J$2,0),FALSE)</f>
        <v>0</v>
      </c>
      <c r="G389" s="171">
        <v>1</v>
      </c>
    </row>
    <row r="390" spans="1:7" x14ac:dyDescent="0.25">
      <c r="A390" t="s">
        <v>210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data'!$A$3:$J$470,MATCH(D390,'[1]Processer - data'!$A$2:$J$2,0),FALSE)</f>
        <v>621927.46168801945</v>
      </c>
      <c r="G390" s="171">
        <v>1</v>
      </c>
    </row>
    <row r="391" spans="1:7" x14ac:dyDescent="0.25">
      <c r="A391" t="s">
        <v>210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data'!$A$3:$J$470,MATCH(D391,'[1]Processer - data'!$A$2:$J$2,0),FALSE)</f>
        <v>394599.25872257137</v>
      </c>
      <c r="G391" s="171">
        <v>1</v>
      </c>
    </row>
    <row r="392" spans="1:7" x14ac:dyDescent="0.25">
      <c r="A392" t="s">
        <v>238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484833.6848947219</v>
      </c>
      <c r="G392" s="171">
        <v>1</v>
      </c>
    </row>
    <row r="393" spans="1:7" x14ac:dyDescent="0.25">
      <c r="A393" t="s">
        <v>238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663977.87373411702</v>
      </c>
      <c r="G393" s="171">
        <v>1</v>
      </c>
    </row>
    <row r="394" spans="1:7" x14ac:dyDescent="0.25">
      <c r="A394" t="s">
        <v>238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547384.79935736058</v>
      </c>
      <c r="G394" s="171">
        <v>1</v>
      </c>
    </row>
    <row r="395" spans="1:7" x14ac:dyDescent="0.25">
      <c r="A395" t="s">
        <v>238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193574.13238370849</v>
      </c>
      <c r="G395" s="171">
        <v>1</v>
      </c>
    </row>
    <row r="396" spans="1:7" x14ac:dyDescent="0.25">
      <c r="A396" t="s">
        <v>238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214510.72415794732</v>
      </c>
      <c r="G396" s="171">
        <v>1</v>
      </c>
    </row>
    <row r="397" spans="1:7" x14ac:dyDescent="0.25">
      <c r="A397" t="s">
        <v>238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198603.01144531288</v>
      </c>
      <c r="G397" s="171">
        <v>1</v>
      </c>
    </row>
    <row r="398" spans="1:7" x14ac:dyDescent="0.25">
      <c r="A398" t="s">
        <v>320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0</v>
      </c>
      <c r="G398" s="171">
        <v>1</v>
      </c>
    </row>
    <row r="399" spans="1:7" x14ac:dyDescent="0.25">
      <c r="A399" s="171" t="s">
        <v>320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1084674.6083721975</v>
      </c>
      <c r="G399" s="171">
        <v>1</v>
      </c>
    </row>
    <row r="400" spans="1:7" x14ac:dyDescent="0.25">
      <c r="A400" s="171" t="s">
        <v>320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1792713.787726023</v>
      </c>
      <c r="G400" s="171">
        <v>1</v>
      </c>
    </row>
    <row r="401" spans="1:7" x14ac:dyDescent="0.25">
      <c r="A401" s="171" t="s">
        <v>320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0</v>
      </c>
      <c r="G401" s="171">
        <v>1</v>
      </c>
    </row>
    <row r="402" spans="1:7" x14ac:dyDescent="0.25">
      <c r="A402" s="171" t="s">
        <v>320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395325.39162780321</v>
      </c>
      <c r="G402" s="171">
        <v>1</v>
      </c>
    </row>
    <row r="403" spans="1:7" x14ac:dyDescent="0.25">
      <c r="A403" s="171" t="s">
        <v>320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707286.21227397677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316</v>
      </c>
      <c r="D404" s="171">
        <f t="shared" ref="D404:D411" si="31">År1</f>
        <v>2019</v>
      </c>
      <c r="E404" s="171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0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317</v>
      </c>
      <c r="D405" s="171">
        <f t="shared" si="31"/>
        <v>2019</v>
      </c>
      <c r="E405" s="171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0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316</v>
      </c>
      <c r="D406" s="171">
        <f>År2</f>
        <v>2030</v>
      </c>
      <c r="E406" s="171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607417.78068843065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317</v>
      </c>
      <c r="D407" s="171">
        <f>År2</f>
        <v>2030</v>
      </c>
      <c r="E407" s="171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151854.44517210766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316</v>
      </c>
      <c r="D408" s="171">
        <f>År3</f>
        <v>2050</v>
      </c>
      <c r="E408" s="171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1003919.7211265729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317</v>
      </c>
      <c r="D409" s="171">
        <f>År3</f>
        <v>2050</v>
      </c>
      <c r="E409" s="171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250979.93028164323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316</v>
      </c>
      <c r="D410" s="171">
        <f t="shared" si="31"/>
        <v>2019</v>
      </c>
      <c r="E410" s="171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0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317</v>
      </c>
      <c r="D411" s="171">
        <f t="shared" si="31"/>
        <v>2019</v>
      </c>
      <c r="E411" s="171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0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316</v>
      </c>
      <c r="D412" s="171">
        <f>År2</f>
        <v>2030</v>
      </c>
      <c r="E412" s="171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221382.21931156982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317</v>
      </c>
      <c r="D413" s="171">
        <f>År2</f>
        <v>2030</v>
      </c>
      <c r="E413" s="171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55345.554827892454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316</v>
      </c>
      <c r="D414" s="171">
        <f>År3</f>
        <v>2050</v>
      </c>
      <c r="E414" s="171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396080.27887342701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317</v>
      </c>
      <c r="D415" s="171">
        <f>År3</f>
        <v>2050</v>
      </c>
      <c r="E415" s="171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99020.069718356754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A6" sqref="A6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192</v>
      </c>
      <c r="G1" t="s">
        <v>167</v>
      </c>
      <c r="H1" t="s">
        <v>229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120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1645698.0930583649</v>
      </c>
      <c r="E14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2340477.4573955601</v>
      </c>
      <c r="F14">
        <f>E14-D14</f>
        <v>694779.36433719518</v>
      </c>
      <c r="G14">
        <f t="shared" si="3"/>
        <v>694779.36433719518</v>
      </c>
      <c r="H14">
        <f t="shared" si="1"/>
        <v>388995.48453602241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212472.91959491745</v>
      </c>
      <c r="F15">
        <f t="shared" si="2"/>
        <v>212472.91959491745</v>
      </c>
      <c r="G15">
        <f t="shared" si="3"/>
        <v>212472.91959491745</v>
      </c>
      <c r="H15">
        <f t="shared" si="1"/>
        <v>68643.431730543147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134802.2173997864</v>
      </c>
      <c r="F16">
        <f t="shared" si="2"/>
        <v>134802.2173997864</v>
      </c>
      <c r="G16">
        <f t="shared" si="3"/>
        <v>134802.2173997864</v>
      </c>
      <c r="H16">
        <f t="shared" si="1"/>
        <v>39848.41282272341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2226876.9610476061</v>
      </c>
      <c r="F17">
        <f t="shared" si="2"/>
        <v>2226876.9610476061</v>
      </c>
      <c r="G17">
        <f t="shared" si="3"/>
        <v>2226876.9610476061</v>
      </c>
      <c r="H17">
        <f t="shared" si="1"/>
        <v>647935.48316961934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428758.06783893198</v>
      </c>
      <c r="E18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526734.10986839118</v>
      </c>
      <c r="F18">
        <f t="shared" si="2"/>
        <v>97976.042029459204</v>
      </c>
      <c r="G18">
        <f t="shared" si="3"/>
        <v>97976.042029459204</v>
      </c>
      <c r="H18">
        <f t="shared" si="1"/>
        <v>84832.957970540854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464025.46783004666</v>
      </c>
      <c r="E20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853020.95236606908</v>
      </c>
      <c r="F20">
        <f t="shared" si="2"/>
        <v>388995.48453602241</v>
      </c>
      <c r="G20">
        <f t="shared" si="3"/>
        <v>388995.48453602241</v>
      </c>
      <c r="H20">
        <f t="shared" si="1"/>
        <v>694779.36433719518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68643.431730543147</v>
      </c>
      <c r="F21">
        <f t="shared" si="2"/>
        <v>68643.431730543147</v>
      </c>
      <c r="G21">
        <f t="shared" si="3"/>
        <v>68643.431730543147</v>
      </c>
      <c r="H21">
        <f t="shared" si="1"/>
        <v>212472.91959491745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39848.41282272341</v>
      </c>
      <c r="F22">
        <f t="shared" si="2"/>
        <v>39848.41282272341</v>
      </c>
      <c r="G22">
        <f t="shared" si="3"/>
        <v>39848.41282272341</v>
      </c>
      <c r="H22">
        <f t="shared" si="1"/>
        <v>134802.2173997864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647935.48316961934</v>
      </c>
      <c r="F23">
        <f t="shared" si="2"/>
        <v>647935.48316961934</v>
      </c>
      <c r="G23">
        <f t="shared" si="3"/>
        <v>647935.48316961934</v>
      </c>
      <c r="H23">
        <f t="shared" si="1"/>
        <v>2226876.9610476061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371241.93216106802</v>
      </c>
      <c r="E24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456074.89013160887</v>
      </c>
      <c r="F24">
        <f t="shared" si="2"/>
        <v>84832.957970540854</v>
      </c>
      <c r="G24">
        <f t="shared" si="3"/>
        <v>84832.957970540854</v>
      </c>
      <c r="H24">
        <f t="shared" si="1"/>
        <v>97976.042029459204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2151111.5796290888</v>
      </c>
      <c r="E26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2565108.6026535071</v>
      </c>
      <c r="F26">
        <f t="shared" si="2"/>
        <v>413997.02302441839</v>
      </c>
      <c r="G26">
        <f t="shared" si="3"/>
        <v>413997.02302441839</v>
      </c>
      <c r="H26">
        <f t="shared" si="1"/>
        <v>261147.19078467367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175163.13579435539</v>
      </c>
      <c r="F27">
        <f t="shared" si="2"/>
        <v>175163.13579435539</v>
      </c>
      <c r="G27">
        <f t="shared" si="3"/>
        <v>175163.13579435539</v>
      </c>
      <c r="H27">
        <f t="shared" si="1"/>
        <v>63552.963662500122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97651.319921337825</v>
      </c>
      <c r="F28">
        <f t="shared" si="2"/>
        <v>97651.319921337825</v>
      </c>
      <c r="G28">
        <f t="shared" si="3"/>
        <v>97651.319921337825</v>
      </c>
      <c r="H28">
        <f t="shared" si="1"/>
        <v>35429.762263631419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2347927.0937342439</v>
      </c>
      <c r="F29">
        <f t="shared" si="2"/>
        <v>2347927.0937342439</v>
      </c>
      <c r="G29">
        <f t="shared" si="3"/>
        <v>2347927.0937342439</v>
      </c>
      <c r="H29">
        <f t="shared" si="1"/>
        <v>629106.00625063898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427250.44238658639</v>
      </c>
      <c r="E30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524881.97503939818</v>
      </c>
      <c r="F30">
        <f t="shared" si="2"/>
        <v>97631.532652811788</v>
      </c>
      <c r="G30">
        <f t="shared" si="3"/>
        <v>97631.532652811788</v>
      </c>
      <c r="H30">
        <f t="shared" si="1"/>
        <v>85177.467347188154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750874.89554261859</v>
      </c>
      <c r="E32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1012022.0863272923</v>
      </c>
      <c r="F32">
        <f t="shared" si="2"/>
        <v>261147.19078467367</v>
      </c>
      <c r="G32">
        <f t="shared" si="3"/>
        <v>261147.19078467367</v>
      </c>
      <c r="H32">
        <f t="shared" si="1"/>
        <v>413997.02302441839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63552.963662500122</v>
      </c>
      <c r="F33">
        <f t="shared" si="2"/>
        <v>63552.963662500122</v>
      </c>
      <c r="G33">
        <f t="shared" si="3"/>
        <v>63552.963662500122</v>
      </c>
      <c r="H33">
        <f t="shared" si="1"/>
        <v>175163.13579435539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35429.762263631419</v>
      </c>
      <c r="F34">
        <f t="shared" si="2"/>
        <v>35429.762263631419</v>
      </c>
      <c r="G34">
        <f t="shared" si="3"/>
        <v>35429.762263631419</v>
      </c>
      <c r="H34">
        <f t="shared" si="1"/>
        <v>97651.319921337825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629106.00625063898</v>
      </c>
      <c r="F35">
        <f t="shared" si="2"/>
        <v>629106.00625063898</v>
      </c>
      <c r="G35">
        <f t="shared" si="3"/>
        <v>629106.00625063898</v>
      </c>
      <c r="H35">
        <f t="shared" si="1"/>
        <v>2347927.0937342439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372749.55761341366</v>
      </c>
      <c r="E36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457927.02496060182</v>
      </c>
      <c r="F36">
        <f t="shared" si="2"/>
        <v>85177.467347188154</v>
      </c>
      <c r="G36">
        <f t="shared" si="3"/>
        <v>85177.467347188154</v>
      </c>
      <c r="H36">
        <f t="shared" si="1"/>
        <v>97631.532652811788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383" zoomScale="80" zoomScaleNormal="80" workbookViewId="0">
      <selection activeCell="I403" sqref="I403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SUMIF($F$3:$F$472,"Roer",H3:H472)</f>
        <v>376449.39511597221</v>
      </c>
      <c r="N3" s="171">
        <f>SUMIF($F$3:$F$472,"Roer",I3:I472)</f>
        <v>668679.49055744556</v>
      </c>
      <c r="O3" s="171">
        <f>SUMIF($F$3:$F$472,"Roer",J3:J472)</f>
        <v>557517.61958207632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input'!$A$3:$A$230,$A$1)),IF(VLOOKUP($A5,[1]!Table1[#All],2,FALSE)="Resultat",SUMIF($F$1:$F4,$D5,H$1:H4)+SUMIF($F6:$F$490,$D5,H6:H$490),0))*'[1]Processer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input'!$A$3:$A$230,$A$1)),IF(VLOOKUP($A5,[1]!Table1[#All],2,FALSE)="Resultat",SUMIF($F$1:$F4,$D5,I$1:I4)+SUMIF($F6:$F$490,$D5,I6:I$490),0))*'[1]Processer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input'!$A$3:$A$230,$A$1)),IF(VLOOKUP($A5,[1]!Table1[#All],2,FALSE)="Resultat",SUMIF($F$1:$F4,$D5,J$1:J4)+SUMIF($F6:$F$490,$D5,J6:J$490),0))*'[1]Processer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input'!$A$3:$A$230,$A$1)),IF(VLOOKUP($A6,[1]!Table1[#All],2,FALSE)="Resultat",SUMIF($F$1:$F5,$D6,H$1:H5)+SUMIF($F7:$F$490,$D6,H7:H$490),0))*'[1]Processer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input'!$A$3:$A$230,$A$1)),IF(VLOOKUP($A6,[1]!Table1[#All],2,FALSE)="Resultat",SUMIF($F$1:$F5,$D6,I$1:I5)+SUMIF($F7:$F$490,$D6,I7:I$490),0))*'[1]Processer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input'!$A$3:$A$230,$A$1)),IF(VLOOKUP($A6,[1]!Table1[#All],2,FALSE)="Resultat",SUMIF($F$1:$F5,$D6,J$1:J5)+SUMIF($F7:$F$490,$D6,J7:J$490),0))*'[1]Processer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input'!$A$3:$A$230,$A$1)),IF(VLOOKUP($A7,[1]!Table1[#All],2,FALSE)="Resultat",SUMIF($F$1:$F6,$D7,H$1:H6)+SUMIF($F8:$F$490,$D7,H8:H$490),0))*'[1]Processer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input'!$A$3:$A$230,$A$1)),IF(VLOOKUP($A7,[1]!Table1[#All],2,FALSE)="Resultat",SUMIF($F$1:$F6,$D7,I$1:I6)+SUMIF($F8:$F$490,$D7,I8:I$490),0))*'[1]Processer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input'!$A$3:$A$230,$A$1)),IF(VLOOKUP($A7,[1]!Table1[#All],2,FALSE)="Resultat",SUMIF($F$1:$F6,$D7,J$1:J6)+SUMIF($F8:$F$490,$D7,J8:J$490),0))*'[1]Processer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0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0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-141474.29645242251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-86481.509656287672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-31124.345219532952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-190259.32124383288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-792256.06013356603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10803.94867106174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5643.853783390462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-82055.091942405052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-707371.48226211255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-432407.54828143836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12933.422356475206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79060.431361572948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3233.3555891188016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19765.107840393237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-90543.549729550403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-553481.6618002411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136776.07373018423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47345.563983525324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-28294.859290484503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6287.080312175447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3143.5401560877244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-70737.148226211255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-141474.29645242251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-86481.509656287672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-24050.630396911827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-147018.56641568904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-778108.63048832386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7921.1617892599015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4320.6337032326746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-74981.377119783923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-537602.32651920558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-328629.73669389315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3284.3841565224002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20077.039241030736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11495.344547828394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70269.637343607537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-45271.774864775201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-276740.83090012055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35352.746129234147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46756.857783825813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-254653.73361436054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2922.1359039647805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1593.8923112535169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-73566.6341552597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14231744.940235101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11179450.521719089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6689339.852397711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15352538.506892066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12059866.540704856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7216145.8837897805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1968084.6638925183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1545987.8753404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925057.83587008948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160864.90802355704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126364.07464315755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75611.251087844197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-8783081404.0200005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-6899366479.4311991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-4128307295.3802996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-674539.66619999998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-529870.57138021174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-317053.53701063234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1150151.6436268529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903477.64426614856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540605.19341254723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224727.20289902308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250001.99508437468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257796.39706926318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243586.51339107481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270982.38903804816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279430.90429999697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7449.8701829066958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8287.7479220134319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8546.1380153876689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-406756309.19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-452503691.13680112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-466611561.22470069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-27458.796750000001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-30547.05385711979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-31499.430325699868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58591.57596922417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65181.298474246374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67213.479225579227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411928.1258385395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320710.24991141836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190759.94461987106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11953488.544958346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9306493.1916532889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5535545.3289545197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234254.90515230247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182381.20793873124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108481.18866081457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4474552.90572685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3483702.3515116847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2072122.3217219769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50974.141893857719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39686.364587318778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23605.633786048213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-3101358722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-2414589993.7588573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-1436209331.0592856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-12971.687549999999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-10099.220944102173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-6007.063474063857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3354535.1850575823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2611702.7463139286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1553452.9108066163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21677.657032824009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19991.394030461786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15399.363687067749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1171427.2358122203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1080304.1774153388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832157.92232039175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9671.5700607984036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8919.2373366675656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6870.4853373071492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447449.07465188007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412642.87678260863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317858.66072024452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8943.0621574433171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8247.3986537220499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6352.9682396023018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-544112030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-501786607.84114248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-386526044.94071406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-2743.422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-2530.0165101234074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-1948.8708148271296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492157.47803573997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453873.49996140599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349618.59504034655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97185929.8774468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94936837.525924489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90395739.189926684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6185.7778797696892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6042.625617552826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5753.5896874331438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137099.40658193204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133926.6301612042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127520.53940423368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202533.97911315371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197846.90533692716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188383.32643519162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8553.8229892246891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8355.8690478918143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7956.1841203331578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-336558388.31999999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-328769700.20469648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-313043712.51189649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-7976.870891999999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-7792.2688684879358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-7419.5425368079359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12995.753733500585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12695.003919601169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12087.765858200146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1144367.3520506443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1301867.175600535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1619871.9859224628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2021.8344763254286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2300.1005179926569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2861.9420350492778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7613.0179455684893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8660.8012303332616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10776.359947924846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14016.013855362682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15945.044515960162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19839.912557727635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1438.3001997417073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1636.2541410745828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2035.9390686332388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-56591304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-64379992.115303531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-80105979.808103532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-2526.3975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-2874.1067908617647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-3576.1598128617643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2403.7175816775175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2734.5423769668755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3402.5042445080016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5979978.6547463266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4216802.1372340936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3432833.9542255346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1951850.0829625647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1736185.6747403899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1743636.2761901156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-136490240.33657807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-89782232.998362541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-73090339.051366583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1939606.81668759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1275858.484179026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1038656.8263668426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197993.19645791754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162215.93605101015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3.9301585400745376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64624.484340873139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66789.233931450188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1.996241907715099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-3059809.2652792772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-2338529.3227416016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-56.657756400071008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376396.41994728032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287669.58614374197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6.9696424915182984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116765.5313169249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3.1219568255939545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2.9775888799017491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38111.977508016003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1.2854045652019885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1.5124040532709913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-1189785.3201235472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-29.674680641973879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-28.302441074714974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487237.24792620342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12.152284521028513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11.590329167454941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512288.11454099719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440936.13099748403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487878.52258538653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167209.55986589513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181546.81419684194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247807.70107065581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-11692738.705643302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-9388211.5314472727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-10387687.580330584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248001.06469683221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199122.42238632197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220321.14498690597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16961.525644387857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16962.34845758829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0.55855889554392679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5536.1995665140876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6983.9146926007752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0.28370831961163073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-262125.33687237542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-244531.76559766231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-8.0522690156464574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48126.616225455735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44896.409398156262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1.4784090133523664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10002.977825723143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0.32645201719650091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0.42317854081027884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3264.9469548714701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0.13441022303181493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0.21494469726790755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-101925.59431142393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-3.1029767214642057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-4.0223772315276731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62298.892335309647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1.8965993183108087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2.4585546718843809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150765.11162055825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1240114.8187957981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1009558.4565162469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-1462628.9238441708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-11222779.124795316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-9136292.3814208228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16627.855729329058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127585.84841790258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103865.68263668426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2306.9008244740317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1890.045129396352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4.5791906684726116E-2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-18183.839849707405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-13897.416146524663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-0.3367058137620848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1491.2328682247362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1139.7088795537434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2.761280238686533E-2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686.36538368376091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1.835133254031052E-2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1.7502716006654543E-2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-4518.3955317975597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-0.11269423328091767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-0.10748293925636654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973.87343605045032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2.4289577885780251E-2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2.3166360411293298E-2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10987.921619592245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110320.04081657417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122064.79519696438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-106597.95095164997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-998373.24121734046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-1104660.8061172448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2126.0628128443682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19912.242238632196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22032.1144986906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168.1293846502677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168.13754070179107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5.5366578082441586E-3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-1325.2575802461581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-1236.3077138440149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-4.0710793845779338E-2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190.67129268097077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177.8736401615669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5.857261112365373E-3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50.023038866573799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1.6325260566206876E-3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2.1162374808045945E-3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-329.30547005237952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-1.002522687973019E-2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-1.2995664473724317E-2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124.52093225416603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3.7908589763934494E-3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4.9140764508803962E-3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18236.102309973223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137896.92229677082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112117.37683994151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-15603369.829116948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-117988846.53749661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-95931074.818950579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3378.7899137386457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25549.57864746785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20773.137569778497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1329.066523912735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12267.246440157822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13556.01010882929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-1137190.1817400893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-10496233.226659382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-11598939.046291297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432.01719481741156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3987.5064941134801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4406.4231208621059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1850258.7939976691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1916098.9264530295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1559866.7521776354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-6534799.6524023823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-6312813.2576973643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-5139164.4645492127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99054.247748754948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95689.38631342692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77899.26197751319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75029.927467991118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61472.06133240278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1.4893416313028394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-176661.96949607978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-135017.95702359162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-3.271207439772259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23542.701854494557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17993.049190363032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0.43593457991235474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74843.560387776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2.0010902324434707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1.9085542679374146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-113286.31602235936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-2.8254973331828976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-2.6948384969663475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51547.406552955894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1.2856544802739025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1.2262022499722192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134848.82799393893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170455.27443995446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188602.07094511407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-476263.14608548256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-561584.94818475388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-621371.70344095014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12665.226113397273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14934.181678974144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16524.08587401795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5468.2608813162569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5468.5261497438078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0.18007494269388874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-12875.312153591285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-12011.135020769218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-0.39551871771791858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3010.2055094474103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2808.1637464728433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9.2470971496560098E-2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5454.6782503755512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0.17801606171852613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0.23076156148697827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-8256.4271511228308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-0.25135493617158844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-0.32583047281502198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6590.9294592629785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0.20065127726818136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0.26010350756986467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9377249.6664450914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9700750.3090022244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5163574.8105338942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-29292093.879463714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-28267374.9205782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-15046331.51565242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429685.60558446439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414654.00735818339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220714.57560295408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1187184.2593990122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972660.7244525596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23.565569116466033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-2591931.239451021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-1980942.8237132172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-47.994170890631111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318841.32463721925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243681.78612527228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5.9039085561833859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1421322.1657873134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38.001851974654684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36.244540900682203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-2148310.4077800992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-53.581452210288894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-51.103697194784196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837875.72596093966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20.897630996969323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19.931266557803106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935211.68689167371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1180912.1474426989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854336.92319742613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-2921358.5543774571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-3441103.5596958213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-2489483.941680673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54940.252195975947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64714.787275554649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46818.243309717524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118400.23816969505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118405.98183220177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3.8990305265425622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-258498.4374926165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-241148.29981156276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-7.9408537291771486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40767.534584363588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38031.261418395094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1.2523442391904154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141751.2754340893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4.6261214022325303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5.9968240399310559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-214255.25307450022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-6.5226900783160939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-8.45533899040975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107132.05910299365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3.2614799821859632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4.2278444213521738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input'!$A$3:$A$230,$A$1)),IF(VLOOKUP($A204,[1]!Table1[#All],2,FALSE)="Resultat",SUMIF($F$1:$F203,$D204,H$1:H203)+SUMIF($F205:$F$490,$D204,H205:H$490),0))*'[1]Processer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227506.41036576603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input'!$A$3:$A$230,$A$1)),IF(VLOOKUP($A204,[1]!Table1[#All],2,FALSE)="Resultat",SUMIF($F$1:$F203,$D204,I$1:I203)+SUMIF($F205:$F$490,$D204,I205:I$490),0))*'[1]Processer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667560.08156854985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input'!$A$3:$A$230,$A$1)),IF(VLOOKUP($A204,[1]!Table1[#All],2,FALSE)="Resultat",SUMIF($F$1:$F203,$D204,J$1:J203)+SUMIF($F205:$F$490,$D204,J205:J$490),0))*'[1]Processer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543450.42520710232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input'!$A$3:$A$230,$A$1)),IF(VLOOKUP($A205,[1]!Table1[#All],2,FALSE)="Resultat",SUMIF($F$1:$F204,$D205,H$1:H204)+SUMIF($F206:$F$490,$D205,H206:H$490),0))*'[1]Processer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67541.817252888533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input'!$A$3:$A$230,$A$1)),IF(VLOOKUP($A205,[1]!Table1[#All],2,FALSE)="Resultat",SUMIF($F$1:$F204,$D205,I$1:I204)+SUMIF($F206:$F$490,$D205,I206:I$490),0))*'[1]Processer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249997.45289925081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input'!$A$3:$A$230,$A$1)),IF(VLOOKUP($A205,[1]!Table1[#All],2,FALSE)="Resultat",SUMIF($F$1:$F204,$D205,J$1:J204)+SUMIF($F206:$F$490,$D205,J206:J$490),0))*'[1]Processer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251070.28250042661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input'!$A$3:$A$230,$A$1)),IF(VLOOKUP($A206,[1]!Table1[#All],2,FALSE)="Resultat",SUMIF($F$1:$F205,$D206,H$1:H205)+SUMIF($F207:$F$490,$D206,H207:H$490),0))*'[1]Processer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0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input'!$A$3:$A$230,$A$1)),IF(VLOOKUP($A206,[1]!Table1[#All],2,FALSE)="Resultat",SUMIF($F$1:$F205,$D206,I$1:I205)+SUMIF($F207:$F$490,$D206,I207:I$490),0))*'[1]Processer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0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input'!$A$3:$A$230,$A$1)),IF(VLOOKUP($A206,[1]!Table1[#All],2,FALSE)="Resultat",SUMIF($F$1:$F205,$D206,J$1:J205)+SUMIF($F207:$F$490,$D206,J207:J$490),0))*'[1]Processer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input'!$A$3:$A$230,$A$1)),IF(VLOOKUP($A207,[1]!Table1[#All],2,FALSE)="Resultat",SUMIF($F$1:$F206,$D207,H$1:H206)+SUMIF($F208:$F$490,$D207,H208:H$490),0))*'[1]Processer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134010.3740454606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input'!$A$3:$A$230,$A$1)),IF(VLOOKUP($A207,[1]!Table1[#All],2,FALSE)="Resultat",SUMIF($F$1:$F206,$D207,I$1:I206)+SUMIF($F208:$F$490,$D207,I208:I$490),0))*'[1]Processer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366809.31420146994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input'!$A$3:$A$230,$A$1)),IF(VLOOKUP($A207,[1]!Table1[#All],2,FALSE)="Resultat",SUMIF($F$1:$F206,$D207,J$1:J206)+SUMIF($F208:$F$490,$D207,J208:J$490),0))*'[1]Processer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298613.83758046723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input'!$A$3:$A$230,$A$1)),IF(VLOOKUP($A208,[1]!Table1[#All],2,FALSE)="Resultat",SUMIF($F$1:$F207,$D208,H$1:H207)+SUMIF($F209:$F$490,$D208,H209:H$490),0))*'[1]Processer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9345.9404573331649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input'!$A$3:$A$230,$A$1)),IF(VLOOKUP($A208,[1]!Table1[#All],2,FALSE)="Resultat",SUMIF($F$1:$F207,$D208,I$1:I207)+SUMIF($F209:$F$490,$D208,I209:I$490),0))*'[1]Processer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7657.134218172675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input'!$A$3:$A$230,$A$1)),IF(VLOOKUP($A208,[1]!Table1[#All],2,FALSE)="Resultat",SUMIF($F$1:$F207,$D208,J$1:J207)+SUMIF($F209:$F$490,$D208,J209:J$490),0))*'[1]Processer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0.18551661552281196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input'!$A$3:$A$230,$A$1)),IF(VLOOKUP($A209,[1]!Table1[#All],2,FALSE)="Resultat",SUMIF($F$1:$F208,$D209,H$1:H208)+SUMIF($F210:$F$490,$D209,H210:H$490),0))*'[1]Processer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2774.6110600167954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input'!$A$3:$A$230,$A$1)),IF(VLOOKUP($A209,[1]!Table1[#All],2,FALSE)="Resultat",SUMIF($F$1:$F208,$D209,I$1:I208)+SUMIF($F210:$F$490,$D209,I210:I$490),0))*'[1]Processer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2867.5532044291272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input'!$A$3:$A$230,$A$1)),IF(VLOOKUP($A209,[1]!Table1[#All],2,FALSE)="Resultat",SUMIF($F$1:$F208,$D209,J$1:J208)+SUMIF($F210:$F$490,$D209,J210:J$490),0))*'[1]Processer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8.5707374412459486E-2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input'!$A$3:$A$230,$A$1)),IF(VLOOKUP($A210,[1]!Table1[#All],2,FALSE)="Resultat",SUMIF($F$1:$F209,$D210,H$1:H209)+SUMIF($F211:$F$490,$D210,H211:H$490),0))*'[1]Processer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0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input'!$A$3:$A$230,$A$1)),IF(VLOOKUP($A210,[1]!Table1[#All],2,FALSE)="Resultat",SUMIF($F$1:$F209,$D210,I$1:I209)+SUMIF($F211:$F$490,$D210,I211:I$490),0))*'[1]Processer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0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input'!$A$3:$A$230,$A$1)),IF(VLOOKUP($A210,[1]!Table1[#All],2,FALSE)="Resultat",SUMIF($F$1:$F209,$D210,J$1:J209)+SUMIF($F211:$F$490,$D210,J211:J$490),0))*'[1]Processer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input'!$A$3:$A$230,$A$1)),IF(VLOOKUP($A211,[1]!Table1[#All],2,FALSE)="Resultat",SUMIF($F$1:$F210,$D211,H$1:H210)+SUMIF($F212:$F$490,$D211,H212:H$490),0))*'[1]Processer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32266.283111051216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input'!$A$3:$A$230,$A$1)),IF(VLOOKUP($A211,[1]!Table1[#All],2,FALSE)="Resultat",SUMIF($F$1:$F210,$D211,I$1:I210)+SUMIF($F212:$F$490,$D211,I212:I$490),0))*'[1]Processer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24660.245998761078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input'!$A$3:$A$230,$A$1)),IF(VLOOKUP($A211,[1]!Table1[#All],2,FALSE)="Resultat",SUMIF($F$1:$F210,$D211,J$1:J210)+SUMIF($F212:$F$490,$D211,J212:J$490),0))*'[1]Processer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0.5974670477621441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input'!$A$3:$A$230,$A$1)),IF(VLOOKUP($A212,[1]!Table1[#All],2,FALSE)="Resultat",SUMIF($F$1:$F211,$D212,H$1:H211)+SUMIF($F213:$F$490,$D212,H213:H$490),0))*'[1]Processer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3702.1136020833915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input'!$A$3:$A$230,$A$1)),IF(VLOOKUP($A212,[1]!Table1[#All],2,FALSE)="Resultat",SUMIF($F$1:$F211,$D212,I$1:I211)+SUMIF($F213:$F$490,$D212,I213:I$490),0))*'[1]Processer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9.8983310389589116E-2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input'!$A$3:$A$230,$A$1)),IF(VLOOKUP($A212,[1]!Table1[#All],2,FALSE)="Resultat",SUMIF($F$1:$F211,$D212,J$1:J211)+SUMIF($F213:$F$490,$D212,J213:J$490),0))*'[1]Processer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9.440604748140001E-2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input'!$A$3:$A$230,$A$1)),IF(VLOOKUP($A213,[1]!Table1[#All],2,FALSE)="Resultat",SUMIF($F$1:$F212,$D213,H$1:H212)+SUMIF($F214:$F$490,$D213,H214:H$490),0))*'[1]Processer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1099.0788345670949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input'!$A$3:$A$230,$A$1)),IF(VLOOKUP($A213,[1]!Table1[#All],2,FALSE)="Resultat",SUMIF($F$1:$F212,$D213,I$1:I212)+SUMIF($F214:$F$490,$D213,I214:I$490),0))*'[1]Processer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3.7068686639843931E-2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input'!$A$3:$A$230,$A$1)),IF(VLOOKUP($A213,[1]!Table1[#All],2,FALSE)="Resultat",SUMIF($F$1:$F212,$D213,J$1:J212)+SUMIF($F214:$F$490,$D213,J214:J$490),0))*'[1]Processer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4.3614931392998796E-2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input'!$A$3:$A$230,$A$1)),IF(VLOOKUP($A214,[1]!Table1[#All],2,FALSE)="Resultat",SUMIF($F$1:$F213,$D214,H$1:H213)+SUMIF($F215:$F$490,$D214,H215:H$490),0))*'[1]Processer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0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input'!$A$3:$A$230,$A$1)),IF(VLOOKUP($A214,[1]!Table1[#All],2,FALSE)="Resultat",SUMIF($F$1:$F213,$D214,I$1:I213)+SUMIF($F215:$F$490,$D214,I215:I$490),0))*'[1]Processer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0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input'!$A$3:$A$230,$A$1)),IF(VLOOKUP($A214,[1]!Table1[#All],2,FALSE)="Resultat",SUMIF($F$1:$F213,$D214,J$1:J213)+SUMIF($F215:$F$490,$D214,J215:J$490),0))*'[1]Processer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input'!$A$3:$A$230,$A$1)),IF(VLOOKUP($A215,[1]!Table1[#All],2,FALSE)="Resultat",SUMIF($F$1:$F214,$D215,H$1:H214)+SUMIF($F216:$F$490,$D215,H216:H$490),0))*'[1]Processer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28054.741810923333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input'!$A$3:$A$230,$A$1)),IF(VLOOKUP($A215,[1]!Table1[#All],2,FALSE)="Resultat",SUMIF($F$1:$F214,$D215,I$1:I214)+SUMIF($F216:$F$490,$D215,I216:I$490),0))*'[1]Processer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0.69971909188267134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input'!$A$3:$A$230,$A$1)),IF(VLOOKUP($A215,[1]!Table1[#All],2,FALSE)="Resultat",SUMIF($F$1:$F214,$D215,J$1:J214)+SUMIF($F216:$F$490,$D215,J216:J$490),0))*'[1]Processer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0.66736213965688296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input'!$A$3:$A$230,$A$1)),IF(VLOOKUP($A216,[1]!Table1[#All],2,FALSE)="Resultat",SUMIF($F$1:$F215,$D216,H$1:H215)+SUMIF($F217:$F$490,$D216,H217:H$490),0))*'[1]Processer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16580.909059022317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input'!$A$3:$A$230,$A$1)),IF(VLOOKUP($A216,[1]!Table1[#All],2,FALSE)="Resultat",SUMIF($F$1:$F215,$D216,I$1:I215)+SUMIF($F217:$F$490,$D216,I217:I$490),0))*'[1]Processer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59385.836158034595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input'!$A$3:$A$230,$A$1)),IF(VLOOKUP($A216,[1]!Table1[#All],2,FALSE)="Resultat",SUMIF($F$1:$F215,$D216,J$1:J215)+SUMIF($F217:$F$490,$D216,J217:J$490),0))*'[1]Processer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65708.096865949643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input'!$A$3:$A$230,$A$1)),IF(VLOOKUP($A217,[1]!Table1[#All],2,FALSE)="Resultat",SUMIF($F$1:$F216,$D217,H$1:H216)+SUMIF($F218:$F$490,$D217,H218:H$490),0))*'[1]Processer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4922.5194479169131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input'!$A$3:$A$230,$A$1)),IF(VLOOKUP($A217,[1]!Table1[#All],2,FALSE)="Resultat",SUMIF($F$1:$F216,$D217,I$1:I216)+SUMIF($F218:$F$490,$D217,I218:I$490),0))*'[1]Processer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22239.657804158785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input'!$A$3:$A$230,$A$1)),IF(VLOOKUP($A217,[1]!Table1[#All],2,FALSE)="Resultat",SUMIF($F$1:$F216,$D217,J$1:J216)+SUMIF($F218:$F$490,$D217,J218:J$490),0))*'[1]Processer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30356.67961141522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input'!$A$3:$A$230,$A$1)),IF(VLOOKUP($A218,[1]!Table1[#All],2,FALSE)="Resultat",SUMIF($F$1:$F217,$D218,H$1:H217)+SUMIF($F219:$F$490,$D218,H219:H$490),0))*'[1]Processer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0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input'!$A$3:$A$230,$A$1)),IF(VLOOKUP($A218,[1]!Table1[#All],2,FALSE)="Resultat",SUMIF($F$1:$F217,$D218,I$1:I217)+SUMIF($F219:$F$490,$D218,I219:I$490),0))*'[1]Processer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0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input'!$A$3:$A$230,$A$1)),IF(VLOOKUP($A218,[1]!Table1[#All],2,FALSE)="Resultat",SUMIF($F$1:$F217,$D218,J$1:J217)+SUMIF($F219:$F$490,$D218,J219:J$490),0))*'[1]Processer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input'!$A$3:$A$230,$A$1)),IF(VLOOKUP($A219,[1]!Table1[#All],2,FALSE)="Resultat",SUMIF($F$1:$F218,$D219,H$1:H218)+SUMIF($F220:$F$490,$D219,H220:H$490),0))*'[1]Processer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17134.769355189386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input'!$A$3:$A$230,$A$1)),IF(VLOOKUP($A219,[1]!Table1[#All],2,FALSE)="Resultat",SUMIF($F$1:$F218,$D219,I$1:I218)+SUMIF($F220:$F$490,$D219,I220:I$490),0))*'[1]Processer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57247.69643606757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input'!$A$3:$A$230,$A$1)),IF(VLOOKUP($A219,[1]!Table1[#All],2,FALSE)="Resultat",SUMIF($F$1:$F218,$D219,J$1:J218)+SUMIF($F220:$F$490,$D219,J220:J$490),0))*'[1]Processer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63342.329183735477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input'!$A$3:$A$230,$A$1)),IF(VLOOKUP($A220,[1]!Table1[#All],2,FALSE)="Resultat",SUMIF($F$1:$F219,$D220,H$1:H219)+SUMIF($F221:$F$490,$D220,H221:H$490),0))*'[1]Processer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681.14207659001795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input'!$A$3:$A$230,$A$1)),IF(VLOOKUP($A220,[1]!Table1[#All],2,FALSE)="Resultat",SUMIF($F$1:$F219,$D220,I$1:I219)+SUMIF($F221:$F$490,$D220,I221:I$490),0))*'[1]Processer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681.17511917732634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input'!$A$3:$A$230,$A$1)),IF(VLOOKUP($A220,[1]!Table1[#All],2,FALSE)="Resultat",SUMIF($F$1:$F219,$D220,J$1:J219)+SUMIF($F221:$F$490,$D220,J221:J$490),0))*'[1]Processer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2.2430645331394539E-2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input'!$A$3:$A$230,$A$1)),IF(VLOOKUP($A221,[1]!Table1[#All],2,FALSE)="Resultat",SUMIF($F$1:$F220,$D221,H$1:H220)+SUMIF($F222:$F$490,$D221,H222:H$490),0))*'[1]Processer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202.21660385890681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input'!$A$3:$A$230,$A$1)),IF(VLOOKUP($A221,[1]!Table1[#All],2,FALSE)="Resultat",SUMIF($F$1:$F220,$D221,I$1:I220)+SUMIF($F222:$F$490,$D221,I222:I$490),0))*'[1]Processer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255.0962070298512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input'!$A$3:$A$230,$A$1)),IF(VLOOKUP($A221,[1]!Table1[#All],2,FALSE)="Resultat",SUMIF($F$1:$F220,$D221,J$1:J220)+SUMIF($F222:$F$490,$D221,J222:J$490),0))*'[1]Processer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1.0362800724415555E-2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input'!$A$3:$A$230,$A$1)),IF(VLOOKUP($A222,[1]!Table1[#All],2,FALSE)="Resultat",SUMIF($F$1:$F221,$D222,H$1:H221)+SUMIF($F223:$F$490,$D222,H223:H$490),0))*'[1]Processer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0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input'!$A$3:$A$230,$A$1)),IF(VLOOKUP($A222,[1]!Table1[#All],2,FALSE)="Resultat",SUMIF($F$1:$F221,$D222,I$1:I221)+SUMIF($F223:$F$490,$D222,I223:I$490),0))*'[1]Processer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0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input'!$A$3:$A$230,$A$1)),IF(VLOOKUP($A222,[1]!Table1[#All],2,FALSE)="Resultat",SUMIF($F$1:$F221,$D222,J$1:J221)+SUMIF($F223:$F$490,$D222,J223:J$490),0))*'[1]Processer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input'!$A$3:$A$230,$A$1)),IF(VLOOKUP($A223,[1]!Table1[#All],2,FALSE)="Resultat",SUMIF($F$1:$F222,$D223,H$1:H222)+SUMIF($F224:$F$490,$D223,H224:H$490),0))*'[1]Processer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4125.6158188884119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input'!$A$3:$A$230,$A$1)),IF(VLOOKUP($A223,[1]!Table1[#All],2,FALSE)="Resultat",SUMIF($F$1:$F222,$D223,I$1:I222)+SUMIF($F224:$F$490,$D223,I224:I$490),0))*'[1]Processer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3848.7089131014404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input'!$A$3:$A$230,$A$1)),IF(VLOOKUP($A223,[1]!Table1[#All],2,FALSE)="Resultat",SUMIF($F$1:$F222,$D223,J$1:J222)+SUMIF($F224:$F$490,$D223,J224:J$490),0))*'[1]Processer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0.12673543437378815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input'!$A$3:$A$230,$A$1)),IF(VLOOKUP($A224,[1]!Table1[#All],2,FALSE)="Resultat",SUMIF($F$1:$F223,$D224,H$1:H223)+SUMIF($F225:$F$490,$D224,H225:H$490),0))*'[1]Processer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269.81397519140432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input'!$A$3:$A$230,$A$1)),IF(VLOOKUP($A224,[1]!Table1[#All],2,FALSE)="Resultat",SUMIF($F$1:$F223,$D224,I$1:I223)+SUMIF($F225:$F$490,$D224,I225:I$490),0))*'[1]Processer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8.8055095196287649E-3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input'!$A$3:$A$230,$A$1)),IF(VLOOKUP($A224,[1]!Table1[#All],2,FALSE)="Resultat",SUMIF($F$1:$F223,$D224,J$1:J223)+SUMIF($F225:$F$490,$D224,J225:J$490),0))*'[1]Processer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1.1414549377296546E-2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input'!$A$3:$A$230,$A$1)),IF(VLOOKUP($A225,[1]!Table1[#All],2,FALSE)="Resultat",SUMIF($F$1:$F224,$D225,H$1:H224)+SUMIF($F226:$F$490,$D225,H226:H$490),0))*'[1]Processer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80.102033939855289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input'!$A$3:$A$230,$A$1)),IF(VLOOKUP($A225,[1]!Table1[#All],2,FALSE)="Resultat",SUMIF($F$1:$F224,$D225,I$1:I224)+SUMIF($F226:$F$490,$D225,I226:I$490),0))*'[1]Processer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3.2976132218913174E-3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input'!$A$3:$A$230,$A$1)),IF(VLOOKUP($A225,[1]!Table1[#All],2,FALSE)="Resultat",SUMIF($F$1:$F224,$D225,J$1:J224)+SUMIF($F226:$F$490,$D225,J226:J$490),0))*'[1]Processer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5.2734417047898543E-3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0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0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3587.1217707853484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0.1092047137620354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0.14156166598782366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345562.72197585326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610968.09555385693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497379.75724454958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-574139.38653041748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-946921.98865460476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-770874.66968238191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9669.7591800427253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15948.231052237823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12983.210329585532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3765.9342889773907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3085.4320588884757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7.4753673721964703E-2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-4055.43529925238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-3099.4593262392268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-7.509352556337151E-2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617.65030316910463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472.05339285400112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1.1436882950346606E-2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1548.442836537469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4.1400673880798877E-2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3.9486191851628986E-2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-1020.9044365488588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-2.546258775273496E-2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-2.4285127047406173E-2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557.43688618611748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1.390314815273707E-2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1.3260228006945761E-2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25184.97855976026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54351.439251872012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60137.734285022809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-41843.88888189412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-84237.742227713097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-93205.755516142526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1236.3900515198202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2489.0302798290245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2754.014312336325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274.46529470267637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274.47860916932729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9.0383987318375502E-3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-295.56443611213086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-275.72646838625258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-9.0794899090258282E-3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78.973703061042258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73.673072873167797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2.4260054743159469E-3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112.85216014109164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3.6829848036155767E-3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4.7742395602424137E-3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-74.404600701819234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-2.2651400318762483E-3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-2.9362926339136551E-3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71.274724385396382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2.1698554920456699E-3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2.8127756378369794E-3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22720.469700023845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127677.0689911464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103939.94390647215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-374660.27773890906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-1963986.3468391802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-1598851.1667486441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5260.4828405136559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27575.692141429448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22448.948092324048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865.32022470025004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708.95734169055743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1.7176578447369726E-2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-11890.933594231939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-9087.9183877320957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-0.22018157360207954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905.55356946975951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692.09005919036315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1.6767918879266978E-2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576.59340131419003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1.5416362042146159E-2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1.4703466687596051E-2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-6791.4417115923443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-0.1693867460636983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-0.16155383295092615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1382.6256855599813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3.4484351901502862E-2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3.2889699790450713E-2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1655.8919868178593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11358.093016033197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12567.284126873448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-27305.639358598386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-174715.31721303461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-193315.64107051786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672.61330185195686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4303.7207388358102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4761.8980801899488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63.065457934219985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63.068517275246698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2.076804485000157E-3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-866.62388209568098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-808.4570172670343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-2.6621953899160521E-2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115.78545065749256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108.0140554805769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3.5568312774202676E-3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42.022740088301042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1.3714324383157768E-3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1.7777827904093401E-3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-494.96749220613719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-1.5068566600695473E-2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-1.9533327074975612E-2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176.78461384335924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5.381950874801025E-3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6.9766029858531805E-3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1410243.012533868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1253239.7877994173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1020243.2925074692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-6724808.9652137514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-5574749.8449351965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-4538318.3586032903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107614.03120203332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89210.162974096893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72624.625617446291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53709.796346617048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44004.466038950108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1.0661377187381633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-187769.53484407938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-143507.16828434472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-3.4768835709043713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24022.02410201143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18359.382197972347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0.44481007533787331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35788.732627988727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0.956882367999908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0.91263347236985437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-92586.925666000592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-2.3092295763705035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-2.2024443936481677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35134.438446015294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0.87629526334408736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0.83577293902759764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102780.01004170519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111487.63198978631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123356.68900317581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-490111.22681001009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-495927.16828643158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-548723.94699476147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13759.692987674753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13922.97341214229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15405.223615821944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3914.4270588688114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3914.6169499389716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0.12890574235652336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-13684.84332507006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-12766.331328878992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-0.42038683175480124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3071.492377844826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2865.3371060419277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9.4353652344397368E-2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2608.3208824239759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8.5123812968315504E-2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0.11034568347744603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-6747.8335755651324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-0.20542799526209277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-0.26629554941382388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4492.342503218043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0.13676284456815238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0.17728516888464194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6482362.7921532476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3346823.5222590859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2724597.7051101746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-23302135.402033687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-11222779.124795318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-9136292.3814208228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331137.08758742217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159482.31052237825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129832.10329585533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266294.8115655054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218175.48732189485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5.2859433888383958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-648137.60023057926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-495354.00801273214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-12.001408938880065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79729.372392022284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60934.999229604276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1.4763297209982922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105484.6913011686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2.820341313820756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2.6899209062452294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-169279.28122278876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-4.2220294070089235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-4.0267910529275861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69322.733873832651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1.7289925788636529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1.6490391648121545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687941.11987552466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433539.39383714506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479694.32323303365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-2472940.4443964041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-1453771.5617726184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-1608541.1738198476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42339.689454451029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24890.302798290246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27540.143123363247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28260.552017725568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28261.922953084759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0.93064639664094173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-68783.639674685895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-64166.955604423863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-2.1129753313603992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10194.318286939981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9510.0865849671427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0.31316084990872861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11194.568861725998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0.36534016672094299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0.47358910500862972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-17964.77334423404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-0.5469114393703467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-0.70895927325785679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8863.7097274002645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0.26984277242380711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0.34979618647530547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436106.27464553615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602142.50205011794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490194.9769158003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232926.54181955408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405687.89375531493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407428.84741788998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-17345135.923402004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-22340344.695295673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-18186932.021765824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225357.35915605063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290257.80515072832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236294.42799845667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11407.483483912159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9346.1575671998344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0.22643817786226661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6092.7939661749042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6296.8864765952239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0.18820561238365627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-313273.69416046649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-239426.596994427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-5.8008140741655101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34550.187381981341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26405.772155737857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0.63975755694250325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5464.7424062050713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0.14611066864294522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0.13935410593113273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2918.7462428661593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9.8440700025529085E-2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0.11582510110507392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-102020.35336259467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-2.544510638862107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-2.4268454070072116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36329.620262329074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0.90610453910866218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0.86420375117300141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30668.664765661808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51686.798586382974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57189.41397351004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16380.287194663799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34823.49839460363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47533.365532087162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-1219776.4395433674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-1917653.8654632419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-2121808.7358726799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28814.533196688037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45300.351092888246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50123.060484521113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802.21796183116862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802.25687787813627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2.641778741726444E-2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428.46862450383622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540.5130877308618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2.1957321444759897E-2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-22030.606906348377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-20551.936215995614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-0.6767616419859761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4417.6392774487476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4121.1320705486833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0.13570614844234916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384.3016315755155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1.2541869533801946E-2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1.6257979025298817E-2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205.25742293264071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8.4499676033474389E-3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1.3512928462258624E-2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-7174.4622777896566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-0.2184160866306491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-0.28313196415084135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4645.1602600963715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0.14141515928285478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0.18331594721851543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711399.98164280283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868028.00036343175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706648.28367323068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118184.45884859512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181905.72916666337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182686.35252346256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-7468054.9445148157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-8500267.7180683818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-6919937.595585702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113200.49642276853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128846.73888460379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104892.15422956061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63575.679900016126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52087.589925103726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1.2619751878858152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10561.790158560272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10915.582241463493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0.32625232294002166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-500548.23188054201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-382555.45238773926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-9.2685319017051615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59293.43955865829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45316.369431110084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1.0979224400545016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54606.120392299716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1.4600023513380349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1.3924877917385883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9071.6825343208366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0.30596108903628955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0.35999311324133687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-327564.57521950954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-8.1698555149877059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-7.7920587281674631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111786.03641670461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2.7880785506357664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2.6591500627450948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51847.586981155284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77219.369512099496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85440.20157139971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8613.4090077190758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16182.249548410105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22088.440805109563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-544279.78395730944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-756179.88543972454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-836683.36382990761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14473.986890291675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20109.028612047987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22249.850897179527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4633.4631410733318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4633.687912990441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0.15258427271710306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769.75449543603963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971.04514853250396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3.9446871773657161E-2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-36480.487293181584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-34031.956140157839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-1.1206497662970782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7581.3489690642873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7072.4969632368347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0.23289263879943969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3979.7521082376875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0.1298811340294356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0.16836443300112025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661.15386758582895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2.7218156995771656E-2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4.3526440055543465E-2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-23873.254489576524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-0.726786568645438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-0.94213073713297524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14293.131892022484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0.43513364663101561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0.56406213452168696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671116.11556488532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570481.51952627848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464420.25657208794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-1476455.4542427477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-1170764.312460646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-953101.27281585208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26384.183365892331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20921.498315062545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17031.870941975852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25559.786201072951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20941.147059828374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0.50736092864674365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-42599.643668454919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-32557.753513414758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-0.78880741394083276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4541.8438095685351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3471.2081725195412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8.4100235622437486E-2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17031.387504718623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0.45536774311739758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0.4343102752275757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-21897.498220352514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-0.54615001173461863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-0.52089451986249746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6934.6200187671584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0.17295778570287446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0.16495973780909989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48911.655993936409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50749.772170574724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56152.631021897891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-107605.64318666011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-104150.65184259738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-115238.60844046209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3373.5216383041152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3265.204939345022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3612.8211089039683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1862.824392010257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1862.9147586749057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6.1344548645469892E-2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-3104.7073200170953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-2896.322696944816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-9.5373987321937012E-2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580.72702713187982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541.74925235854118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1.7839443919910981E-2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1241.2656281231627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4.0509303853044784E-2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5.2512060550243253E-2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-1595.9129504440664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-4.8585252488992946E-2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-6.2980882856101969E-2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886.67101658223703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2.6993411641489076E-2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3.4991459535263621E-2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120418.55608782951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107012.28393783615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87117.059294127917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-592459.29595212115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-491138.46732663608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-399828.29452155723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9704.9491751457172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8045.2343239950869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6549.5018875195237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20477.362879112719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16777.114803525586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0.40647499023864508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-83957.187804362155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-64166.204006021362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-1.5546151678903404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7459.3823026973923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5701.0037986160087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0.13812359815919922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19611.217719488592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0.52434459319496152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0.50009744437669734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-68919.42227134564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-1.7189335011455296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-1.6394452467572969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16369.335913013036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0.4082709773973468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0.38939139462752725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8776.2323896765447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9519.7632936606842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10533.244441926374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-43179.063357208601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-43691.450937323287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-48342.875610333729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1240.8894975813275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1255.614605479002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1389.288279170808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1492.4119769693252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1492.4843747182588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4.9146521547036179E-2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-6118.8891055742333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-5708.1958361425941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-0.18796710666310479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953.76791684457555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889.75203793429046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2.9298945064072567E-2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1429.2863969008301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4.6645452539135587E-2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6.0466327365546121E-2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-5022.92076625149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-0.15291552937936242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-0.19822383438065497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2093.0080776578347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6.3718591848140826E-2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8.2598174617960318E-2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1641051.5457713443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1036906.2316772139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1603845.9777935671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-5950150.6373145189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-3507118.4764985368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-5424673.6014686143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233923.55186918346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137878.46070714726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213265.00687707844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327244.33575082856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268111.46640836471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6.4957894708038477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-988773.07152172015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-755692.46996177512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-18.308874496500476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210839.92574728845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161139.24301085269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3.9040724818867463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410092.10534101515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10.964621433671345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10.457586916507353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-1062084.5989356032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-26.489670661678876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-25.264714792930722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605424.21262551891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15.100009941890358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14.401743586196005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209827.33566007458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161829.2962733224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340209.75286530203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-760795.2707036786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-547353.75066740159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-1150688.3397054633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29909.819568635943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21518.603694179052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45238.031761804508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41841.956309893176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41843.986086854602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1.3778947362311191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-126426.02220779905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-117940.44328883197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-3.8837006507728278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26958.312177529657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25148.899198225565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0.82813658706688553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52434.997584728757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1.711241495428476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2.2182760125924688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-135799.74511739551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-4.1342260570250273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-5.359181925773183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77410.456610368681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2.3566489504684371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3.0549153061627887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640280.13059892249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613716.58108207851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691748.76447704039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693636.80814883276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664859.62950558506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749394.49485012726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3160794.2116654618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2502141.5052936058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1534789.7228421343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input'!$A$3:$A$230,$A$1)),IF(VLOOKUP($A405,[1]!Table1[#All],2,FALSE)="Resultat",SUMIF($F$1:$F404,$D405,H$1:H404)+SUMIF($F406:$F$490,$D405,H406:H$490),0))*'[1]Processer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123050.04950946826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input'!$A$3:$A$230,$A$1)),IF(VLOOKUP($A405,[1]!Table1[#All],2,FALSE)="Resultat",SUMIF($F$1:$F404,$D405,I$1:I404)+SUMIF($F406:$F$490,$D405,I406:I$490),0))*'[1]Processer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97408.630707357341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input'!$A$3:$A$230,$A$1)),IF(VLOOKUP($A405,[1]!Table1[#All],2,FALSE)="Resultat",SUMIF($F$1:$F404,$D405,J$1:J404)+SUMIF($F406:$F$490,$D405,J406:J$490),0))*'[1]Processer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59749.524561055543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input'!$A$3:$A$230,$A$1)),IF(VLOOKUP($A406,[1]!Table1[#All],2,FALSE)="Resultat",SUMIF($F$1:$F405,$D406,H$1:H405)+SUMIF($F407:$F$490,$D406,H407:H$490),0))*'[1]Processer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16168.776505544129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input'!$A$3:$A$230,$A$1)),IF(VLOOKUP($A406,[1]!Table1[#All],2,FALSE)="Resultat",SUMIF($F$1:$F405,$D406,I$1:I405)+SUMIF($F407:$F$490,$D406,I407:I$490),0))*'[1]Processer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12799.494074946755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input'!$A$3:$A$230,$A$1)),IF(VLOOKUP($A406,[1]!Table1[#All],2,FALSE)="Resultat",SUMIF($F$1:$F405,$D406,J$1:J405)+SUMIF($F407:$F$490,$D406,J407:J$490),0))*'[1]Processer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7851.0875273226984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1638157.7192038004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1296795.0922933305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795441.73503903183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1394376.9846055224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1102410.4206254377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670075.43744177814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19793.458911774498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21120.452678686721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12837.593243730647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124355.90277843094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98317.201590938494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59759.904869842845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122702.02440075704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97009.626395618849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58965.124627748664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108094.85577035608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84934.510833187902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51394.057868840908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46730.877781272859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41193.926040245511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24926.534549838969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6920.1731003712566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5437.460580082532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3290.219263888519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71128.867816474158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55888.835329455884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33818.456231360462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185576.29959415729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181628.8895635134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173658.75124992887</v>
      </c>
    </row>
    <row r="417" spans="1:15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507.16810392744208</v>
      </c>
      <c r="I417" s="30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669.935164472015</v>
      </c>
      <c r="J417" s="30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640.53744071337906</v>
      </c>
    </row>
    <row r="418" spans="1:15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5">
        <f>SUMIFS('Forbrug af biomasse'!$E$1:$E$425,'Forbrug af biomasse'!$A$1:$A$425,$F418,'Forbrug af biomasse'!$C$1:$C$425,$D418,'Forbrug af biomasse'!$B$1:$B$425,$A$1,'Forbrug af biomasse'!$D$1:$D$425,H$2)*'[1]Processer - data'!H418</f>
        <v>5290666613.2844982</v>
      </c>
      <c r="I418" s="276">
        <f>SUMIFS('Forbrug af biomasse'!$E$1:$E$425,'Forbrug af biomasse'!$A$1:$A$425,$F418,'Forbrug af biomasse'!$C$1:$C$425,$D418,'Forbrug af biomasse'!$B$1:$B$425,$A$1,'Forbrug af biomasse'!$D$1:$D$425,I$2)*'[1]Processer - data'!I418</f>
        <v>4264558585.7951999</v>
      </c>
      <c r="J418" s="277">
        <f>SUMIFS('Forbrug af biomasse'!$E$1:$E$425,'Forbrug af biomasse'!$A$1:$A$425,$F418,'Forbrug af biomasse'!$C$1:$C$425,$D418,'Forbrug af biomasse'!$B$1:$B$425,$A$1,'Forbrug af biomasse'!$D$1:$D$425,J$2)*'[1]Processer - data'!J418</f>
        <v>2724321569.9699998</v>
      </c>
      <c r="N418" s="171"/>
      <c r="O418" s="171"/>
    </row>
    <row r="419" spans="1:15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78">
        <f>SUMIFS('Forbrug af biomasse'!$E$1:$E$425,'Forbrug af biomasse'!$A$1:$A$425,$F419,'Forbrug af biomasse'!$C$1:$C$425,$D419,'Forbrug af biomasse'!$B$1:$B$425,$A$1,'Forbrug af biomasse'!$D$1:$D$425,H$2)*'[1]Processer - data'!H419</f>
        <v>146913194.13793731</v>
      </c>
      <c r="I419" s="279">
        <f>SUMIFS('Forbrug af biomasse'!$E$1:$E$425,'Forbrug af biomasse'!$A$1:$A$425,$F419,'Forbrug af biomasse'!$C$1:$C$425,$D419,'Forbrug af biomasse'!$B$1:$B$425,$A$1,'Forbrug af biomasse'!$D$1:$D$425,I$2)*'[1]Processer - data'!I419</f>
        <v>106613964.64488</v>
      </c>
      <c r="J419" s="280">
        <f>SUMIFS('Forbrug af biomasse'!$E$1:$E$425,'Forbrug af biomasse'!$A$1:$A$425,$F419,'Forbrug af biomasse'!$C$1:$C$425,$D419,'Forbrug af biomasse'!$B$1:$B$425,$A$1,'Forbrug af biomasse'!$D$1:$D$425,J$2)*'[1]Processer - data'!J419</f>
        <v>68108039.249249995</v>
      </c>
      <c r="M419" s="171"/>
      <c r="N419" s="171"/>
      <c r="O419" s="171"/>
    </row>
    <row r="420" spans="1:15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78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79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0">
        <f>SUMIFS('Forbrug af biomasse'!$E$1:$E$425,'Forbrug af biomasse'!$A$1:$A$425,$F420,'Forbrug af biomasse'!$C$1:$C$425,$D420,'Forbrug af biomasse'!$B$1:$B$425,$A$1,'Forbrug af biomasse'!$D$1:$D$425,J$2)*'[1]Processer - data'!J420</f>
        <v>0</v>
      </c>
      <c r="M420" s="171"/>
      <c r="N420" s="171"/>
      <c r="O420" s="171"/>
    </row>
    <row r="421" spans="1:15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78">
        <f>SUMIFS('Forbrug af biomasse'!$E$1:$E$425,'Forbrug af biomasse'!$A$1:$A$425,$F421,'Forbrug af biomasse'!$C$1:$C$425,$D421,'Forbrug af biomasse'!$B$1:$B$425,$A$1,'Forbrug af biomasse'!$D$1:$D$425,H$2)*'[1]Processer - data'!H421</f>
        <v>69873348.431457981</v>
      </c>
      <c r="I421" s="279">
        <f>SUMIFS('Forbrug af biomasse'!$E$1:$E$425,'Forbrug af biomasse'!$A$1:$A$425,$F421,'Forbrug af biomasse'!$C$1:$C$425,$D421,'Forbrug af biomasse'!$B$1:$B$425,$A$1,'Forbrug af biomasse'!$D$1:$D$425,I$2)*'[1]Processer - data'!I421</f>
        <v>53306982.322439998</v>
      </c>
      <c r="J421" s="280">
        <f>SUMIFS('Forbrug af biomasse'!$E$1:$E$425,'Forbrug af biomasse'!$A$1:$A$425,$F421,'Forbrug af biomasse'!$C$1:$C$425,$D421,'Forbrug af biomasse'!$B$1:$B$425,$A$1,'Forbrug af biomasse'!$D$1:$D$425,J$2)*'[1]Processer - data'!J421</f>
        <v>34054019.624624997</v>
      </c>
      <c r="M421" s="171"/>
      <c r="N421" s="171"/>
      <c r="O421" s="171"/>
    </row>
    <row r="422" spans="1:15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78">
        <f>SUMIFS('Forbrug af biomasse'!$E$1:$E$425,'Forbrug af biomasse'!$A$1:$A$425,$F422,'Forbrug af biomasse'!$C$1:$C$425,$D422,'Forbrug af biomasse'!$B$1:$B$425,$A$1,'Forbrug af biomasse'!$D$1:$D$425,H$2)*'[1]Processer - data'!H422</f>
        <v>128101138.7910063</v>
      </c>
      <c r="I422" s="279">
        <f>SUMIFS('Forbrug af biomasse'!$E$1:$E$425,'Forbrug af biomasse'!$A$1:$A$425,$F422,'Forbrug af biomasse'!$C$1:$C$425,$D422,'Forbrug af biomasse'!$B$1:$B$425,$A$1,'Forbrug af biomasse'!$D$1:$D$425,I$2)*'[1]Processer - data'!I422</f>
        <v>106613964.64487998</v>
      </c>
      <c r="J422" s="280">
        <f>SUMIFS('Forbrug af biomasse'!$E$1:$E$425,'Forbrug af biomasse'!$A$1:$A$425,$F422,'Forbrug af biomasse'!$C$1:$C$425,$D422,'Forbrug af biomasse'!$B$1:$B$425,$A$1,'Forbrug af biomasse'!$D$1:$D$425,J$2)*'[1]Processer - data'!J422</f>
        <v>68108039.249249995</v>
      </c>
      <c r="M422" s="171"/>
      <c r="N422" s="171"/>
      <c r="O422" s="171"/>
    </row>
    <row r="423" spans="1:15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78">
        <f>SUMIFS('Forbrug af biomasse'!$E$1:$E$425,'Forbrug af biomasse'!$A$1:$A$425,$F423,'Forbrug af biomasse'!$C$1:$C$425,$D423,'Forbrug af biomasse'!$B$1:$B$425,$A$1,'Forbrug af biomasse'!$D$1:$D$425,H$2)*'[1]Processer - data'!H423</f>
        <v>1498693742.6388359</v>
      </c>
      <c r="I423" s="279">
        <f>SUMIFS('Forbrug af biomasse'!$E$1:$E$425,'Forbrug af biomasse'!$A$1:$A$425,$F423,'Forbrug af biomasse'!$C$1:$C$425,$D423,'Forbrug af biomasse'!$B$1:$B$425,$A$1,'Forbrug af biomasse'!$D$1:$D$425,I$2)*'[1]Processer - data'!I423</f>
        <v>1226060593.4161203</v>
      </c>
      <c r="J423" s="280">
        <f>SUMIFS('Forbrug af biomasse'!$E$1:$E$425,'Forbrug af biomasse'!$A$1:$A$425,$F423,'Forbrug af biomasse'!$C$1:$C$425,$D423,'Forbrug af biomasse'!$B$1:$B$425,$A$1,'Forbrug af biomasse'!$D$1:$D$425,J$2)*'[1]Processer - data'!J423</f>
        <v>783242451.36637497</v>
      </c>
      <c r="M423" s="171"/>
      <c r="N423" s="171"/>
      <c r="O423" s="171"/>
    </row>
    <row r="424" spans="1:15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78">
        <f>SUMIFS('Forbrug af biomasse'!$E$1:$E$425,'Forbrug af biomasse'!$A$1:$A$425,$F424,'Forbrug af biomasse'!$C$1:$C$425,$D424,'Forbrug af biomasse'!$B$1:$B$425,$A$1,'Forbrug af biomasse'!$D$1:$D$425,H$2)*'[1]Processer - data'!H424</f>
        <v>215890730.41001761</v>
      </c>
      <c r="I424" s="279">
        <f>SUMIFS('Forbrug af biomasse'!$E$1:$E$425,'Forbrug af biomasse'!$A$1:$A$425,$F424,'Forbrug af biomasse'!$C$1:$C$425,$D424,'Forbrug af biomasse'!$B$1:$B$425,$A$1,'Forbrug af biomasse'!$D$1:$D$425,I$2)*'[1]Processer - data'!I424</f>
        <v>159920946.96731997</v>
      </c>
      <c r="J424" s="280">
        <f>SUMIFS('Forbrug af biomasse'!$E$1:$E$425,'Forbrug af biomasse'!$A$1:$A$425,$F424,'Forbrug af biomasse'!$C$1:$C$425,$D424,'Forbrug af biomasse'!$B$1:$B$425,$A$1,'Forbrug af biomasse'!$D$1:$D$425,J$2)*'[1]Processer - data'!J424</f>
        <v>102162058.87387499</v>
      </c>
      <c r="M424" s="171"/>
      <c r="N424" s="171"/>
      <c r="O424" s="171"/>
    </row>
    <row r="425" spans="1:15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78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79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0">
        <f>SUMIFS('Forbrug af biomasse'!$E$1:$E$425,'Forbrug af biomasse'!$A$1:$A$425,$F425,'Forbrug af biomasse'!$C$1:$C$425,$D425,'Forbrug af biomasse'!$B$1:$B$425,$A$1,'Forbrug af biomasse'!$D$1:$D$425,J$2)*'[1]Processer - data'!J425</f>
        <v>0</v>
      </c>
      <c r="M425" s="171"/>
      <c r="N425" s="171"/>
      <c r="O425" s="171"/>
    </row>
    <row r="426" spans="1:15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78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79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0">
        <f>SUMIFS('Forbrug af biomasse'!$E$1:$E$425,'Forbrug af biomasse'!$A$1:$A$425,$F426,'Forbrug af biomasse'!$C$1:$C$425,$D426,'Forbrug af biomasse'!$B$1:$B$425,$A$1,'Forbrug af biomasse'!$D$1:$D$425,J$2)*'[1]Processer - data'!J426</f>
        <v>0</v>
      </c>
      <c r="M426" s="171"/>
      <c r="N426" s="171"/>
      <c r="O426" s="171"/>
    </row>
    <row r="427" spans="1:15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78">
        <f>SUMIFS('Forbrug af biomasse'!$E$1:$E$425,'Forbrug af biomasse'!$A$1:$A$425,$F427,'Forbrug af biomasse'!$C$1:$C$425,$D427,'Forbrug af biomasse'!$B$1:$B$425,$A$1,'Forbrug af biomasse'!$D$1:$D$425,H$2)*'[1]Processer - data'!H427</f>
        <v>2035285226.1060581</v>
      </c>
      <c r="I427" s="279">
        <f>SUMIFS('Forbrug af biomasse'!$E$1:$E$425,'Forbrug af biomasse'!$A$1:$A$425,$F427,'Forbrug af biomasse'!$C$1:$C$425,$D427,'Forbrug af biomasse'!$B$1:$B$425,$A$1,'Forbrug af biomasse'!$D$1:$D$425,I$2)*'[1]Processer - data'!I427</f>
        <v>1652516451.9956398</v>
      </c>
      <c r="J427" s="280">
        <f>SUMIFS('Forbrug af biomasse'!$E$1:$E$425,'Forbrug af biomasse'!$A$1:$A$425,$F427,'Forbrug af biomasse'!$C$1:$C$425,$D427,'Forbrug af biomasse'!$B$1:$B$425,$A$1,'Forbrug af biomasse'!$D$1:$D$425,J$2)*'[1]Processer - data'!J427</f>
        <v>1055674608.3633748</v>
      </c>
      <c r="M427" s="171"/>
      <c r="N427" s="171"/>
      <c r="O427" s="171"/>
    </row>
    <row r="428" spans="1:15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78">
        <f>SUMIFS('Forbrug af biomasse'!$E$1:$E$425,'Forbrug af biomasse'!$A$1:$A$425,$F428,'Forbrug af biomasse'!$C$1:$C$425,$D428,'Forbrug af biomasse'!$B$1:$B$425,$A$1,'Forbrug af biomasse'!$D$1:$D$425,H$2)*'[1]Processer - data'!H428</f>
        <v>146017381.97855964</v>
      </c>
      <c r="I428" s="279">
        <f>SUMIFS('Forbrug af biomasse'!$E$1:$E$425,'Forbrug af biomasse'!$A$1:$A$425,$F428,'Forbrug af biomasse'!$C$1:$C$425,$D428,'Forbrug af biomasse'!$B$1:$B$425,$A$1,'Forbrug af biomasse'!$D$1:$D$425,I$2)*'[1]Processer - data'!I428</f>
        <v>106613964.64488</v>
      </c>
      <c r="J428" s="280">
        <f>SUMIFS('Forbrug af biomasse'!$E$1:$E$425,'Forbrug af biomasse'!$A$1:$A$425,$F428,'Forbrug af biomasse'!$C$1:$C$425,$D428,'Forbrug af biomasse'!$B$1:$B$425,$A$1,'Forbrug af biomasse'!$D$1:$D$425,J$2)*'[1]Processer - data'!J428</f>
        <v>68108039.249249995</v>
      </c>
      <c r="M428" s="171"/>
      <c r="N428" s="171"/>
      <c r="O428" s="171"/>
    </row>
    <row r="429" spans="1:15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78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79">
        <f>SUMIFS('Forbrug af biomasse'!$E$1:$E$425,'Forbrug af biomasse'!$A$1:$A$425,$F429,'Forbrug af biomasse'!$C$1:$C$425,$D429,'Forbrug af biomasse'!$B$1:$B$425,$A$1,'Forbrug af biomasse'!$D$1:$D$425,I$2)*'[1]Processer - data'!I429</f>
        <v>543731219.68888795</v>
      </c>
      <c r="J429" s="280">
        <f>SUMIFS('Forbrug af biomasse'!$E$1:$E$425,'Forbrug af biomasse'!$A$1:$A$425,$F429,'Forbrug af biomasse'!$C$1:$C$425,$D429,'Forbrug af biomasse'!$B$1:$B$425,$A$1,'Forbrug af biomasse'!$D$1:$D$425,J$2)*'[1]Processer - data'!J429</f>
        <v>347351000.17117494</v>
      </c>
      <c r="M429" s="171"/>
      <c r="N429" s="171"/>
      <c r="O429" s="171"/>
    </row>
    <row r="430" spans="1:15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78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79">
        <f>SUMIFS('Forbrug af biomasse'!$E$1:$E$425,'Forbrug af biomasse'!$A$1:$A$425,$F430,'Forbrug af biomasse'!$C$1:$C$425,$D430,'Forbrug af biomasse'!$B$1:$B$425,$A$1,'Forbrug af biomasse'!$D$1:$D$425,I$2)*'[1]Processer - data'!I430</f>
        <v>2334845825.7228718</v>
      </c>
      <c r="J430" s="280">
        <f>SUMIFS('Forbrug af biomasse'!$E$1:$E$425,'Forbrug af biomasse'!$A$1:$A$425,$F430,'Forbrug af biomasse'!$C$1:$C$425,$D430,'Forbrug af biomasse'!$B$1:$B$425,$A$1,'Forbrug af biomasse'!$D$1:$D$425,J$2)*'[1]Processer - data'!J430</f>
        <v>1491566059.5585749</v>
      </c>
      <c r="M430" s="171"/>
      <c r="N430" s="171"/>
      <c r="O430" s="171"/>
    </row>
    <row r="431" spans="1:15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78">
        <f>SUMIFS('Forbrug af biomasse'!$E$1:$E$425,'Forbrug af biomasse'!$A$1:$A$425,$F431,'Forbrug af biomasse'!$C$1:$C$425,$D431,'Forbrug af biomasse'!$B$1:$B$425,$A$1,'Forbrug af biomasse'!$D$1:$D$425,H$2)*'[1]Processer - data'!H431</f>
        <v>108393271.28469765</v>
      </c>
      <c r="I431" s="279">
        <f>SUMIFS('Forbrug af biomasse'!$E$1:$E$425,'Forbrug af biomasse'!$A$1:$A$425,$F431,'Forbrug af biomasse'!$C$1:$C$425,$D431,'Forbrug af biomasse'!$B$1:$B$425,$A$1,'Forbrug af biomasse'!$D$1:$D$425,I$2)*'[1]Processer - data'!I431</f>
        <v>106613964.64488</v>
      </c>
      <c r="J431" s="280">
        <f>SUMIFS('Forbrug af biomasse'!$E$1:$E$425,'Forbrug af biomasse'!$A$1:$A$425,$F431,'Forbrug af biomasse'!$C$1:$C$425,$D431,'Forbrug af biomasse'!$B$1:$B$425,$A$1,'Forbrug af biomasse'!$D$1:$D$425,J$2)*'[1]Processer - data'!J431</f>
        <v>68108039.249249995</v>
      </c>
      <c r="M431" s="171"/>
      <c r="N431" s="171"/>
      <c r="O431" s="171"/>
    </row>
    <row r="432" spans="1:15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78">
        <f>SUMIFS('Forbrug af biomasse'!$E$1:$E$425,'Forbrug af biomasse'!$A$1:$A$425,$F432,'Forbrug af biomasse'!$C$1:$C$425,$D432,'Forbrug af biomasse'!$B$1:$B$425,$A$1,'Forbrug af biomasse'!$D$1:$D$425,H$2)*'[1]Processer - data'!H432</f>
        <v>3588623510.4669328</v>
      </c>
      <c r="I432" s="279">
        <f>SUMIFS('Forbrug af biomasse'!$E$1:$E$425,'Forbrug af biomasse'!$A$1:$A$425,$F432,'Forbrug af biomasse'!$C$1:$C$425,$D432,'Forbrug af biomasse'!$B$1:$B$425,$A$1,'Forbrug af biomasse'!$D$1:$D$425,I$2)*'[1]Processer - data'!I432</f>
        <v>0</v>
      </c>
      <c r="J432" s="280">
        <f>SUMIFS('Forbrug af biomasse'!$E$1:$E$425,'Forbrug af biomasse'!$A$1:$A$425,$F432,'Forbrug af biomasse'!$C$1:$C$425,$D432,'Forbrug af biomasse'!$B$1:$B$425,$A$1,'Forbrug af biomasse'!$D$1:$D$425,J$2)*'[1]Processer - data'!J432</f>
        <v>0</v>
      </c>
      <c r="M432" s="171"/>
      <c r="N432" s="171"/>
      <c r="O432" s="171"/>
    </row>
    <row r="433" spans="1:13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78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8534106.1751940791</v>
      </c>
      <c r="I433" s="279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0</v>
      </c>
      <c r="J433" s="280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0</v>
      </c>
      <c r="L433" s="132"/>
      <c r="M433" s="125"/>
    </row>
    <row r="434" spans="1:13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78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270953.680396009</v>
      </c>
      <c r="I434" s="279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0</v>
      </c>
      <c r="J434" s="280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0</v>
      </c>
      <c r="L434" s="127"/>
      <c r="M434" s="125"/>
    </row>
    <row r="435" spans="1:13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78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3881990.8998577143</v>
      </c>
      <c r="I435" s="279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0</v>
      </c>
      <c r="J435" s="280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0</v>
      </c>
      <c r="L435" s="127"/>
      <c r="M435" s="125"/>
    </row>
    <row r="436" spans="1:13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78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30413304.875726663</v>
      </c>
      <c r="I436" s="279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89725407.062844127</v>
      </c>
      <c r="J436" s="280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69275000.484381899</v>
      </c>
      <c r="L436" s="127"/>
      <c r="M436" s="125"/>
    </row>
    <row r="437" spans="1:13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4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-32257.365042424757</v>
      </c>
      <c r="I437" s="285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-95165.757915257331</v>
      </c>
      <c r="J437" s="286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-73475.374940996669</v>
      </c>
      <c r="L437" s="127"/>
      <c r="M437" s="125"/>
    </row>
    <row r="438" spans="1:13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78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57342790.956111364</v>
      </c>
      <c r="I438" s="279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90801382.600397944</v>
      </c>
      <c r="J438" s="280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71827692.674381018</v>
      </c>
      <c r="L438" s="127"/>
      <c r="M438" s="125"/>
    </row>
    <row r="439" spans="1:13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4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-119673.00061953654</v>
      </c>
      <c r="I439" s="285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-189500.26210808445</v>
      </c>
      <c r="J439" s="286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-149902.63582566293</v>
      </c>
      <c r="L439" s="127"/>
      <c r="M439" s="125"/>
    </row>
    <row r="440" spans="1:13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78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53759.86093242302</v>
      </c>
      <c r="I440" s="279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67759.621672900408</v>
      </c>
      <c r="J440" s="280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90290.772451615776</v>
      </c>
      <c r="L440" s="127"/>
      <c r="M440" s="125"/>
    </row>
    <row r="441" spans="1:13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78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40271680.293017551</v>
      </c>
      <c r="I441" s="279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80011922.846888304</v>
      </c>
      <c r="J441" s="280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69990591.048977599</v>
      </c>
      <c r="L441" s="127"/>
      <c r="M441" s="125"/>
    </row>
    <row r="442" spans="1:13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78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31482143.493156105</v>
      </c>
      <c r="I442" s="279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0</v>
      </c>
      <c r="J442" s="280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55032917.750715137</v>
      </c>
      <c r="L442" s="128"/>
      <c r="M442" s="125"/>
    </row>
    <row r="443" spans="1:13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78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310039.29866931034</v>
      </c>
      <c r="I443" s="279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0</v>
      </c>
      <c r="J443" s="280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0</v>
      </c>
      <c r="L443" s="127"/>
      <c r="M443" s="125"/>
    </row>
    <row r="444" spans="1:13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78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37347291.841013692</v>
      </c>
      <c r="I444" s="279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18513304.683122173</v>
      </c>
      <c r="J444" s="280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18741253.763228893</v>
      </c>
      <c r="L444" s="127"/>
      <c r="M444" s="125"/>
    </row>
    <row r="445" spans="1:13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78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73468664.440101922</v>
      </c>
      <c r="I445" s="279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43162343.034527652</v>
      </c>
      <c r="J445" s="280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33894591.762682393</v>
      </c>
      <c r="L445" s="127"/>
      <c r="M445" s="125"/>
    </row>
    <row r="446" spans="1:13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78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79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0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  <c r="L446" s="127"/>
      <c r="M446" s="125"/>
    </row>
    <row r="447" spans="1:13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78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  <c r="L447" s="127"/>
      <c r="M447" s="125"/>
    </row>
    <row r="448" spans="1:13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78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1991.3211030641837</v>
      </c>
      <c r="I448" s="279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20280256.608781483</v>
      </c>
      <c r="J448" s="280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20208945.924885534</v>
      </c>
      <c r="L448" s="127"/>
      <c r="M448" s="125"/>
    </row>
    <row r="449" spans="1:14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78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79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24346074.200946674</v>
      </c>
      <c r="J449" s="280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20068343.346788101</v>
      </c>
      <c r="L449" s="128"/>
      <c r="M449" s="125"/>
    </row>
    <row r="450" spans="1:14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78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79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0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4" ht="15.75" thickBot="1" x14ac:dyDescent="0.3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78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20296537.965774857</v>
      </c>
      <c r="I451" s="279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27449433.936803631</v>
      </c>
      <c r="J451" s="280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45170363.774236813</v>
      </c>
      <c r="L451" s="142"/>
      <c r="M451" s="125"/>
    </row>
    <row r="452" spans="1:14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4">
        <f ca="1">SUMIFS('Forbrug af biomasse'!$E$1:$E$425,'Forbrug af biomasse'!$A$1:$A$425,"Biogas",'Forbrug af biomasse'!$B$1:$B$425,$A$1,'Forbrug af biomasse'!$D$1:$D$425,H$2)*'[1]Processer - data'!H452</f>
        <v>9571125.1585832145</v>
      </c>
      <c r="I452" s="285">
        <f ca="1">SUMIFS('Forbrug af biomasse'!$E$1:$E$425,'Forbrug af biomasse'!$A$1:$A$425,"Biogas",'Forbrug af biomasse'!$B$1:$B$425,$A$1,'Forbrug af biomasse'!$D$1:$D$425,I$2)*'[1]Processer - data'!I452</f>
        <v>18319681.436583094</v>
      </c>
      <c r="J452" s="286">
        <f ca="1">SUMIFS('Forbrug af biomasse'!$E$1:$E$425,'Forbrug af biomasse'!$A$1:$A$425,"Biogas",'Forbrug af biomasse'!$B$1:$B$425,$A$1,'Forbrug af biomasse'!$D$1:$D$425,J$2)*'[1]Processer - data'!J452</f>
        <v>16711149.491198121</v>
      </c>
    </row>
    <row r="453" spans="1:14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4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data'!H453</f>
        <v>67935911.099748671</v>
      </c>
      <c r="I453" s="285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data'!I453</f>
        <v>24288571.212979581</v>
      </c>
      <c r="J453" s="286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data'!J453</f>
        <v>7649114.6368171647</v>
      </c>
    </row>
    <row r="454" spans="1:14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4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data'!H454</f>
        <v>72464409.391633257</v>
      </c>
      <c r="I454" s="285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data'!I454</f>
        <v>31575864.00196863</v>
      </c>
      <c r="J454" s="286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data'!J454</f>
        <v>10188325.202039856</v>
      </c>
      <c r="M454" s="171"/>
      <c r="N454" s="171"/>
    </row>
    <row r="455" spans="1:14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4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data'!H455</f>
        <v>28726.643246332915</v>
      </c>
      <c r="I455" s="285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data'!I455</f>
        <v>22191.651520550986</v>
      </c>
      <c r="J455" s="286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data'!J455</f>
        <v>12061.744411475387</v>
      </c>
    </row>
    <row r="456" spans="1:14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4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10224311.649011683</v>
      </c>
      <c r="I456" s="285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4331828.2960654041</v>
      </c>
      <c r="J456" s="286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1545625.5523315885</v>
      </c>
    </row>
    <row r="457" spans="1:14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4">
        <f ca="1">H452*'[1]Processer - data'!H$457*Biogasanlæg!AA$3</f>
        <v>49012317.500056781</v>
      </c>
      <c r="I457" s="285">
        <f ca="1">I452*'[1]Processer - data'!I$457*Biogasanlæg!AB$3</f>
        <v>103771142.65895581</v>
      </c>
      <c r="J457" s="286">
        <f ca="1">J452*'[1]Processer - data'!J$457*Biogasanlæg!AC$3</f>
        <v>77942546.828600734</v>
      </c>
    </row>
    <row r="458" spans="1:14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4">
        <f ca="1">-SUMIFS('Resultater - Vestdanmark'!H$3:H$482,'Resultater - Vestdanmark'!$F$3:$F$482,"Gødning",'Resultater - Vestdanmark'!$A$3:$A$482,"&lt;&gt;Gødning")-SUM(H453:H457)</f>
        <v>90839230.234099507</v>
      </c>
      <c r="I458" s="285">
        <f ca="1">-SUMIFS('Resultater - Vestdanmark'!I$3:I$482,'Resultater - Vestdanmark'!$F$3:$F$482,"Gødning",'Resultater - Vestdanmark'!$A$3:$A$482,"&lt;&gt;Gødning")-SUM(I453:I457)</f>
        <v>183117764.6038118</v>
      </c>
      <c r="J458" s="286">
        <f ca="1">-SUMIFS('Resultater - Vestdanmark'!J$3:J$482,'Resultater - Vestdanmark'!$F$3:$F$482,"Gødning",'Resultater - Vestdanmark'!$A$3:$A$482,"&lt;&gt;Gødning")-SUM(J453:J457)</f>
        <v>181853360.7944015</v>
      </c>
    </row>
    <row r="459" spans="1:14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7">
        <f>SUMIFS('Forbrug af biomasse'!$E$1:$E$425,'Forbrug af biomasse'!$A$1:$A$425,$F459,'Forbrug af biomasse'!$C$1:$C$425,$D459,'Forbrug af biomasse'!$B$1:$B$425,$A$1,'Forbrug af biomasse'!$D$1:$D$425,H$2)*'[1]Processer - data'!H459</f>
        <v>11.985300912376998</v>
      </c>
      <c r="I459" s="289">
        <f>SUMIFS('Forbrug af biomasse'!$E$1:$E$425,'Forbrug af biomasse'!$A$1:$A$425,$F459,'Forbrug af biomasse'!$C$1:$C$425,$D459,'Forbrug af biomasse'!$B$1:$B$425,$A$1,'Forbrug af biomasse'!$D$1:$D$425,I$2)*'[1]Processer - data'!I459</f>
        <v>7.1811049582161264</v>
      </c>
      <c r="J459" s="290">
        <f>SUMIFS('Forbrug af biomasse'!$E$1:$E$425,'Forbrug af biomasse'!$A$1:$A$425,$F459,'Forbrug af biomasse'!$C$1:$C$425,$D459,'Forbrug af biomasse'!$B$1:$B$425,$A$1,'Forbrug af biomasse'!$D$1:$D$425,J$2)*'[1]Processer - data'!J459</f>
        <v>4.2789930549585398</v>
      </c>
    </row>
    <row r="460" spans="1:14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7">
        <f>SUMIFS('Forbrug af biomasse'!$E$1:$E$425,'Forbrug af biomasse'!$A$1:$A$425,$F460,'Forbrug af biomasse'!$C$1:$C$425,$D460,'Forbrug af biomasse'!$B$1:$B$425,$A$1,'Forbrug af biomasse'!$D$1:$D$425,H$2)*'[1]Processer - data'!H460</f>
        <v>2.8236713808268599</v>
      </c>
      <c r="I460" s="289">
        <f>SUMIFS('Forbrug af biomasse'!$E$1:$E$425,'Forbrug af biomasse'!$A$1:$A$425,$F460,'Forbrug af biomasse'!$C$1:$C$425,$D460,'Forbrug af biomasse'!$B$1:$B$425,$A$1,'Forbrug af biomasse'!$D$1:$D$425,I$2)*'[1]Processer - data'!I460</f>
        <v>7.4365521858221095</v>
      </c>
      <c r="J460" s="290">
        <f>SUMIFS('Forbrug af biomasse'!$E$1:$E$425,'Forbrug af biomasse'!$A$1:$A$425,$F460,'Forbrug af biomasse'!$C$1:$C$425,$D460,'Forbrug af biomasse'!$B$1:$B$425,$A$1,'Forbrug af biomasse'!$D$1:$D$425,J$2)*'[1]Processer - data'!J460</f>
        <v>6.1307097528024377</v>
      </c>
    </row>
    <row r="461" spans="1:14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7">
        <f>SUMIFS('Forbrug af biomasse'!$E$1:$E$425,'Forbrug af biomasse'!$A$1:$A$425,$F461,'Forbrug af biomasse'!$C$1:$C$425,$D461,'Forbrug af biomasse'!$B$1:$B$425,$A$1,'Forbrug af biomasse'!$D$1:$D$425,H$2)*'[1]Processer - data'!H461</f>
        <v>3.1685732410795864</v>
      </c>
      <c r="I461" s="289">
        <f>SUMIFS('Forbrug af biomasse'!$E$1:$E$425,'Forbrug af biomasse'!$A$1:$A$425,$F461,'Forbrug af biomasse'!$C$1:$C$425,$D461,'Forbrug af biomasse'!$B$1:$B$425,$A$1,'Forbrug af biomasse'!$D$1:$D$425,I$2)*'[1]Processer - data'!I461</f>
        <v>2.4803608001560695</v>
      </c>
      <c r="J461" s="290">
        <f>SUMIFS('Forbrug af biomasse'!$E$1:$E$425,'Forbrug af biomasse'!$A$1:$A$425,$F461,'Forbrug af biomasse'!$C$1:$C$425,$D461,'Forbrug af biomasse'!$B$1:$B$425,$A$1,'Forbrug af biomasse'!$D$1:$D$425,J$2)*'[1]Processer - data'!J461</f>
        <v>1.7967842865526156</v>
      </c>
    </row>
    <row r="462" spans="1:14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7">
        <f>SUMIFS('Forbrug af biomasse'!$E$1:$E$425,'Forbrug af biomasse'!$A$1:$A$425,$F462,'Forbrug af biomasse'!$C$1:$C$425,$D462,'Forbrug af biomasse'!$B$1:$B$425,$A$1,'Forbrug af biomasse'!$D$1:$D$425,H$2)*'[1]Processer - data'!H462</f>
        <v>33.750241076188566</v>
      </c>
      <c r="I462" s="289">
        <f>SUMIFS('Forbrug af biomasse'!$E$1:$E$425,'Forbrug af biomasse'!$A$1:$A$425,$F462,'Forbrug af biomasse'!$C$1:$C$425,$D462,'Forbrug af biomasse'!$B$1:$B$425,$A$1,'Forbrug af biomasse'!$D$1:$D$425,I$2)*'[1]Processer - data'!I462</f>
        <v>32.275394668492638</v>
      </c>
      <c r="J462" s="290">
        <f>SUMIFS('Forbrug af biomasse'!$E$1:$E$425,'Forbrug af biomasse'!$A$1:$A$425,$F462,'Forbrug af biomasse'!$C$1:$C$425,$D462,'Forbrug af biomasse'!$B$1:$B$425,$A$1,'Forbrug af biomasse'!$D$1:$D$425,J$2)*'[1]Processer - data'!J462</f>
        <v>34.029843107034417</v>
      </c>
    </row>
    <row r="463" spans="1:14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7">
        <f>SUMIFS('Forbrug af biomasse'!$E$1:$E$425,'Forbrug af biomasse'!$A$1:$A$425,$F463,'Forbrug af biomasse'!$C$1:$C$425,$D463,'Forbrug af biomasse'!$B$1:$B$425,$A$1,'Forbrug af biomasse'!$D$1:$D$425,H$2)*'[1]Processer - data'!H463</f>
        <v>9.4691817325671721</v>
      </c>
      <c r="I463" s="289">
        <f>SUMIFS('Forbrug af biomasse'!$E$1:$E$425,'Forbrug af biomasse'!$A$1:$A$425,$F463,'Forbrug af biomasse'!$C$1:$C$425,$D463,'Forbrug af biomasse'!$B$1:$B$425,$A$1,'Forbrug af biomasse'!$D$1:$D$425,I$2)*'[1]Processer - data'!I463</f>
        <v>1.7490899080527118</v>
      </c>
      <c r="J463" s="290">
        <f>SUMIFS('Forbrug af biomasse'!$E$1:$E$425,'Forbrug af biomasse'!$A$1:$A$425,$F463,'Forbrug af biomasse'!$C$1:$C$425,$D463,'Forbrug af biomasse'!$B$1:$B$425,$A$1,'Forbrug af biomasse'!$D$1:$D$425,J$2)*'[1]Processer - data'!J463</f>
        <v>1.7429396506893622</v>
      </c>
    </row>
    <row r="464" spans="1:14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7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89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0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7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89">
        <f>SUMIFS('Forbrug af biomasse'!$E$1:$E$425,'Forbrug af biomasse'!$A$1:$A$425,$F465,'Forbrug af biomasse'!$C$1:$C$425,$D465,'Forbrug af biomasse'!$B$1:$B$425,$A$1,'Forbrug af biomasse'!$D$1:$D$425,I$2)*'[1]Processer - data'!I465</f>
        <v>5.0519804559543458</v>
      </c>
      <c r="J465" s="290">
        <f>SUMIFS('Forbrug af biomasse'!$E$1:$E$425,'Forbrug af biomasse'!$A$1:$A$425,$F465,'Forbrug af biomasse'!$C$1:$C$425,$D465,'Forbrug af biomasse'!$B$1:$B$425,$A$1,'Forbrug af biomasse'!$D$1:$D$425,J$2)*'[1]Processer - data'!J465</f>
        <v>8.349743737712723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7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89">
        <f>SUMIFS('Forbrug af biomasse'!$E$1:$E$425,'Forbrug af biomasse'!$A$1:$A$425,$F466,'Forbrug af biomasse'!$C$1:$C$425,$D466,'Forbrug af biomasse'!$B$1:$B$425,$A$1,'Forbrug af biomasse'!$D$1:$D$425,I$2)*'[1]Processer - data'!I466</f>
        <v>5.4433310546550349</v>
      </c>
      <c r="J466" s="290">
        <f>SUMIFS('Forbrug af biomasse'!$E$1:$E$425,'Forbrug af biomasse'!$A$1:$A$425,$F466,'Forbrug af biomasse'!$C$1:$C$425,$D466,'Forbrug af biomasse'!$B$1:$B$425,$A$1,'Forbrug af biomasse'!$D$1:$D$425,J$2)*'[1]Processer - data'!J466</f>
        <v>8.9965548723242712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4">
        <f ca="1">SUM(H433:H451)*'[1]Processer - data'!$H$467</f>
        <v>12.632072947607</v>
      </c>
      <c r="I467" s="285">
        <f ca="1">SUM(I433:I451)*'[1]Processer - data'!$H$467</f>
        <v>15.88281413648342</v>
      </c>
      <c r="J467" s="286">
        <f ca="1">SUM(J433:J451)*'[1]Processer - data'!$H$467</f>
        <v>16.241936006787849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78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79">
        <f>SUMIFS('Forbrug af biomasse'!$E$1:$E$425,'Forbrug af biomasse'!$A$1:$A$425,$A468,'Forbrug af biomasse'!$C$1:$C$425,$D468,'Forbrug af biomasse'!$B$1:$B$425,$A$1,'Forbrug af biomasse'!$D$1:$D$425,I$2)*'[1]Processer - data'!I468</f>
        <v>849034.84571740788</v>
      </c>
      <c r="J468" s="280">
        <f>SUMIFS('Forbrug af biomasse'!$E$1:$E$425,'Forbrug af biomasse'!$A$1:$A$425,$A468,'Forbrug af biomasse'!$C$1:$C$425,$D468,'Forbrug af biomasse'!$B$1:$B$425,$A$1,'Forbrug af biomasse'!$D$1:$D$425,J$2)*'[1]Processer - data'!J468</f>
        <v>542387.65802129998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78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79">
        <f>SUMIFS('Forbrug af biomasse'!$E$1:$E$425,'Forbrug af biomasse'!$A$1:$A$425,$A469,'Forbrug af biomasse'!$C$1:$C$425,$D469,'Forbrug af biomasse'!$B$1:$B$425,$A$1,'Forbrug af biomasse'!$D$1:$D$425,I$2)*'[1]Processer - data'!I469</f>
        <v>1748012.9176534868</v>
      </c>
      <c r="J469" s="280">
        <f>SUMIFS('Forbrug af biomasse'!$E$1:$E$425,'Forbrug af biomasse'!$A$1:$A$425,$A469,'Forbrug af biomasse'!$C$1:$C$425,$D469,'Forbrug af biomasse'!$B$1:$B$425,$A$1,'Forbrug af biomasse'!$D$1:$D$425,J$2)*'[1]Processer - data'!J469</f>
        <v>1116680.4723967942</v>
      </c>
    </row>
    <row r="470" spans="1:10" x14ac:dyDescent="0.25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78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79">
        <f>SUMIFS('Forbrug af biomasse'!$E$1:$E$425,'Forbrug af biomasse'!$A$1:$A$425,$A470,'Forbrug af biomasse'!$C$1:$C$425,$D470,'Forbrug af biomasse'!$B$1:$B$425,$A$1,'Forbrug af biomasse'!$D$1:$D$425,I$2)*'[1]Processer - data'!I470</f>
        <v>2481780.8357572313</v>
      </c>
      <c r="J470" s="280">
        <f>SUMIFS('Forbrug af biomasse'!$E$1:$E$425,'Forbrug af biomasse'!$A$1:$A$425,$A470,'Forbrug af biomasse'!$C$1:$C$425,$D470,'Forbrug af biomasse'!$B$1:$B$425,$A$1,'Forbrug af biomasse'!$D$1:$D$425,J$2)*'[1]Processer - data'!J470</f>
        <v>1585432.3318038937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0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242416.84244736095</v>
      </c>
      <c r="I471" s="301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331988.93686705851</v>
      </c>
      <c r="J471" s="302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273692.39967868029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0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155146.779166311</v>
      </c>
      <c r="I472" s="301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212472.91959491745</v>
      </c>
      <c r="J472" s="302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175163.13579435539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5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6">
        <f>SUMIFS('Forbrug af biomasse'!$E$1:$E$425,'Forbrug af biomasse'!$A$1:$A$425,$A473,'Forbrug af biomasse'!$C$1:$C$425,$D473,'Forbrug af biomasse'!$B$1:$B$425,$A$1,'Forbrug af biomasse'!$D$1:$D$425,I$2)*'[1]Processer - data'!I473</f>
        <v>-707930.96106425417</v>
      </c>
      <c r="J473" s="277">
        <f>SUMIFS('Forbrug af biomasse'!$E$1:$E$425,'Forbrug af biomasse'!$A$1:$A$425,$A473,'Forbrug af biomasse'!$C$1:$C$425,$D473,'Forbrug af biomasse'!$B$1:$B$425,$A$1,'Forbrug af biomasse'!$D$1:$D$425,J$2)*'[1]Processer - data'!J473</f>
        <v>-1170044.5321225177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78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79">
        <f>SUMIFS('Forbrug af biomasse'!$E$1:$E$425,'Forbrug af biomasse'!$A$1:$A$425,$A474,'Forbrug af biomasse'!$C$1:$C$425,$D474,'Forbrug af biomasse'!$B$1:$B$425,$A$1,'Forbrug af biomasse'!$D$1:$D$425,I$2)*'[1]Processer - data'!I474</f>
        <v>151854.44517210766</v>
      </c>
      <c r="J474" s="280">
        <f>SUMIFS('Forbrug af biomasse'!$E$1:$E$425,'Forbrug af biomasse'!$A$1:$A$425,$A474,'Forbrug af biomasse'!$C$1:$C$425,$D474,'Forbrug af biomasse'!$B$1:$B$425,$A$1,'Forbrug af biomasse'!$D$1:$D$425,J$2)*'[1]Processer - data'!J474</f>
        <v>250979.93028164323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1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2">
        <f>SUMIFS('Forbrug af biomasse'!$E$1:$E$425,'Forbrug af biomasse'!$A$1:$A$425,$A475,'Forbrug af biomasse'!$C$1:$C$425,$D475,'Forbrug af biomasse'!$B$1:$B$425,$A$1,'Forbrug af biomasse'!$D$1:$D$425,I$2)*'[1]Processer - data'!I475</f>
        <v>607417.78068843065</v>
      </c>
      <c r="J475" s="283">
        <f>SUMIFS('Forbrug af biomasse'!$E$1:$E$425,'Forbrug af biomasse'!$A$1:$A$425,$A475,'Forbrug af biomasse'!$C$1:$C$425,$D475,'Forbrug af biomasse'!$B$1:$B$425,$A$1,'Forbrug af biomasse'!$D$1:$D$425,J$2)*'[1]Processer - data'!J475</f>
        <v>1003919.7211265729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38" zoomScale="80" zoomScaleNormal="80" workbookViewId="0">
      <selection activeCell="H461" sqref="H461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SUMIF($F$3:$F$472,"Roer",H3:H472)</f>
        <v>2252973.7408705982</v>
      </c>
      <c r="N3" s="171">
        <f>SUMIF($F$3:$F$472,"Roer",I3:I472)</f>
        <v>224907.22799024681</v>
      </c>
      <c r="O3" s="171">
        <f>SUMIF($F$3:$F$472,"Roer",J3:J472)</f>
        <v>202279.77798791436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71">
        <f ca="1">SUMIF($F$3:$F$472,"Bioaffald",H3:H472)</f>
        <v>165083.0224523381</v>
      </c>
      <c r="N4" s="171">
        <f ca="1">SUMIF($F$3:$F$472,"Bioaffald",I3:I472)</f>
        <v>168912.745758362</v>
      </c>
      <c r="O4" s="171">
        <f ca="1">SUMIF($F$3:$F$472,"Bioaffald",J3:J472)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-17698.068094637925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-11588.493577302976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-3893.5749808203436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-25494.685870066543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-99109.181329972387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1351.5459985745665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706.03149179268394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-10264.879494889998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-88490.34047318963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-57942.467886514874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1617.9376416873586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10594.071550019233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404.48441042183964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2648.5178875048082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-11326.763580568273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-74166.358894739038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17110.332599590522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5922.8074383197963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-3539.6136189275853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786.49746470913271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393.24873235456641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-8849.0340473189626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-17698.068094637925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-11588.493577302976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-3008.6715760884476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-19700.439081415057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-97339.374520508602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990.91682553170415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540.50008665365692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-9379.9760901581012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-67252.658759624115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-44036.275593751307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410.86795204973123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2690.3165916117728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1438.0378321740584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9416.1080706411994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-5663.3817902841365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-37083.179447369519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4422.536983868632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5849.1618173746429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-31856.522570348268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365.55163380895181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199.39180025942827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-9202.9954092117223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2136227.0597648998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1619870.1291811671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969266.04664412036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2304461.4931079326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1747439.8704342765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1045598.7208186348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295415.33610748179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224009.18314141617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134038.21173319253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24146.299060980604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18309.789870119137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10955.852152953736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-1318366527.9400001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-999698298.99885452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-598179817.41368413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-101250.40139999999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-76776.717177954502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-45940.142850221571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172641.16763381023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130911.30422612706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78332.132942302502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7300.7971009769335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36224.567861015261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37353.954222681423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7913.4866089252109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39264.566418903487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40488.73190737488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242.02673255564358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1200.8707647098604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1238.3107438143875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-13214445.09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-65566479.42514535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-67610669.101315826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-892.06425000000002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-4426.1799791952308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-4564.1765819970187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1903.4865492896727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9444.5821084449508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9739.0392367077111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28671.874161460488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22794.163449276428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13558.074175805912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832011.45504165464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661449.78842651786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393433.40302942914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16305.094847697548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12962.563762711534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7710.193067385223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311447.09427315003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247600.69511628913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147274.04222743327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3548.0077474534546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2820.6690661142875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1677.7470473474502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-215867190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-171614592.91035649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-102077156.08897279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-902.88225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-717.79212848296538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-426.94608830185337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233489.30229120082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185624.18661968777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110410.12742642483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1722.3429671759945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1420.8685354930128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1094.4945258058528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93072.7641877797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76781.549706449339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59144.800336816275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768.42993920159756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633.92596198919023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488.31294228261123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35550.925348119883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29328.183873637823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22591.489571120805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710.54820124551452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586.17569284488786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451.53092700203422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-43231034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-35663986.289643541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-27471955.911027208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-217.9716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-179.81841826711027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-138.51406341694391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39103.117544225825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32258.609590036394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24848.795454642288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8381070.1225531893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7968013.7311890414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7586881.0240243496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533.44592409892732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507.15533767330135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482.89665874509575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11823.107951660928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11240.412635453014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10702.751802787869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17466.020886846287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16605.217737186707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15810.943053088155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737.66017754835775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701.30500493487057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667.75959649352649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-29023948.800000001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-27593519.585214522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-26273643.242814526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-687.90527999999995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-654.00224990930519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-622.71946646930519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1120.7211113095154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1065.4869930890486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1014.5217267347451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80339.647949355684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109265.23151286467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135955.25786367254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141.94171980595465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193.04658747955327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240.2017386234574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534.46752083856347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726.89785045293831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904.4559127414924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983.98614463731735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1338.2617007112476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1665.1565378127891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100.97503348524653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137.33020609873373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170.87561454007789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-3972959.7600000002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-5403388.9747854788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-6723265.3171854792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-177.36427499999999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-241.22272208863745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-300.14577308863744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168.75160230287838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229.509132345392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285.57092533512582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2050859.7378424879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1372451.6368702271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1245506.6830480653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669395.49128244352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565080.07576828031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632629.0941414847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-46809922.689700156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-29221615.961637475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-26518761.748633407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665196.60976250691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415256.39762998972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376847.24512847915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27941.849064152942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22936.668399113973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0.55570830699390517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9120.1496799168617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9443.7238942713921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0.28226042272218416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-431816.49766284862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-330658.46009396855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-8.0111745025327714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53119.057334325189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40675.300260354867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0.98547887822381874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17419.002948073918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0.48136972077585966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0.45910984929489501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5685.5190147439562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0.1981945527121689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0.23319525460920743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-177491.36894308048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-4.5754933628917618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-4.3639098547811592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72685.722938236315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1.8737420577760162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1.7870950262025587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175691.44121500885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143512.42838718157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177012.91949986137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57345.247183975865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59088.43104420921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89910.013682532226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-4010075.6910701026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-3055601.3453527275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-3768878.5636694143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85053.045820675907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64808.801942252729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79937.294421192535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2393.7003792651926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2398.4065395374096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7.8977938175800455E-2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781.29781954121086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987.49690894433229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4.0115193411122532E-2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-36992.516560208642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-34575.789266473366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-1.1385578308145059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6791.8831080941573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6348.168248725905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0.2090409741686888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1492.2374631505099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5.0335134386331228E-2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6.5249248278577504E-2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487.06257737866866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2.0724505540827373E-2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3.3141992245975242E-2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-15205.191187594357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-0.47844320771509807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-0.62020415814920116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9293.7066016947356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0.29243373156041874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0.37908076313387606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79382.462637587189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403622.83018564899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366289.72484116361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-770119.05905611347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-3652701.9952046839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-3314845.2185791759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8755.0768343454401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41525.639762998966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37684.724512847912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499.82869849372969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410.29514859198309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9.940607695260192E-3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-3939.8334376901089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-3016.8816258393249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-7.3092837700917068E-2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323.10057535558866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247.41050719643644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5.9942477998219711E-3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157.19958443228344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4.3441705756537977E-3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4.1432840750455285E-3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-1034.856822305195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-2.6677243801748664E-2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-2.5443614030569529E-2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223.0481068481555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5.7498859722952995E-3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5.4839952914955163E-3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5785.478271838314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35906.100326919877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44287.757639886142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-56127.095769740605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-324942.68038265943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-400794.92188275483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1119.437381710318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6480.880194225273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7993.7294421192537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36.428046934984714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36.499666686882193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1.2019098395178235E-3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-287.13924954030608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-268.38039434489713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-8.8375885583836088E-3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41.312128830928614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38.613200545108576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1.2715071090531455E-3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11.45687283886752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3.8645540554515568E-4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5.0096071089186854E-4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-75.421465409104954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-2.3731952723058491E-3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-3.0763642418779524E-3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28.519268699737236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8.9738104769926635E-4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1.1632717284990491E-3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9513.5863477905532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44862.647707377953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40678.617515668651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-8140116.9867659071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-38385860.738935046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-34805875.863453873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1762.6798231887965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8312.1633669712282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7536.9451339174502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693.36028731789952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3990.9603943152988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4918.4146632581178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-593260.38009379094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-3414788.4206486144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-4208346.8089448772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225.37891139039866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1297.2740514926193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1598.7459374976409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104910.18611455506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623636.82772667799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565953.52132026921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-370524.95033607027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-2054644.8723026344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-1864600.4354507863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5616.4032839463534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31144.229822249225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28263.543384635934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1750.6053726466703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1437.0221110963284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3.4816090574906519E-2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-4121.8938012983772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-3156.2922315032624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-7.6470469983968878E-2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549.30054904663734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420.62050583890692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1.0190769867680008E-2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1845.915969818406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5.1011418828965656E-2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4.8652509287741813E-2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-2794.0549437266272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-7.2027050817754637E-2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-6.8696320144101236E-2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1271.3476011272733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3.2773664125333675E-2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3.1258118963468536E-2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7645.9658984285725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55478.443807592899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68428.925759632533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-27004.252301040244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-182780.25771524588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-225447.14355904958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718.12182871381867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4860.6601456689532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5995.2970815894405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127.58598070016448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127.83682248423408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4.2095818604205148E-3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-300.40800239605193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-280.78229735742894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-9.2459750071525997E-3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70.234399998019043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65.645974899713806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2.1616784567806079E-3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134.53231835071648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4.5379522299293729E-3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5.8825306684269644E-3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-203.63369477528411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-6.407493133440717E-3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-8.3060096174231504E-3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162.55642946119403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5.1149649212948525E-3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6.6305100831599928E-3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1219312.186444331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3157324.0116958227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1873457.0389057864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-3808814.7702311832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-9200243.1504217982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-5459135.7193475803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55871.488321742392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134958.32922974665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80080.039589801818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63522.285434047881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52143.635648788171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1.2633330605247997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-138685.62922252828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-106196.90735319872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-2.5729326755892035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17060.139966839099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13063.603732034793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0.31650425366260893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80390.415202441174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2.2215686991047594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2.1188371985681229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-121509.09190211787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-3.1323441068699909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-2.9874958244713783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47390.506613773643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1.2216647477936575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1.1651715802656273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121604.4199838896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384354.00974748004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309971.98280077556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-379860.64283560839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-1119983.3569241797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-903238.81901932694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7143.8131021069394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21062.860631232139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16986.675064503415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6335.2033729641935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6347.6587674189541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0.2090241972868305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-13831.392558198058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-12927.785369123498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-0.42570340632475917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2181.3353300534141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2038.8283281210372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6.7137265928432194E-2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8017.4953729155104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0.27044067516269493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0.35057124558127117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-12118.342462085115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-0.38131310341434688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-0.49429476368526443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6059.4219383129521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0.19066444040710265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0.247157607935133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24612.677857086128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217272.21169996218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197175.61219865773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7306.9808769558731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81367.207252939406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91093.749053643362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14497.851557614207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119386.21431862205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108343.58297443776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416.06078973908456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341.53245714729019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8.2746290892063736E-3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123.51960448705799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127.90196227525237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3.8228205677115386E-3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1436.4242201645229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1099.9251377656303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2.664892413718585E-2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174.21569511364672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4.8144064710030588E-3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4.5917749578930911E-3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51.720936667380549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1.802967834961597E-3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2.1213678053840198E-3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1320.212416786286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3.4033334615555896E-2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3.2459538795183367E-2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1793.798128990067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19328.435480129581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23840.324020383156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532.54053466904622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7238.3891307672675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11014.062385576877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1853.7172540181223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18632.530558397659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22981.972146092856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30.322952687784319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30.3825694537387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1.0004778807858614E-3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9.0022400938663676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11.378099418590368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4.6221375955057689E-4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183.66337594414472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171.66461687671688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5.6528020897060891E-3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12.697025075863115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4.2828737334530098E-4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5.5518733581798264E-4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3.7694768510062779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1.6039118485583221E-4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2.5649265283279502E-4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168.80435878655354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5.3115608937572781E-3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6.8853567141298044E-3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2086504.8977723797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198853.096618943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180460.17369945033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-3466648.9346714136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-308196.73084539518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-279690.06531761796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58385.9270874953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5190.7049703748708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4710.590564105989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9356.9392533941373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7680.8450433257158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0.18609108005737846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-10076.241067785293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-7715.7643884437011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-0.18693710397938804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1534.6301669440738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1175.1251991573336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2.8470866978868796E-2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4066.8673481557489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0.11238684588607067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0.10718976630752407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-2681.3278608799519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-6.9121095320005821E-2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-6.592474409133503E-2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1464.065587437058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3.7741679598542764E-2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3.5996399617107259E-2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152066.69520013814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17689.87952003198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21819.275547297173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-252653.05989809873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-27417.038657286888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-33817.071533857437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7465.313050269966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810.11002427815913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999.21618026490671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681.94368054022107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683.28442321839748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2.2500103316028485E-2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-734.36716149284473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-686.39083201241942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-2.2602395299326006E-2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196.22013701105115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183.40104264305208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6.0392748136994419E-3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296.39761599009711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9.9978818392290631E-3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1.2960217199000635E-2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-195.4180251325493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-6.1489806761554303E-3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-7.9709008764977801E-3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187.19764302048543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5.8903199373448248E-3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7.6355999187803277E-3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14347.680241215498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41555.329518645609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37711.668113687854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-236593.07818258772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-639222.84916081966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-580097.91325135576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3321.9262940682847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8975.119672595938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8144.9657190589951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224.85874801283754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184.58014456985373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4.471997321440371E-3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-3089.9317551822983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-2366.0792987158147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-5.7325235662973768E-2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235.31362850101124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180.18867380101679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4.3656010155907442E-3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158.38219565292272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4.3768517362668654E-3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4.1744539681157974E-3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-1865.5146720014454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-4.8090507448038805E-2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-4.5866668953331809E-2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379.7880644246078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9.7904353232948962E-3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9.3376984297321268E-3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1045.6741895977941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3696.7428976413639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4559.6835082913494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-17243.155069928289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-56864.969066965401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-70139.111329482097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424.74652629870178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1400.741220578557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1727.7200010125141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16.38794461190048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16.420164305954042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5.4070513068324466E-4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-225.19751135316716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-210.48532027304273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-6.9311421301595537E-3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30.08755687175195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28.12193174929164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9.2603657906470296E-4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11.543062801911081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3.8936270648061883E-4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5.04729434326728E-4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-135.96069260201509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-4.2781093041925847E-3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-5.5456972461755717E-3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48.560277024239056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1.5279870157743479E-3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1.9807239093371175E-3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359549.63570951426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407894.64200101292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370166.41529919149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-1714529.0507869916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-1814425.7901656937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-1646600.4242594831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27436.821435762409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29035.423103719138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26349.790804490014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5634.9095864199426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4625.5368549862578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0.11206724576973086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-19699.653022370087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-15084.780150869181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-0.36547320182466403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2520.246642234029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1929.8495501872892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4.6756285944690848E-2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3969.0221549749999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0.10968291883231901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0.10461087634296322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-10268.023823285401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-0.26469610963743945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-0.25245582711085268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3896.4599848887397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0.10044559859893289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9.5800715426727898E-2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26204.359702741542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36286.118730610338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44756.484758902239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-124956.70000878678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-161410.47925231227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-199088.96038773746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3508.1135359104669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4531.5400219677267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5589.3495645887906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410.6782013659747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411.48561964299711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1.3549948806703823E-2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-1435.7316557940972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-1341.9350666004434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-4.4189032584254835E-2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322.2425520446742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301.19039222576191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9.9180000488738179E-3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289.2665542877732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9.757341738898204E-3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1.2648405957831005E-2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-748.34449260594852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-2.3547243510521346E-2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-3.052420455067582E-2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498.20727401405861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1.5676480706191841E-2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2.0321363878396826E-2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323273.59927012771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1089297.8309039555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988543.1965490263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-1162070.902790843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-3652701.9952046843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-3314845.2185791759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16513.712914339278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51907.049703748715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47105.905641059893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5464.7230908847241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4485.8356059695452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0.10868257179593749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-13300.644084007601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-10184.813491099476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-0.24675708623865392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1636.1525775550244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1252.8648041500417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3.0354337739536965E-2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2288.2245944856058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6.3234505293070509E-2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6.0310366319980546E-2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-3672.0874835279487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-9.4661571483107609E-2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-9.0284157772906118E-2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1503.7820431610533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3.8765517437220995E-2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3.6972892353418871E-2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34307.429102438567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141104.99647721177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174043.51430151035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-123324.84062885126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-473162.14862738125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-583613.65818015172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2111.4683396751602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8101.1002427815911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9992.1618026490669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579.94404871994413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581.08425392934976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1.9134719458618075E-2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-1411.5316096306585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-1319.316013500227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-4.3444202152926631E-2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209.20094616550776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195.53381336445742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6.4387989144472331E-3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242.83796518803848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8.1912442983682662E-3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1.0618279646032937E-2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-389.70049296793417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-1.2262230155701976E-2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-1.5895483535169227E-2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192.2758491913404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6.050109657832179E-3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7.8427347416343048E-3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177969.97824137105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195980.61176991402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177853.37941955967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95054.655228607488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132040.10900263092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147824.03084219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-7078351.4073272571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-7271159.9092043228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-6598613.7632341711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91965.758433844385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94470.830460822632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85732.748266728988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1915.6352087060125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1572.4904051581343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3.8098208755040587E-2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1023.1503431459247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1059.4507417215132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3.1665582090243616E-2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-52607.406299691625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-40283.50943222973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-0.97598659216009509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5801.9418138675701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4442.7694544133492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0.10763916750750291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970.05512563764921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2.680722693241289E-2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2.556758638062501E-2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518.11129287869664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1.8061119078297765E-2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2.125067114285157E-2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-18109.795364988582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-0.46684663591955233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-0.44525835217760767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6448.9287377801475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0.1662448760927501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0.15855725176476165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12515.531003246944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16822.613206839444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20749.560932281966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6684.6076864892084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11334.078720746069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17246.13693158883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-497776.80126550345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-624142.91706175858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-769838.2723773201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11758.881135608359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14744.002441862494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18185.734480821302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134.71481023026971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134.97966772600174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4.444791021421402E-3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71.951853718038194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90.941291991702172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3.6943179105284221E-3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-3699.5544476115733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-3457.8619368127843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-0.11386510241867775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741.84506610753328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693.3802038679795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2.2832550683409707E-2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68.217994516528847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2.3010827742562514E-3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2.982885077739585E-3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36.435571961250638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1.5503330538307624E-3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2.479244966666017E-3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-1273.5502223053275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-4.0073251695984698E-2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-5.194680775405424E-2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824.56979392080507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2.5945732106961002E-2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3.3633356434949448E-2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533476.73476254696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282518.93524447014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256387.33816300097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88626.174913066206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59205.247869328661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66282.574690094785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-5600272.2373240925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-2766600.3677256387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-2510703.5867460142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84888.716282593246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41936.024487873256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38057.15069073304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19618.292165198382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16104.09751040333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0.39016916526188677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3259.1752922503911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3374.8077239149579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0.1008685414168202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-154460.03049042419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-118275.97163253359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-2.8655835629778461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18296.871108113697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14010.616217517463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0.33944841869356845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17812.105731467851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0.49223301631824173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0.46947079591046187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2959.114606618693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0.10315336108488052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0.12137000726209812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-106849.10053628395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-2.754428867420041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-2.6270564342445479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36463.764238355216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0.93998774279637187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0.8965201015109906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38880.351590888582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25132.753834753727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30999.55997789012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6459.1698498517517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5266.8714723061739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8014.1658488932781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-408153.79453945684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-246115.48936010155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-303566.88821565441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10853.999809499195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6544.9286772981377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8072.7289343979182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1429.8019900252984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1432.6130675439724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4.7174999072573581E-2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237.5321602645615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300.22133451474684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1.2195923644033713E-2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-11257.211235050621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-10521.775742339258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-0.34647510352368494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2339.4656465387015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2186.6279645836503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7.2004210025908441E-2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1298.165202502795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4.378882150946671E-2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5.6763287141901292E-2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215.66341848867819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9.1764753011347473E-3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1.4674737241690045E-2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-7787.2760428250604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-0.24503271832135506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-0.31763500523138621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4662.312112003121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0.1467032893381621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0.19017093062354345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132407.14540962569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185675.84387339017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168501.75132747763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-291295.71990117652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-381051.17212822608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-345805.83294818166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5205.4395989305913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6809.3649343289699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6179.532527907807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2075.102347154057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1703.3924391194751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4.1269695843266757E-2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-3458.5039119234279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-2648.3091404220695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-6.416308433343712E-2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368.73511677680449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282.35462645798242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6.840871948383012E-3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1461.6254375303615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4.0391647606941902E-2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3.8523825752285634E-2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-1879.232705396179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-4.8444140253528403E-2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-4.6203948796717839E-2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595.12573571760834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1.5341556437796293E-2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1.4632120301944442E-2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9649.9735250189897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16517.637209314886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20373.393569595017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-21229.941755041782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-33898.136063892482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-41811.068892825591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665.57538963205775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1062.7332556467181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1310.8099301622619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151.23566518854705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151.53300368814288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4.9898814065040716E-3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-252.05944198091174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-235.59235648032163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-7.7579001966792144E-3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47.147030400691499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44.0669070194539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1.4510940496570027E-3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106.52481580225133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3.5932222928950048E-3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4.6578807500490807E-3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-136.96047746003742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-4.3095683150393181E-3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-5.5864774454213381E-3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76.093677758106608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2.3943469584999997E-3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3.1037830943518511E-3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30701.40932395155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34829.51760028275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31607.960363119328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-151050.93387384163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-159851.8904789096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-145066.38524864466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2474.3330826602437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2618.4996728857946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2376.3014699561395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2148.3620538691534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1763.5292466758597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4.2726687021482843E-2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-8808.2844208635306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-6744.8413352341649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-0.16341363506350715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782.59363664275531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599.26197394541009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1.4518885271057656E-2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2174.912378814317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6.0103151002541863E-2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5.7323814539996569E-2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-7643.2635026903145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-0.19703325088786378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-0.1879218866849568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1815.3830026986316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4.679817914198315E-2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4.4634101493798962E-2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2237.5513514799004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3098.4177795858468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3821.6897529953367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-11008.75264928111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-14220.350257054446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-17539.844761881581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316.37197479141111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408.66757900529751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504.06394817251447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156.57491049939674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156.88274627943051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5.166044885324743E-3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-641.95713304752667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-600.01796618065771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-1.9758194057678587E-2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100.06360744999898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93.526435240035099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3.0797635423455635E-3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158.50992640815937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5.3467485198214985E-3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6.9309703034723122E-3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-557.04916994867449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-1.7527986885342333E-2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-2.272146448099932E-2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232.11761973009638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7.3037620626216484E-3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9.46783971080584E-3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432346.04194797156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337484.09544294642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581910.13913235313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-1567607.1136619709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-1141469.3735014638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-1968189.3485313857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61628.729475109525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44875.598362979697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77377.174331060451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35477.25037276862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28896.884625625411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0.70011208922237467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-107194.97937143044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-81448.057442193851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-1.9733189372390409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22857.602155742003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17367.485905481411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0.42077846796827756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46996.225732903971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1.1817599775865641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1.1271121173513474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-121714.04157490926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-2.855039984443791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-2.7230150140648877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69381.128263989667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1.6274695408713478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1.5522108337790312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55280.419618069624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52670.928190517647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123435.48405837789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-200436.61935485722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-178148.39933259838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-417494.71029453626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7879.9426740734016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7003.7061028927847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16413.340009618882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4536.174955287267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4509.9184097796888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0.14850862498656431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-13706.112386050478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-12711.546537221007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-0.41858280486888738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2922.6076245295421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2710.5324823583705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8.9256038659937656E-2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6009.0085878318096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0.18443652829385687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0.23908438852907368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-15562.541665367786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-0.44558427502879983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-0.57760924540770342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8871.1761225514183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0.25399813643656877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0.3292568435288854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187413.07432328182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178333.04788774872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178830.65970425931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203030.83051688864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193194.13521172779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193733.21467961429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222833.98833453824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177837.22990030446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109083.65982189869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8674.9504905317481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6923.221974748174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4246.6382949638519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1139.8884944558718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909.71136748191009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558.00827195825013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115489.08079619991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92168.427114874314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56535.233681691527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206750.71206041813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159736.08962264023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97091.997795525866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2934.8675209995276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3060.2926630894976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1860.1302260515317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18438.823741508058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14245.87887682287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8659.0378152575722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18193.595560018719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14056.415003223578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8543.8764510267865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7577.0634215631153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6036.6362564051497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3652.7817732906901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3275.6676732725955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2927.8175036130328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1771.6287611948771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485.07942488126918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386.46212662561334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233.84907624794536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4985.8796582732966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3972.2436306328855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2403.6132900421717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15969.006082579654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15244.045659594452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14575.114892812006</v>
      </c>
    </row>
    <row r="417" spans="1:10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43.642267650662333</v>
      </c>
      <c r="I417" s="30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56.22741107277497</v>
      </c>
      <c r="J417" s="30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53.760070968776368</v>
      </c>
    </row>
    <row r="418" spans="1:10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5">
        <f>SUMIFS('Forbrug af biomasse'!$E$1:$E$425,'Forbrug af biomasse'!$A$1:$A$425,$F418,'Forbrug af biomasse'!$C$1:$C$425,$D418,'Forbrug af biomasse'!$B$1:$B$425,$A$1,'Forbrug af biomasse'!$D$1:$D$425,H$2)*'[1]Processer - data'!H418</f>
        <v>649382479.82762504</v>
      </c>
      <c r="I418" s="276">
        <f>SUMIFS('Forbrug af biomasse'!$E$1:$E$425,'Forbrug af biomasse'!$A$1:$A$425,$F418,'Forbrug af biomasse'!$C$1:$C$425,$D418,'Forbrug af biomasse'!$B$1:$B$425,$A$1,'Forbrug af biomasse'!$D$1:$D$425,I$2)*'[1]Processer - data'!I418</f>
        <v>522216106.47359997</v>
      </c>
      <c r="J418" s="277">
        <f>SUMIFS('Forbrug af biomasse'!$E$1:$E$425,'Forbrug af biomasse'!$A$1:$A$425,$F418,'Forbrug af biomasse'!$C$1:$C$425,$D418,'Forbrug af biomasse'!$B$1:$B$425,$A$1,'Forbrug af biomasse'!$D$1:$D$425,J$2)*'[1]Processer - data'!J418</f>
        <v>331334602.83000004</v>
      </c>
    </row>
    <row r="419" spans="1:10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78">
        <f>SUMIFS('Forbrug af biomasse'!$E$1:$E$425,'Forbrug af biomasse'!$A$1:$A$425,$F419,'Forbrug af biomasse'!$C$1:$C$425,$D419,'Forbrug af biomasse'!$B$1:$B$425,$A$1,'Forbrug af biomasse'!$D$1:$D$425,H$2)*'[1]Processer - data'!H419</f>
        <v>18032293.716852441</v>
      </c>
      <c r="I419" s="279">
        <f>SUMIFS('Forbrug af biomasse'!$E$1:$E$425,'Forbrug af biomasse'!$A$1:$A$425,$F419,'Forbrug af biomasse'!$C$1:$C$425,$D419,'Forbrug af biomasse'!$B$1:$B$425,$A$1,'Forbrug af biomasse'!$D$1:$D$425,I$2)*'[1]Processer - data'!I419</f>
        <v>13055402.661840001</v>
      </c>
      <c r="J419" s="280">
        <f>SUMIFS('Forbrug af biomasse'!$E$1:$E$425,'Forbrug af biomasse'!$A$1:$A$425,$F419,'Forbrug af biomasse'!$C$1:$C$425,$D419,'Forbrug af biomasse'!$B$1:$B$425,$A$1,'Forbrug af biomasse'!$D$1:$D$425,J$2)*'[1]Processer - data'!J419</f>
        <v>8283365.0707500018</v>
      </c>
    </row>
    <row r="420" spans="1:10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78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79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0">
        <f>SUMIFS('Forbrug af biomasse'!$E$1:$E$425,'Forbrug af biomasse'!$A$1:$A$425,$F420,'Forbrug af biomasse'!$C$1:$C$425,$D420,'Forbrug af biomasse'!$B$1:$B$425,$A$1,'Forbrug af biomasse'!$D$1:$D$425,J$2)*'[1]Processer - data'!J420</f>
        <v>0</v>
      </c>
    </row>
    <row r="421" spans="1:10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78">
        <f>SUMIFS('Forbrug af biomasse'!$E$1:$E$425,'Forbrug af biomasse'!$A$1:$A$425,$F421,'Forbrug af biomasse'!$C$1:$C$425,$D421,'Forbrug af biomasse'!$B$1:$B$425,$A$1,'Forbrug af biomasse'!$D$1:$D$425,H$2)*'[1]Processer - data'!H421</f>
        <v>8576334.816551771</v>
      </c>
      <c r="I421" s="279">
        <f>SUMIFS('Forbrug af biomasse'!$E$1:$E$425,'Forbrug af biomasse'!$A$1:$A$425,$F421,'Forbrug af biomasse'!$C$1:$C$425,$D421,'Forbrug af biomasse'!$B$1:$B$425,$A$1,'Forbrug af biomasse'!$D$1:$D$425,I$2)*'[1]Processer - data'!I421</f>
        <v>6527701.3309200006</v>
      </c>
      <c r="J421" s="280">
        <f>SUMIFS('Forbrug af biomasse'!$E$1:$E$425,'Forbrug af biomasse'!$A$1:$A$425,$F421,'Forbrug af biomasse'!$C$1:$C$425,$D421,'Forbrug af biomasse'!$B$1:$B$425,$A$1,'Forbrug af biomasse'!$D$1:$D$425,J$2)*'[1]Processer - data'!J421</f>
        <v>4141682.5353750004</v>
      </c>
    </row>
    <row r="422" spans="1:10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78">
        <f>SUMIFS('Forbrug af biomasse'!$E$1:$E$425,'Forbrug af biomasse'!$A$1:$A$425,$F422,'Forbrug af biomasse'!$C$1:$C$425,$D422,'Forbrug af biomasse'!$B$1:$B$425,$A$1,'Forbrug af biomasse'!$D$1:$D$425,H$2)*'[1]Processer - data'!H422</f>
        <v>15723280.49701158</v>
      </c>
      <c r="I422" s="279">
        <f>SUMIFS('Forbrug af biomasse'!$E$1:$E$425,'Forbrug af biomasse'!$A$1:$A$425,$F422,'Forbrug af biomasse'!$C$1:$C$425,$D422,'Forbrug af biomasse'!$B$1:$B$425,$A$1,'Forbrug af biomasse'!$D$1:$D$425,I$2)*'[1]Processer - data'!I422</f>
        <v>13055402.661840001</v>
      </c>
      <c r="J422" s="280">
        <f>SUMIFS('Forbrug af biomasse'!$E$1:$E$425,'Forbrug af biomasse'!$A$1:$A$425,$F422,'Forbrug af biomasse'!$C$1:$C$425,$D422,'Forbrug af biomasse'!$B$1:$B$425,$A$1,'Forbrug af biomasse'!$D$1:$D$425,J$2)*'[1]Processer - data'!J422</f>
        <v>8283365.07075</v>
      </c>
    </row>
    <row r="423" spans="1:10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78">
        <f>SUMIFS('Forbrug af biomasse'!$E$1:$E$425,'Forbrug af biomasse'!$A$1:$A$425,$F423,'Forbrug af biomasse'!$C$1:$C$425,$D423,'Forbrug af biomasse'!$B$1:$B$425,$A$1,'Forbrug af biomasse'!$D$1:$D$425,H$2)*'[1]Processer - data'!H423</f>
        <v>183951386.51398861</v>
      </c>
      <c r="I423" s="279">
        <f>SUMIFS('Forbrug af biomasse'!$E$1:$E$425,'Forbrug af biomasse'!$A$1:$A$425,$F423,'Forbrug af biomasse'!$C$1:$C$425,$D423,'Forbrug af biomasse'!$B$1:$B$425,$A$1,'Forbrug af biomasse'!$D$1:$D$425,I$2)*'[1]Processer - data'!I423</f>
        <v>150137130.61116001</v>
      </c>
      <c r="J423" s="280">
        <f>SUMIFS('Forbrug af biomasse'!$E$1:$E$425,'Forbrug af biomasse'!$A$1:$A$425,$F423,'Forbrug af biomasse'!$C$1:$C$425,$D423,'Forbrug af biomasse'!$B$1:$B$425,$A$1,'Forbrug af biomasse'!$D$1:$D$425,J$2)*'[1]Processer - data'!J423</f>
        <v>95258698.313625008</v>
      </c>
    </row>
    <row r="424" spans="1:10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78">
        <f>SUMIFS('Forbrug af biomasse'!$E$1:$E$425,'Forbrug af biomasse'!$A$1:$A$425,$F424,'Forbrug af biomasse'!$C$1:$C$425,$D424,'Forbrug af biomasse'!$B$1:$B$425,$A$1,'Forbrug af biomasse'!$D$1:$D$425,H$2)*'[1]Processer - data'!H424</f>
        <v>26498675.522935595</v>
      </c>
      <c r="I424" s="279">
        <f>SUMIFS('Forbrug af biomasse'!$E$1:$E$425,'Forbrug af biomasse'!$A$1:$A$425,$F424,'Forbrug af biomasse'!$C$1:$C$425,$D424,'Forbrug af biomasse'!$B$1:$B$425,$A$1,'Forbrug af biomasse'!$D$1:$D$425,I$2)*'[1]Processer - data'!I424</f>
        <v>19583103.992759999</v>
      </c>
      <c r="J424" s="280">
        <f>SUMIFS('Forbrug af biomasse'!$E$1:$E$425,'Forbrug af biomasse'!$A$1:$A$425,$F424,'Forbrug af biomasse'!$C$1:$C$425,$D424,'Forbrug af biomasse'!$B$1:$B$425,$A$1,'Forbrug af biomasse'!$D$1:$D$425,J$2)*'[1]Processer - data'!J424</f>
        <v>12425047.606125001</v>
      </c>
    </row>
    <row r="425" spans="1:10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78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79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0">
        <f>SUMIFS('Forbrug af biomasse'!$E$1:$E$425,'Forbrug af biomasse'!$A$1:$A$425,$F425,'Forbrug af biomasse'!$C$1:$C$425,$D425,'Forbrug af biomasse'!$B$1:$B$425,$A$1,'Forbrug af biomasse'!$D$1:$D$425,J$2)*'[1]Processer - data'!J425</f>
        <v>0</v>
      </c>
    </row>
    <row r="426" spans="1:10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78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79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0">
        <f>SUMIFS('Forbrug af biomasse'!$E$1:$E$425,'Forbrug af biomasse'!$A$1:$A$425,$F426,'Forbrug af biomasse'!$C$1:$C$425,$D426,'Forbrug af biomasse'!$B$1:$B$425,$A$1,'Forbrug af biomasse'!$D$1:$D$425,J$2)*'[1]Processer - data'!J426</f>
        <v>0</v>
      </c>
    </row>
    <row r="427" spans="1:10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78">
        <f>SUMIFS('Forbrug af biomasse'!$E$1:$E$425,'Forbrug af biomasse'!$A$1:$A$425,$F427,'Forbrug af biomasse'!$C$1:$C$425,$D427,'Forbrug af biomasse'!$B$1:$B$425,$A$1,'Forbrug af biomasse'!$D$1:$D$425,H$2)*'[1]Processer - data'!H427</f>
        <v>249813239.78468746</v>
      </c>
      <c r="I427" s="279">
        <f>SUMIFS('Forbrug af biomasse'!$E$1:$E$425,'Forbrug af biomasse'!$A$1:$A$425,$F427,'Forbrug af biomasse'!$C$1:$C$425,$D427,'Forbrug af biomasse'!$B$1:$B$425,$A$1,'Forbrug af biomasse'!$D$1:$D$425,I$2)*'[1]Processer - data'!I427</f>
        <v>202358741.25852001</v>
      </c>
      <c r="J427" s="280">
        <f>SUMIFS('Forbrug af biomasse'!$E$1:$E$425,'Forbrug af biomasse'!$A$1:$A$425,$F427,'Forbrug af biomasse'!$C$1:$C$425,$D427,'Forbrug af biomasse'!$B$1:$B$425,$A$1,'Forbrug af biomasse'!$D$1:$D$425,J$2)*'[1]Processer - data'!J427</f>
        <v>128392158.596625</v>
      </c>
    </row>
    <row r="428" spans="1:10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78">
        <f>SUMIFS('Forbrug af biomasse'!$E$1:$E$425,'Forbrug af biomasse'!$A$1:$A$425,$F428,'Forbrug af biomasse'!$C$1:$C$425,$D428,'Forbrug af biomasse'!$B$1:$B$425,$A$1,'Forbrug af biomasse'!$D$1:$D$425,H$2)*'[1]Processer - data'!H428</f>
        <v>17922340.706383828</v>
      </c>
      <c r="I428" s="279">
        <f>SUMIFS('Forbrug af biomasse'!$E$1:$E$425,'Forbrug af biomasse'!$A$1:$A$425,$F428,'Forbrug af biomasse'!$C$1:$C$425,$D428,'Forbrug af biomasse'!$B$1:$B$425,$A$1,'Forbrug af biomasse'!$D$1:$D$425,I$2)*'[1]Processer - data'!I428</f>
        <v>13055402.661840001</v>
      </c>
      <c r="J428" s="280">
        <f>SUMIFS('Forbrug af biomasse'!$E$1:$E$425,'Forbrug af biomasse'!$A$1:$A$425,$F428,'Forbrug af biomasse'!$C$1:$C$425,$D428,'Forbrug af biomasse'!$B$1:$B$425,$A$1,'Forbrug af biomasse'!$D$1:$D$425,J$2)*'[1]Processer - data'!J428</f>
        <v>8283365.0707500009</v>
      </c>
    </row>
    <row r="429" spans="1:10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78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79">
        <f>SUMIFS('Forbrug af biomasse'!$E$1:$E$425,'Forbrug af biomasse'!$A$1:$A$425,$F429,'Forbrug af biomasse'!$C$1:$C$425,$D429,'Forbrug af biomasse'!$B$1:$B$425,$A$1,'Forbrug af biomasse'!$D$1:$D$425,I$2)*'[1]Processer - data'!I429</f>
        <v>66582553.575383998</v>
      </c>
      <c r="J429" s="280">
        <f>SUMIFS('Forbrug af biomasse'!$E$1:$E$425,'Forbrug af biomasse'!$A$1:$A$425,$F429,'Forbrug af biomasse'!$C$1:$C$425,$D429,'Forbrug af biomasse'!$B$1:$B$425,$A$1,'Forbrug af biomasse'!$D$1:$D$425,J$2)*'[1]Processer - data'!J429</f>
        <v>42245161.860825002</v>
      </c>
    </row>
    <row r="430" spans="1:10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78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79">
        <f>SUMIFS('Forbrug af biomasse'!$E$1:$E$425,'Forbrug af biomasse'!$A$1:$A$425,$F430,'Forbrug af biomasse'!$C$1:$C$425,$D430,'Forbrug af biomasse'!$B$1:$B$425,$A$1,'Forbrug af biomasse'!$D$1:$D$425,I$2)*'[1]Processer - data'!I430</f>
        <v>285913318.29429603</v>
      </c>
      <c r="J430" s="280">
        <f>SUMIFS('Forbrug af biomasse'!$E$1:$E$425,'Forbrug af biomasse'!$A$1:$A$425,$F430,'Forbrug af biomasse'!$C$1:$C$425,$D430,'Forbrug af biomasse'!$B$1:$B$425,$A$1,'Forbrug af biomasse'!$D$1:$D$425,J$2)*'[1]Processer - data'!J430</f>
        <v>181405695.04942498</v>
      </c>
    </row>
    <row r="431" spans="1:10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78">
        <f>SUMIFS('Forbrug af biomasse'!$E$1:$E$425,'Forbrug af biomasse'!$A$1:$A$425,$F431,'Forbrug af biomasse'!$C$1:$C$425,$D431,'Forbrug af biomasse'!$B$1:$B$425,$A$1,'Forbrug af biomasse'!$D$1:$D$425,H$2)*'[1]Processer - data'!H431</f>
        <v>13304314.266702106</v>
      </c>
      <c r="I431" s="279">
        <f>SUMIFS('Forbrug af biomasse'!$E$1:$E$425,'Forbrug af biomasse'!$A$1:$A$425,$F431,'Forbrug af biomasse'!$C$1:$C$425,$D431,'Forbrug af biomasse'!$B$1:$B$425,$A$1,'Forbrug af biomasse'!$D$1:$D$425,I$2)*'[1]Processer - data'!I431</f>
        <v>13055402.661840001</v>
      </c>
      <c r="J431" s="280">
        <f>SUMIFS('Forbrug af biomasse'!$E$1:$E$425,'Forbrug af biomasse'!$A$1:$A$425,$F431,'Forbrug af biomasse'!$C$1:$C$425,$D431,'Forbrug af biomasse'!$B$1:$B$425,$A$1,'Forbrug af biomasse'!$D$1:$D$425,J$2)*'[1]Processer - data'!J431</f>
        <v>8283365.0707500009</v>
      </c>
    </row>
    <row r="432" spans="1:10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78">
        <f>SUMIFS('Forbrug af biomasse'!$E$1:$E$425,'Forbrug af biomasse'!$A$1:$A$425,$F432,'Forbrug af biomasse'!$C$1:$C$425,$D432,'Forbrug af biomasse'!$B$1:$B$425,$A$1,'Forbrug af biomasse'!$D$1:$D$425,H$2)*'[1]Processer - data'!H432</f>
        <v>440471759.93726146</v>
      </c>
      <c r="I432" s="279">
        <f>SUMIFS('Forbrug af biomasse'!$E$1:$E$425,'Forbrug af biomasse'!$A$1:$A$425,$F432,'Forbrug af biomasse'!$C$1:$C$425,$D432,'Forbrug af biomasse'!$B$1:$B$425,$A$1,'Forbrug af biomasse'!$D$1:$D$425,I$2)*'[1]Processer - data'!I432</f>
        <v>0</v>
      </c>
      <c r="J432" s="280">
        <f>SUMIFS('Forbrug af biomasse'!$E$1:$E$425,'Forbrug af biomasse'!$A$1:$A$425,$F432,'Forbrug af biomasse'!$C$1:$C$425,$D432,'Forbrug af biomasse'!$B$1:$B$425,$A$1,'Forbrug af biomasse'!$D$1:$D$425,J$2)*'[1]Processer - data'!J432</f>
        <v>0</v>
      </c>
    </row>
    <row r="433" spans="1:10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78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3660894.2248059185</v>
      </c>
      <c r="I433" s="279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0</v>
      </c>
      <c r="J433" s="280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0</v>
      </c>
    </row>
    <row r="434" spans="1:10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78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90230.719603990976</v>
      </c>
      <c r="I434" s="279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0</v>
      </c>
      <c r="J434" s="280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0</v>
      </c>
    </row>
    <row r="435" spans="1:10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78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508955.35014228517</v>
      </c>
      <c r="I435" s="279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0</v>
      </c>
      <c r="J435" s="280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0</v>
      </c>
    </row>
    <row r="436" spans="1:10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78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4565127.1242733356</v>
      </c>
      <c r="I436" s="279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13000952.636031017</v>
      </c>
      <c r="J436" s="280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10037747.719858896</v>
      </c>
    </row>
    <row r="437" spans="1:10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4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-4841.9260160802014</v>
      </c>
      <c r="I437" s="285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-13789.243779765542</v>
      </c>
      <c r="J437" s="286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-10646.369861030067</v>
      </c>
    </row>
    <row r="438" spans="1:10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78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4041695.3438886409</v>
      </c>
      <c r="I438" s="279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6453618.3579583997</v>
      </c>
      <c r="J438" s="280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5105082.1339712488</v>
      </c>
    </row>
    <row r="439" spans="1:10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4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-8434.9192170182378</v>
      </c>
      <c r="I439" s="285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-13468.54348860215</v>
      </c>
      <c r="J439" s="286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-10654.181409640903</v>
      </c>
    </row>
    <row r="440" spans="1:10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78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4423.7890675769768</v>
      </c>
      <c r="I440" s="279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5687.0400360914855</v>
      </c>
      <c r="J440" s="280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7578.0712044224374</v>
      </c>
    </row>
    <row r="441" spans="1:10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78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5153539.7069824543</v>
      </c>
      <c r="I441" s="279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10744756.851478459</v>
      </c>
      <c r="J441" s="280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9327967.5535567012</v>
      </c>
    </row>
    <row r="442" spans="1:10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78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1520456.5068438919</v>
      </c>
      <c r="I442" s="279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0</v>
      </c>
      <c r="J442" s="280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19967082.249284871</v>
      </c>
    </row>
    <row r="443" spans="1:10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78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1855522.7013306897</v>
      </c>
      <c r="I443" s="279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0</v>
      </c>
      <c r="J443" s="280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0</v>
      </c>
    </row>
    <row r="444" spans="1:10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78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31847524.758986317</v>
      </c>
      <c r="I444" s="279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16029820.816877825</v>
      </c>
      <c r="J444" s="280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16350583.536771111</v>
      </c>
    </row>
    <row r="445" spans="1:10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78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28680457.689898066</v>
      </c>
      <c r="I445" s="279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18394656.965472355</v>
      </c>
      <c r="J445" s="280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17402908.237317622</v>
      </c>
    </row>
    <row r="446" spans="1:10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78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79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0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</row>
    <row r="447" spans="1:10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78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</row>
    <row r="448" spans="1:10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78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1698.0788969358161</v>
      </c>
      <c r="I448" s="279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17559743.391218517</v>
      </c>
      <c r="J448" s="280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17631054.075114466</v>
      </c>
    </row>
    <row r="449" spans="1:10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78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79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2981296.1462141592</v>
      </c>
      <c r="J449" s="280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2440731.1697558998</v>
      </c>
    </row>
    <row r="450" spans="1:10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78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79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0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25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78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16800254.634225141</v>
      </c>
      <c r="I451" s="279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23229146.832630299</v>
      </c>
      <c r="J451" s="280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38875907.571397446</v>
      </c>
    </row>
    <row r="452" spans="1:10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4">
        <f ca="1">SUMIFS('Forbrug af biomasse'!$E$1:$E$425,'Forbrug af biomasse'!$A$1:$A$425,"Biogas",'Forbrug af biomasse'!$B$1:$B$425,$A$1,'Forbrug af biomasse'!$D$1:$D$425,H$2)*'[1]Processer - data'!H452</f>
        <v>2462895.6491667829</v>
      </c>
      <c r="I452" s="285">
        <f ca="1">SUMIFS('Forbrug af biomasse'!$E$1:$E$425,'Forbrug af biomasse'!$A$1:$A$425,"Biogas",'Forbrug af biomasse'!$B$1:$B$425,$A$1,'Forbrug af biomasse'!$D$1:$D$425,I$2)*'[1]Processer - data'!I452</f>
        <v>3978923.4945139349</v>
      </c>
      <c r="J452" s="286">
        <f ca="1">SUMIFS('Forbrug af biomasse'!$E$1:$E$425,'Forbrug af biomasse'!$A$1:$A$425,"Biogas",'Forbrug af biomasse'!$B$1:$B$425,$A$1,'Forbrug af biomasse'!$D$1:$D$425,J$2)*'[1]Processer - data'!J452</f>
        <v>4825001.4556238251</v>
      </c>
    </row>
    <row r="453" spans="1:10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4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data'!H453</f>
        <v>10197381.433584651</v>
      </c>
      <c r="I453" s="285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data'!I453</f>
        <v>3519343.8990546325</v>
      </c>
      <c r="J453" s="286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data'!J453</f>
        <v>1108334.6440677526</v>
      </c>
    </row>
    <row r="454" spans="1:10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4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data'!H454</f>
        <v>5107513.2750334088</v>
      </c>
      <c r="I454" s="285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data'!I454</f>
        <v>2244223.2679242203</v>
      </c>
      <c r="J454" s="286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data'!J454</f>
        <v>724125.12538599258</v>
      </c>
    </row>
    <row r="455" spans="1:10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4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data'!H455</f>
        <v>2363.8567536670871</v>
      </c>
      <c r="I455" s="285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data'!I455</f>
        <v>1862.5371209065934</v>
      </c>
      <c r="J455" s="286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data'!J455</f>
        <v>1012.3377563159742</v>
      </c>
    </row>
    <row r="456" spans="1:10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4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1308398.2509883197</v>
      </c>
      <c r="I456" s="285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581718.82523864554</v>
      </c>
      <c r="J456" s="286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205992.61680771044</v>
      </c>
    </row>
    <row r="457" spans="1:10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4">
        <f ca="1">H452*'[1]Processer - data'!H$457*Biogasanlæg!AA$3</f>
        <v>12612124.648502612</v>
      </c>
      <c r="I457" s="285">
        <f ca="1">I452*'[1]Processer - data'!I$457*Biogasanlæg!AB$3</f>
        <v>22538461.654346775</v>
      </c>
      <c r="J457" s="286">
        <f ca="1">J452*'[1]Processer - data'!J$457*Biogasanlæg!AC$3</f>
        <v>22504310.795682061</v>
      </c>
    </row>
    <row r="458" spans="1:10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4">
        <f ca="1">-SUMIFS('Resultater - Østdanmark'!H$3:H$482,'Resultater - Østdanmark'!$F$3:$F$482,"Gødning",'Resultater - Østdanmark'!$A$3:$A$482,"&lt;&gt;Gødning")-SUM(H453:H457)</f>
        <v>60331183.954713687</v>
      </c>
      <c r="I458" s="285">
        <f ca="1">-SUMIFS('Resultater - Østdanmark'!I$3:I$482,'Resultater - Østdanmark'!$F$3:$F$482,"Gødning",'Resultater - Østdanmark'!$A$3:$A$482,"&lt;&gt;Gødning")-SUM(I453:I457)</f>
        <v>82484547.200854644</v>
      </c>
      <c r="J458" s="286">
        <f ca="1">-SUMIFS('Resultater - Østdanmark'!J$3:J$482,'Resultater - Østdanmark'!$F$3:$F$482,"Gødning",'Resultater - Østdanmark'!$A$3:$A$482,"&lt;&gt;Gødning")-SUM(J453:J457)</f>
        <v>76752708.1763587</v>
      </c>
    </row>
    <row r="459" spans="1:10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7">
        <f>SUMIFS('Forbrug af biomasse'!$E$1:$E$425,'Forbrug af biomasse'!$A$1:$A$425,$F459,'Forbrug af biomasse'!$C$1:$C$425,$D459,'Forbrug af biomasse'!$B$1:$B$425,$A$1,'Forbrug af biomasse'!$D$1:$D$425,H$2)*'[1]Processer - data'!H459</f>
        <v>7.5882895761801983</v>
      </c>
      <c r="I459" s="289">
        <f>SUMIFS('Forbrug af biomasse'!$E$1:$E$425,'Forbrug af biomasse'!$A$1:$A$425,$F459,'Forbrug af biomasse'!$C$1:$C$425,$D459,'Forbrug af biomasse'!$B$1:$B$425,$A$1,'Forbrug af biomasse'!$D$1:$D$425,I$2)*'[1]Processer - data'!I459</f>
        <v>4.0205819949620647</v>
      </c>
      <c r="J459" s="290">
        <f>SUMIFS('Forbrug af biomasse'!$E$1:$E$425,'Forbrug af biomasse'!$A$1:$A$425,$F459,'Forbrug af biomasse'!$C$1:$C$425,$D459,'Forbrug af biomasse'!$B$1:$B$425,$A$1,'Forbrug af biomasse'!$D$1:$D$425,J$2)*'[1]Processer - data'!J459</f>
        <v>2.6991667899593614</v>
      </c>
    </row>
    <row r="460" spans="1:10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7">
        <f>SUMIFS('Forbrug af biomasse'!$E$1:$E$425,'Forbrug af biomasse'!$A$1:$A$425,$F460,'Forbrug af biomasse'!$C$1:$C$425,$D460,'Forbrug af biomasse'!$B$1:$B$425,$A$1,'Forbrug af biomasse'!$D$1:$D$425,H$2)*'[1]Processer - data'!H460</f>
        <v>1.1273757470027184</v>
      </c>
      <c r="I460" s="289">
        <f>SUMIFS('Forbrug af biomasse'!$E$1:$E$425,'Forbrug af biomasse'!$A$1:$A$425,$F460,'Forbrug af biomasse'!$C$1:$C$425,$D460,'Forbrug af biomasse'!$B$1:$B$425,$A$1,'Forbrug af biomasse'!$D$1:$D$425,I$2)*'[1]Processer - data'!I460</f>
        <v>2.4025201105690099</v>
      </c>
      <c r="J460" s="290">
        <f>SUMIFS('Forbrug af biomasse'!$E$1:$E$425,'Forbrug af biomasse'!$A$1:$A$425,$F460,'Forbrug af biomasse'!$C$1:$C$425,$D460,'Forbrug af biomasse'!$B$1:$B$425,$A$1,'Forbrug af biomasse'!$D$1:$D$425,J$2)*'[1]Processer - data'!J460</f>
        <v>2.2243537281875039</v>
      </c>
    </row>
    <row r="461" spans="1:10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7">
        <f>SUMIFS('Forbrug af biomasse'!$E$1:$E$425,'Forbrug af biomasse'!$A$1:$A$425,$F461,'Forbrug af biomasse'!$C$1:$C$425,$D461,'Forbrug af biomasse'!$B$1:$B$425,$A$1,'Forbrug af biomasse'!$D$1:$D$425,H$2)*'[1]Processer - data'!H461</f>
        <v>0.69142268698841347</v>
      </c>
      <c r="I461" s="289">
        <f>SUMIFS('Forbrug af biomasse'!$E$1:$E$425,'Forbrug af biomasse'!$A$1:$A$425,$F461,'Forbrug af biomasse'!$C$1:$C$425,$D461,'Forbrug af biomasse'!$B$1:$B$425,$A$1,'Forbrug af biomasse'!$D$1:$D$425,I$2)*'[1]Processer - data'!I461</f>
        <v>0.73321079593811067</v>
      </c>
      <c r="J461" s="290">
        <f>SUMIFS('Forbrug af biomasse'!$E$1:$E$425,'Forbrug af biomasse'!$A$1:$A$425,$F461,'Forbrug af biomasse'!$C$1:$C$425,$D461,'Forbrug af biomasse'!$B$1:$B$425,$A$1,'Forbrug af biomasse'!$D$1:$D$425,J$2)*'[1]Processer - data'!J461</f>
        <v>0.65190762565081795</v>
      </c>
    </row>
    <row r="462" spans="1:10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7">
        <f>SUMIFS('Forbrug af biomasse'!$E$1:$E$425,'Forbrug af biomasse'!$A$1:$A$425,$F462,'Forbrug af biomasse'!$C$1:$C$425,$D462,'Forbrug af biomasse'!$B$1:$B$425,$A$1,'Forbrug af biomasse'!$D$1:$D$425,H$2)*'[1]Processer - data'!H462</f>
        <v>9.878857920085288</v>
      </c>
      <c r="I462" s="289">
        <f>SUMIFS('Forbrug af biomasse'!$E$1:$E$425,'Forbrug af biomasse'!$A$1:$A$425,$F462,'Forbrug af biomasse'!$C$1:$C$425,$D462,'Forbrug af biomasse'!$B$1:$B$425,$A$1,'Forbrug af biomasse'!$D$1:$D$425,I$2)*'[1]Processer - data'!I462</f>
        <v>9.3908975685760261</v>
      </c>
      <c r="J462" s="290">
        <f>SUMIFS('Forbrug af biomasse'!$E$1:$E$425,'Forbrug af biomasse'!$A$1:$A$425,$F462,'Forbrug af biomasse'!$C$1:$C$425,$D462,'Forbrug af biomasse'!$B$1:$B$425,$A$1,'Forbrug af biomasse'!$D$1:$D$425,J$2)*'[1]Processer - data'!J462</f>
        <v>9.1179912474852252</v>
      </c>
    </row>
    <row r="463" spans="1:10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7">
        <f>SUMIFS('Forbrug af biomasse'!$E$1:$E$425,'Forbrug af biomasse'!$A$1:$A$425,$F463,'Forbrug af biomasse'!$C$1:$C$425,$D463,'Forbrug af biomasse'!$B$1:$B$425,$A$1,'Forbrug af biomasse'!$D$1:$D$425,H$2)*'[1]Processer - data'!H463</f>
        <v>8.0747487919351268</v>
      </c>
      <c r="I463" s="289">
        <f>SUMIFS('Forbrug af biomasse'!$E$1:$E$425,'Forbrug af biomasse'!$A$1:$A$425,$F463,'Forbrug af biomasse'!$C$1:$C$425,$D463,'Forbrug af biomasse'!$B$1:$B$425,$A$1,'Forbrug af biomasse'!$D$1:$D$425,I$2)*'[1]Processer - data'!I463</f>
        <v>1.5144566731111488</v>
      </c>
      <c r="J463" s="290">
        <f>SUMIFS('Forbrug af biomasse'!$E$1:$E$425,'Forbrug af biomasse'!$A$1:$A$425,$F463,'Forbrug af biomasse'!$C$1:$C$425,$D463,'Forbrug af biomasse'!$B$1:$B$425,$A$1,'Forbrug af biomasse'!$D$1:$D$425,J$2)*'[1]Processer - data'!J463</f>
        <v>1.5206069304744962</v>
      </c>
    </row>
    <row r="464" spans="1:10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7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89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0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7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89">
        <f>SUMIFS('Forbrug af biomasse'!$E$1:$E$425,'Forbrug af biomasse'!$A$1:$A$425,$F465,'Forbrug af biomasse'!$C$1:$C$425,$D465,'Forbrug af biomasse'!$B$1:$B$425,$A$1,'Forbrug af biomasse'!$D$1:$D$425,I$2)*'[1]Processer - data'!I465</f>
        <v>1.8412675440456558</v>
      </c>
      <c r="J465" s="290">
        <f>SUMIFS('Forbrug af biomasse'!$E$1:$E$425,'Forbrug af biomasse'!$A$1:$A$425,$F465,'Forbrug af biomasse'!$C$1:$C$425,$D465,'Forbrug af biomasse'!$B$1:$B$425,$A$1,'Forbrug af biomasse'!$D$1:$D$425,J$2)*'[1]Processer - data'!J465</f>
        <v>3.2942562622872735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7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89">
        <f>SUMIFS('Forbrug af biomasse'!$E$1:$E$425,'Forbrug af biomasse'!$A$1:$A$425,$F466,'Forbrug af biomasse'!$C$1:$C$425,$D466,'Forbrug af biomasse'!$B$1:$B$425,$A$1,'Forbrug af biomasse'!$D$1:$D$425,I$2)*'[1]Processer - data'!I466</f>
        <v>1.9839009453449672</v>
      </c>
      <c r="J466" s="290">
        <f>SUMIFS('Forbrug af biomasse'!$E$1:$E$425,'Forbrug af biomasse'!$A$1:$A$425,$F466,'Forbrug af biomasse'!$C$1:$C$425,$D466,'Forbrug af biomasse'!$B$1:$B$425,$A$1,'Forbrug af biomasse'!$D$1:$D$425,J$2)*'[1]Processer - data'!J466</f>
        <v>3.5494451276757242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4">
        <f ca="1">SUM(H433:H451)*'[1]Processer - data'!$H$467</f>
        <v>3.9778547832368667</v>
      </c>
      <c r="I467" s="285">
        <f ca="1">SUM(I433:I451)*'[1]Processer - data'!$H$467</f>
        <v>4.3244663202998908</v>
      </c>
      <c r="J467" s="286">
        <f ca="1">SUM(J433:J451)*'[1]Processer - data'!$H$467</f>
        <v>5.3566961668355368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78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79">
        <f>SUMIFS('Forbrug af biomasse'!$E$1:$E$425,'Forbrug af biomasse'!$A$1:$A$425,$A468,'Forbrug af biomasse'!$C$1:$C$425,$D468,'Forbrug af biomasse'!$B$1:$B$425,$A$1,'Forbrug af biomasse'!$D$1:$D$425,I$2)*'[1]Processer - data'!I468</f>
        <v>103968.47937974399</v>
      </c>
      <c r="J468" s="280">
        <f>SUMIFS('Forbrug af biomasse'!$E$1:$E$425,'Forbrug af biomasse'!$A$1:$A$425,$A468,'Forbrug af biomasse'!$C$1:$C$425,$D468,'Forbrug af biomasse'!$B$1:$B$425,$A$1,'Forbrug af biomasse'!$D$1:$D$425,J$2)*'[1]Processer - data'!J468</f>
        <v>65965.707290699997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78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79">
        <f>SUMIFS('Forbrug af biomasse'!$E$1:$E$425,'Forbrug af biomasse'!$A$1:$A$425,$A469,'Forbrug af biomasse'!$C$1:$C$425,$D469,'Forbrug af biomasse'!$B$1:$B$425,$A$1,'Forbrug af biomasse'!$D$1:$D$425,I$2)*'[1]Processer - data'!I469</f>
        <v>214052.75166417882</v>
      </c>
      <c r="J469" s="280">
        <f>SUMIFS('Forbrug af biomasse'!$E$1:$E$425,'Forbrug af biomasse'!$A$1:$A$425,$A469,'Forbrug af biomasse'!$C$1:$C$425,$D469,'Forbrug af biomasse'!$B$1:$B$425,$A$1,'Forbrug af biomasse'!$D$1:$D$425,J$2)*'[1]Processer - data'!J469</f>
        <v>135811.75030438235</v>
      </c>
    </row>
    <row r="470" spans="1:10" ht="15.75" thickBot="1" x14ac:dyDescent="0.3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78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79">
        <f>SUMIFS('Forbrug af biomasse'!$E$1:$E$425,'Forbrug af biomasse'!$A$1:$A$425,$A470,'Forbrug af biomasse'!$C$1:$C$425,$D470,'Forbrug af biomasse'!$B$1:$B$425,$A$1,'Forbrug af biomasse'!$D$1:$D$425,I$2)*'[1]Processer - data'!I470</f>
        <v>303906.23064409656</v>
      </c>
      <c r="J470" s="280">
        <f>SUMIFS('Forbrug af biomasse'!$E$1:$E$425,'Forbrug af biomasse'!$A$1:$A$425,$A470,'Forbrug af biomasse'!$C$1:$C$425,$D470,'Forbrug af biomasse'!$B$1:$B$425,$A$1,'Forbrug af biomasse'!$D$1:$D$425,J$2)*'[1]Processer - data'!J470</f>
        <v>192821.80112748899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3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96787.066191854246</v>
      </c>
      <c r="I471" s="304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107255.36207897366</v>
      </c>
      <c r="J471" s="305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99301.505722656439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0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61943.722362786721</v>
      </c>
      <c r="I472" s="301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68643.431730543147</v>
      </c>
      <c r="J472" s="302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63552.963662500122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5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6">
        <f>SUMIFS('Forbrug af biomasse'!$E$1:$E$425,'Forbrug af biomasse'!$A$1:$A$425,$A473,'Forbrug af biomasse'!$C$1:$C$425,$D473,'Forbrug af biomasse'!$B$1:$B$425,$A$1,'Forbrug af biomasse'!$D$1:$D$425,I$2)*'[1]Processer - data'!I473</f>
        <v>-258015.70560241287</v>
      </c>
      <c r="J473" s="277">
        <f>SUMIFS('Forbrug af biomasse'!$E$1:$E$425,'Forbrug af biomasse'!$A$1:$A$425,$A473,'Forbrug af biomasse'!$C$1:$C$425,$D473,'Forbrug af biomasse'!$B$1:$B$425,$A$1,'Forbrug af biomasse'!$D$1:$D$425,J$2)*'[1]Processer - data'!J473</f>
        <v>-461622.13454414881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78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79">
        <f>SUMIFS('Forbrug af biomasse'!$E$1:$E$425,'Forbrug af biomasse'!$A$1:$A$425,$A474,'Forbrug af biomasse'!$C$1:$C$425,$D474,'Forbrug af biomasse'!$B$1:$B$425,$A$1,'Forbrug af biomasse'!$D$1:$D$425,I$2)*'[1]Processer - data'!I474</f>
        <v>55345.554827892454</v>
      </c>
      <c r="J474" s="280">
        <f>SUMIFS('Forbrug af biomasse'!$E$1:$E$425,'Forbrug af biomasse'!$A$1:$A$425,$A474,'Forbrug af biomasse'!$C$1:$C$425,$D474,'Forbrug af biomasse'!$B$1:$B$425,$A$1,'Forbrug af biomasse'!$D$1:$D$425,J$2)*'[1]Processer - data'!J474</f>
        <v>99020.069718356754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1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2">
        <f>SUMIFS('Forbrug af biomasse'!$E$1:$E$425,'Forbrug af biomasse'!$A$1:$A$425,$A475,'Forbrug af biomasse'!$C$1:$C$425,$D475,'Forbrug af biomasse'!$B$1:$B$425,$A$1,'Forbrug af biomasse'!$D$1:$D$425,I$2)*'[1]Processer - data'!I475</f>
        <v>221382.21931156982</v>
      </c>
      <c r="J475" s="283">
        <f>SUMIFS('Forbrug af biomasse'!$E$1:$E$425,'Forbrug af biomasse'!$A$1:$A$425,$A475,'Forbrug af biomasse'!$C$1:$C$425,$D475,'Forbrug af biomasse'!$B$1:$B$425,$A$1,'Forbrug af biomasse'!$D$1:$D$425,J$2)*'[1]Processer - data'!J475</f>
        <v>396080.27887342701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489"/>
  <sheetViews>
    <sheetView topLeftCell="A285" zoomScale="80" zoomScaleNormal="80" workbookViewId="0">
      <selection activeCell="H300" sqref="H300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5">
        <f>'Resultater - Vestdanmark'!H3+'Resultater - Østdanmark'!H3</f>
        <v>6905432.901678659</v>
      </c>
      <c r="I3" s="276">
        <f>'Resultater - Vestdanmark'!I3+'Resultater - Østdanmark'!I3</f>
        <v>7187550.2724163011</v>
      </c>
      <c r="J3" s="277">
        <f>'Resultater - Vestdanmark'!J3+'Resultater - Østdanmark'!J3</f>
        <v>7494121.763909651</v>
      </c>
      <c r="L3" s="98" t="s">
        <v>112</v>
      </c>
      <c r="M3" s="98">
        <f>SUMIF($F$3:$F$487,$L$3,H$3:H$487)</f>
        <v>14517462.442375839</v>
      </c>
      <c r="N3" s="98">
        <f>SUMIF($F$3:$F$487,$L$3,I$3:I$487)</f>
        <v>6670104.6479239669</v>
      </c>
      <c r="O3" s="98">
        <f>SUMIF($F$3:$F$487,$L$3,J$3:J$487)</f>
        <v>-197697.29237006977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8">
        <f ca="1">'Resultater - Vestdanmark'!H4+'Resultater - Østdanmark'!H4</f>
        <v>358674.32551850227</v>
      </c>
      <c r="I4" s="279">
        <f ca="1">'Resultater - Vestdanmark'!I4+'Resultater - Østdanmark'!I4</f>
        <v>363994.97174274386</v>
      </c>
      <c r="J4" s="280">
        <f ca="1">'Resultater - Vestdanmark'!J4+'Resultater - Østdanmark'!J4</f>
        <v>369776.8151095995</v>
      </c>
      <c r="L4" s="98" t="s">
        <v>168</v>
      </c>
      <c r="M4" s="98">
        <f t="shared" ref="M4:O6" si="0">SUMIFS(H$3:H$487,$F$3:$F$487,$L$3,$A$3:$A$487,$L4)</f>
        <v>1383287.873779177</v>
      </c>
      <c r="N4" s="98">
        <f t="shared" si="0"/>
        <v>1109014.829074967</v>
      </c>
      <c r="O4" s="98">
        <f t="shared" si="0"/>
        <v>695889.84481713665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8">
        <f>'Resultater - Vestdanmark'!H5+'Resultater - Østdanmark'!H5</f>
        <v>982809</v>
      </c>
      <c r="I5" s="279">
        <f>'Resultater - Vestdanmark'!I5+'Resultater - Østdanmark'!I5</f>
        <v>982809</v>
      </c>
      <c r="J5" s="280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3283459.0424850588</v>
      </c>
      <c r="O5" s="98">
        <f t="shared" si="0"/>
        <v>2038330.4287280298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8">
        <f>'Resultater - Vestdanmark'!H6+'Resultater - Østdanmark'!H6</f>
        <v>355018</v>
      </c>
      <c r="I6" s="279">
        <f>'Resultater - Vestdanmark'!I6+'Resultater - Østdanmark'!I6</f>
        <v>355018</v>
      </c>
      <c r="J6" s="280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8">
        <f>'Resultater - Vestdanmark'!H7+'Resultater - Østdanmark'!H7</f>
        <v>880.09999999999991</v>
      </c>
      <c r="I7" s="279">
        <f>'Resultater - Vestdanmark'!I7+'Resultater - Østdanmark'!I7</f>
        <v>148232.6739623498</v>
      </c>
      <c r="J7" s="280">
        <f>'Resultater - Vestdanmark'!J7+'Resultater - Østdanmark'!J7</f>
        <v>243411.82603765032</v>
      </c>
      <c r="L7" s="98" t="s">
        <v>42</v>
      </c>
      <c r="M7" s="98">
        <f>SUMIFS(H$3:H$487,$F$3:$F$487,$L$3,$C$3:$C$487,$L7)+SUMIFS(H$3:H$487,$F$3:$F$487,$L$3,$C$3:$C$487,"",$A$3:$A$487,"Grøntsager I drivhus")</f>
        <v>5798.8658431352524</v>
      </c>
      <c r="N7" s="98">
        <f>SUMIFS(I$3:I$487,$F$3:$F$487,$L$3,$C$3:$C$487,$L7)+SUMIFS(I$3:I$487,$F$3:$F$487,$L$3,$C$3:$C$487,"",$A$3:$A$487,"Grøntsager I drivhus")</f>
        <v>39146.522560045181</v>
      </c>
      <c r="O7" s="98">
        <f>SUMIFS(J$3:J$487,$F$3:$F$487,$L$3,$C$3:$C$487,$L7)+SUMIFS(J$3:J$487,$F$3:$F$487,$L$3,$C$3:$C$487,"",$A$3:$A$487,"Grøntsager I drivhus")</f>
        <v>34315.25176205569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8">
        <f>'Resultater - Vestdanmark'!H8+'Resultater - Østdanmark'!H8</f>
        <v>-142.57619999999997</v>
      </c>
      <c r="I8" s="279">
        <f>'Resultater - Vestdanmark'!I8+'Resultater - Østdanmark'!I8</f>
        <v>-24013.693181900664</v>
      </c>
      <c r="J8" s="280">
        <f>'Resultater - Vestdanmark'!J8+'Resultater - Østdanmark'!J8</f>
        <v>-39432.71581809935</v>
      </c>
      <c r="L8" s="98" t="s">
        <v>41</v>
      </c>
      <c r="M8" s="98">
        <f>SUMIFS(H$3:H$487,$F$3:$F$487,$L$3,$C$3:$C$487,$L8)+SUMIFS(H$3:H$487,$F$3:$F$487,$L$3,$C$3:$C$487,"",$A$3:$A$487,"Grøntsager I drivhus")</f>
        <v>1473168.6340477788</v>
      </c>
      <c r="N8" s="98">
        <f>SUMIFS(I$3:I$487,$F$3:$F$487,$L$3,$C$3:$C$487,$L8)+SUMIFS(I$3:I$487,$F$3:$F$487,$L$3,$C$3:$C$487,"",$A$3:$A$487,"Grøntsager I drivhus")</f>
        <v>1188723.2558946707</v>
      </c>
      <c r="O8" s="98">
        <f>SUMIFS(J$3:J$487,$F$3:$F$487,$L$3,$C$3:$C$487,$L8)</f>
        <v>29.202274382245825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8">
        <f>'Resultater - Vestdanmark'!H9+'Resultater - Østdanmark'!H9</f>
        <v>76.5</v>
      </c>
      <c r="I9" s="279">
        <f>'Resultater - Vestdanmark'!I9+'Resultater - Østdanmark'!I9</f>
        <v>14400</v>
      </c>
      <c r="J9" s="280">
        <f>'Resultater - Vestdanmark'!J9+'Resultater - Østdanmark'!J9</f>
        <v>18000</v>
      </c>
      <c r="L9" s="98" t="s">
        <v>40</v>
      </c>
      <c r="M9" s="98">
        <f>SUMIFS(H$3:H$487,$F$3:$F$487,$L$3,$C$3:$C$487,$L9)+SUMIFS(H$3:H$487,$F$3:$F$487,$L$3,$C$3:$C$487,"",$A$3:$A$487,"Grøntsager I drivhus")</f>
        <v>2863539.7669857088</v>
      </c>
      <c r="N9" s="98">
        <f>SUMIFS(I$3:I$487,$F$3:$F$487,$L$3,$C$3:$C$487,$L9)+SUMIFS(I$3:I$487,$F$3:$F$487,$L$3,$C$3:$C$487,"",$A$3:$A$487,"Grøntsager I drivhus")</f>
        <v>39219.631490243584</v>
      </c>
      <c r="O9" s="98">
        <f>SUMIFS(J$3:J$487,$F$3:$F$487,$L$3,$C$3:$C$487,$L9)</f>
        <v>73.108930198402646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8">
        <f>'Resultater - Vestdanmark'!H10+'Resultater - Østdanmark'!H10</f>
        <v>-15.861000000000001</v>
      </c>
      <c r="I10" s="279">
        <f>'Resultater - Vestdanmark'!I10+'Resultater - Østdanmark'!I10</f>
        <v>-597.12</v>
      </c>
      <c r="J10" s="280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8">
        <f>'Resultater - Vestdanmark'!H11+'Resultater - Østdanmark'!H11</f>
        <v>1724360.8435879257</v>
      </c>
      <c r="I11" s="279">
        <f>'Resultater - Vestdanmark'!I11+'Resultater - Østdanmark'!I11</f>
        <v>1631856.7815804055</v>
      </c>
      <c r="J11" s="280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8">
        <f>'Resultater - Vestdanmark'!H12+'Resultater - Østdanmark'!H12</f>
        <v>2113570.8536589644</v>
      </c>
      <c r="I12" s="279">
        <f>'Resultater - Vestdanmark'!I12+'Resultater - Østdanmark'!I12</f>
        <v>2000187.4571203692</v>
      </c>
      <c r="J12" s="280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8">
        <f>'Resultater - Vestdanmark'!H13+'Resultater - Østdanmark'!H13</f>
        <v>-561900</v>
      </c>
      <c r="I13" s="279">
        <f>'Resultater - Vestdanmark'!I13+'Resultater - Østdanmark'!I13</f>
        <v>-531756.63839717361</v>
      </c>
      <c r="J13" s="280">
        <f>'Resultater - Vestdanmark'!J13+'Resultater - Østdanmark'!J13</f>
        <v>-481032.62804968352</v>
      </c>
    </row>
    <row r="14" spans="1:2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78">
        <f>'Resultater - Vestdanmark'!H14+'Resultater - Østdanmark'!H14</f>
        <v>0</v>
      </c>
      <c r="I14" s="279">
        <f>'Resultater - Vestdanmark'!I14+'Resultater - Østdanmark'!I14</f>
        <v>0</v>
      </c>
      <c r="J14" s="280">
        <f>'Resultater - Vestdanmark'!J14+'Resultater - Østdanmark'!J14</f>
        <v>0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78">
        <f>'Resultater - Vestdanmark'!H15+'Resultater - Østdanmark'!H15</f>
        <v>0</v>
      </c>
      <c r="I15" s="279">
        <f>'Resultater - Vestdanmark'!I15+'Resultater - Østdanmark'!I15</f>
        <v>0</v>
      </c>
      <c r="J15" s="280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78">
        <f>'Resultater - Vestdanmark'!H16+'Resultater - Østdanmark'!H16</f>
        <v>0</v>
      </c>
      <c r="I16" s="279">
        <f>'Resultater - Vestdanmark'!I16+'Resultater - Østdanmark'!I16</f>
        <v>-159172.36454706042</v>
      </c>
      <c r="J16" s="280">
        <f>'Resultater - Vestdanmark'!J16+'Resultater - Østdanmark'!J16</f>
        <v>-98070.003233590644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78">
        <f>'Resultater - Vestdanmark'!H17+'Resultater - Østdanmark'!H17</f>
        <v>0</v>
      </c>
      <c r="I17" s="279">
        <f>'Resultater - Vestdanmark'!I17+'Resultater - Østdanmark'!I17</f>
        <v>0</v>
      </c>
      <c r="J17" s="280">
        <f>'Resultater - Vestdanmark'!J17+'Resultater - Østdanmark'!J17</f>
        <v>0</v>
      </c>
    </row>
    <row r="18" spans="1:10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78">
        <f>'Resultater - Vestdanmark'!H18+'Resultater - Østdanmark'!H18</f>
        <v>0</v>
      </c>
      <c r="I18" s="279">
        <f>'Resultater - Vestdanmark'!I18+'Resultater - Østdanmark'!I18</f>
        <v>0</v>
      </c>
      <c r="J18" s="280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78">
        <f>'Resultater - Vestdanmark'!H19+'Resultater - Østdanmark'!H19</f>
        <v>0</v>
      </c>
      <c r="I19" s="279">
        <f>'Resultater - Vestdanmark'!I19+'Resultater - Østdanmark'!I19</f>
        <v>-35017.920200353299</v>
      </c>
      <c r="J19" s="280">
        <f>'Resultater - Vestdanmark'!J19+'Resultater - Østdanmark'!J19</f>
        <v>-215754.00711389942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78">
        <f>'Resultater - Vestdanmark'!H20+'Resultater - Østdanmark'!H20</f>
        <v>0</v>
      </c>
      <c r="I20" s="279">
        <f>'Resultater - Vestdanmark'!I20+'Resultater - Østdanmark'!I20</f>
        <v>0</v>
      </c>
      <c r="J20" s="280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78">
        <f>'Resultater - Vestdanmark'!H21+'Resultater - Østdanmark'!H21</f>
        <v>0</v>
      </c>
      <c r="I21" s="279">
        <f>'Resultater - Vestdanmark'!I21+'Resultater - Østdanmark'!I21</f>
        <v>0</v>
      </c>
      <c r="J21" s="280">
        <f>'Resultater - Vestdanmark'!J21+'Resultater - Østdanmark'!J21</f>
        <v>0</v>
      </c>
    </row>
    <row r="22" spans="1:10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78">
        <f>'Resultater - Vestdanmark'!H22+'Resultater - Østdanmark'!H22</f>
        <v>0</v>
      </c>
      <c r="I22" s="279">
        <f>'Resultater - Vestdanmark'!I22+'Resultater - Østdanmark'!I22</f>
        <v>0</v>
      </c>
      <c r="J22" s="280">
        <f>'Resultater - Vestdanmark'!J22+'Resultater - Østdanmark'!J22</f>
        <v>-891365.24146353838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8">
        <f>'Resultater - Vestdanmark'!H23+'Resultater - Østdanmark'!H23</f>
        <v>0</v>
      </c>
      <c r="I23" s="279">
        <f>'Resultater - Vestdanmark'!I23+'Resultater - Østdanmark'!I23</f>
        <v>0</v>
      </c>
      <c r="J23" s="280">
        <f>'Resultater - Vestdanmark'!J23+'Resultater - Østdanmark'!J23</f>
        <v>12155.494669636308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8">
        <f>'Resultater - Vestdanmark'!H24+'Resultater - Østdanmark'!H24</f>
        <v>0</v>
      </c>
      <c r="I24" s="279">
        <f>'Resultater - Vestdanmark'!I24+'Resultater - Østdanmark'!I24</f>
        <v>0</v>
      </c>
      <c r="J24" s="280">
        <f>'Resultater - Vestdanmark'!J24+'Resultater - Østdanmark'!J24</f>
        <v>6349.8852751831455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8">
        <f>'Resultater - Vestdanmark'!H25+'Resultater - Østdanmark'!H25</f>
        <v>0</v>
      </c>
      <c r="I25" s="279">
        <f>'Resultater - Vestdanmark'!I25+'Resultater - Østdanmark'!I25</f>
        <v>0</v>
      </c>
      <c r="J25" s="280">
        <f>'Resultater - Vestdanmark'!J25+'Resultater - Østdanmark'!J25</f>
        <v>-92319.971437295055</v>
      </c>
    </row>
    <row r="26" spans="1:10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78">
        <f>'Resultater - Vestdanmark'!H26+'Resultater - Østdanmark'!H26</f>
        <v>0</v>
      </c>
      <c r="I26" s="279">
        <f>'Resultater - Vestdanmark'!I26+'Resultater - Østdanmark'!I26</f>
        <v>0</v>
      </c>
      <c r="J26" s="280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78">
        <f>'Resultater - Vestdanmark'!H27+'Resultater - Østdanmark'!H27</f>
        <v>0</v>
      </c>
      <c r="I27" s="279">
        <f>'Resultater - Vestdanmark'!I27+'Resultater - Østdanmark'!I27</f>
        <v>0</v>
      </c>
      <c r="J27" s="280">
        <f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78">
        <f>'Resultater - Vestdanmark'!H28+'Resultater - Østdanmark'!H28</f>
        <v>0</v>
      </c>
      <c r="I28" s="279">
        <f>'Resultater - Vestdanmark'!I28+'Resultater - Østdanmark'!I28</f>
        <v>-795861.82273530215</v>
      </c>
      <c r="J28" s="280">
        <f>'Resultater - Vestdanmark'!J28+'Resultater - Østdanmark'!J28</f>
        <v>-490350.01616795326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78">
        <f>'Resultater - Vestdanmark'!H29+'Resultater - Østdanmark'!H29</f>
        <v>0</v>
      </c>
      <c r="I29" s="279">
        <f>'Resultater - Vestdanmark'!I29+'Resultater - Østdanmark'!I29</f>
        <v>14551.359998162565</v>
      </c>
      <c r="J29" s="280">
        <f>'Resultater - Vestdanmark'!J29+'Resultater - Østdanmark'!J29</f>
        <v>89654.502911592179</v>
      </c>
    </row>
    <row r="30" spans="1:10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78">
        <f>'Resultater - Vestdanmark'!H30+'Resultater - Østdanmark'!H30</f>
        <v>0</v>
      </c>
      <c r="I30" s="279">
        <f>'Resultater - Vestdanmark'!I30+'Resultater - Østdanmark'!I30</f>
        <v>3637.8399995406412</v>
      </c>
      <c r="J30" s="280">
        <f>'Resultater - Vestdanmark'!J30+'Resultater - Østdanmark'!J30</f>
        <v>22413.625727898045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78">
        <f>'Resultater - Vestdanmark'!H31+'Resultater - Østdanmark'!H31</f>
        <v>0</v>
      </c>
      <c r="I31" s="279">
        <f>'Resultater - Vestdanmark'!I31+'Resultater - Østdanmark'!I31</f>
        <v>-101870.31331011868</v>
      </c>
      <c r="J31" s="280">
        <f>'Resultater - Vestdanmark'!J31+'Resultater - Østdanmark'!J31</f>
        <v>-627648.02069498016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78">
        <f>'Resultater - Vestdanmark'!H32+'Resultater - Østdanmark'!H32</f>
        <v>0</v>
      </c>
      <c r="I32" s="279">
        <f>'Resultater - Vestdanmark'!I32+'Resultater - Østdanmark'!I32</f>
        <v>0</v>
      </c>
      <c r="J32" s="280">
        <f>'Resultater - Vestdanmark'!J32+'Resultater - Østdanmark'!J32</f>
        <v>153886.40632977476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78">
        <f>'Resultater - Vestdanmark'!H33+'Resultater - Østdanmark'!H33</f>
        <v>0</v>
      </c>
      <c r="I33" s="279">
        <f>'Resultater - Vestdanmark'!I33+'Resultater - Østdanmark'!I33</f>
        <v>0</v>
      </c>
      <c r="J33" s="280">
        <f>'Resultater - Vestdanmark'!J33+'Resultater - Østdanmark'!J33</f>
        <v>53268.37142184512</v>
      </c>
    </row>
    <row r="34" spans="1:10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78">
        <f>'Resultater - Vestdanmark'!H34+'Resultater - Østdanmark'!H34</f>
        <v>0</v>
      </c>
      <c r="I34" s="279">
        <f>'Resultater - Vestdanmark'!I34+'Resultater - Østdanmark'!I34</f>
        <v>0</v>
      </c>
      <c r="J34" s="280">
        <f>'Resultater - Vestdanmark'!J34+'Resultater - Østdanmark'!J34</f>
        <v>-31834.472909412088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8">
        <f>'Resultater - Vestdanmark'!H35+'Resultater - Østdanmark'!H35</f>
        <v>0</v>
      </c>
      <c r="I35" s="279">
        <f>'Resultater - Vestdanmark'!I35+'Resultater - Østdanmark'!I35</f>
        <v>0</v>
      </c>
      <c r="J35" s="280">
        <f>'Resultater - Vestdanmark'!J35+'Resultater - Østdanmark'!J35</f>
        <v>7073.5777768845801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8">
        <f>'Resultater - Vestdanmark'!H36+'Resultater - Østdanmark'!H36</f>
        <v>0</v>
      </c>
      <c r="I36" s="279">
        <f>'Resultater - Vestdanmark'!I36+'Resultater - Østdanmark'!I36</f>
        <v>0</v>
      </c>
      <c r="J36" s="280">
        <f>'Resultater - Vestdanmark'!J36+'Resultater - Østdanmark'!J36</f>
        <v>3536.788888442291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8">
        <f>'Resultater - Vestdanmark'!H37+'Resultater - Østdanmark'!H37</f>
        <v>0</v>
      </c>
      <c r="I37" s="279">
        <f>'Resultater - Vestdanmark'!I37+'Resultater - Østdanmark'!I37</f>
        <v>0</v>
      </c>
      <c r="J37" s="280">
        <f>'Resultater - Vestdanmark'!J37+'Resultater - Østdanmark'!J37</f>
        <v>-79586.182273530212</v>
      </c>
    </row>
    <row r="38" spans="1:10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78">
        <f>'Resultater - Vestdanmark'!H38+'Resultater - Østdanmark'!H38</f>
        <v>0</v>
      </c>
      <c r="I38" s="279">
        <f>'Resultater - Vestdanmark'!I38+'Resultater - Østdanmark'!I38</f>
        <v>0</v>
      </c>
      <c r="J38" s="280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78">
        <f>'Resultater - Vestdanmark'!H39+'Resultater - Østdanmark'!H39</f>
        <v>0</v>
      </c>
      <c r="I39" s="279">
        <f>'Resultater - Vestdanmark'!I39+'Resultater - Østdanmark'!I39</f>
        <v>0</v>
      </c>
      <c r="J39" s="280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78">
        <f>'Resultater - Vestdanmark'!H40+'Resultater - Østdanmark'!H40</f>
        <v>0</v>
      </c>
      <c r="I40" s="279">
        <f>'Resultater - Vestdanmark'!I40+'Resultater - Østdanmark'!I40</f>
        <v>-159172.36454706042</v>
      </c>
      <c r="J40" s="280">
        <f>'Resultater - Vestdanmark'!J40+'Resultater - Østdanmark'!J40</f>
        <v>-98070.003233590644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78">
        <f>'Resultater - Vestdanmark'!H41+'Resultater - Østdanmark'!H41</f>
        <v>0</v>
      </c>
      <c r="I41" s="279">
        <f>'Resultater - Vestdanmark'!I41+'Resultater - Østdanmark'!I41</f>
        <v>0</v>
      </c>
      <c r="J41" s="280">
        <f>'Resultater - Vestdanmark'!J41+'Resultater - Østdanmark'!J41</f>
        <v>0</v>
      </c>
    </row>
    <row r="42" spans="1:10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78">
        <f>'Resultater - Vestdanmark'!H42+'Resultater - Østdanmark'!H42</f>
        <v>0</v>
      </c>
      <c r="I42" s="279">
        <f>'Resultater - Vestdanmark'!I42+'Resultater - Østdanmark'!I42</f>
        <v>0</v>
      </c>
      <c r="J42" s="280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78">
        <f>'Resultater - Vestdanmark'!H43+'Resultater - Østdanmark'!H43</f>
        <v>0</v>
      </c>
      <c r="I43" s="279">
        <f>'Resultater - Vestdanmark'!I43+'Resultater - Østdanmark'!I43</f>
        <v>-27059.301973000274</v>
      </c>
      <c r="J43" s="280">
        <f>'Resultater - Vestdanmark'!J43+'Resultater - Østdanmark'!J43</f>
        <v>-166719.00549710411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78">
        <f>'Resultater - Vestdanmark'!H44+'Resultater - Østdanmark'!H44</f>
        <v>0</v>
      </c>
      <c r="I44" s="279">
        <f>'Resultater - Vestdanmark'!I44+'Resultater - Østdanmark'!I44</f>
        <v>0</v>
      </c>
      <c r="J44" s="280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78">
        <f>'Resultater - Vestdanmark'!H45+'Resultater - Østdanmark'!H45</f>
        <v>0</v>
      </c>
      <c r="I45" s="279">
        <f>'Resultater - Vestdanmark'!I45+'Resultater - Østdanmark'!I45</f>
        <v>0</v>
      </c>
      <c r="J45" s="280">
        <f>'Resultater - Vestdanmark'!J45+'Resultater - Østdanmark'!J45</f>
        <v>0</v>
      </c>
    </row>
    <row r="46" spans="1:10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78">
        <f>'Resultater - Vestdanmark'!H46+'Resultater - Østdanmark'!H46</f>
        <v>0</v>
      </c>
      <c r="I46" s="279">
        <f>'Resultater - Vestdanmark'!I46+'Resultater - Østdanmark'!I46</f>
        <v>0</v>
      </c>
      <c r="J46" s="280">
        <f>'Resultater - Vestdanmark'!J46+'Resultater - Østdanmark'!J46</f>
        <v>-875448.00500883244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8">
        <f>'Resultater - Vestdanmark'!H47+'Resultater - Østdanmark'!H47</f>
        <v>0</v>
      </c>
      <c r="I47" s="279">
        <f>'Resultater - Vestdanmark'!I47+'Resultater - Østdanmark'!I47</f>
        <v>0</v>
      </c>
      <c r="J47" s="280">
        <f>'Resultater - Vestdanmark'!J47+'Resultater - Østdanmark'!J47</f>
        <v>8912.078614791606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8">
        <f>'Resultater - Vestdanmark'!H48+'Resultater - Østdanmark'!H48</f>
        <v>0</v>
      </c>
      <c r="I48" s="279">
        <f>'Resultater - Vestdanmark'!I48+'Resultater - Østdanmark'!I48</f>
        <v>0</v>
      </c>
      <c r="J48" s="280">
        <f>'Resultater - Vestdanmark'!J48+'Resultater - Østdanmark'!J48</f>
        <v>4861.1337898863312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8">
        <f>'Resultater - Vestdanmark'!H49+'Resultater - Østdanmark'!H49</f>
        <v>0</v>
      </c>
      <c r="I49" s="279">
        <f>'Resultater - Vestdanmark'!I49+'Resultater - Østdanmark'!I49</f>
        <v>0</v>
      </c>
      <c r="J49" s="280">
        <f>'Resultater - Vestdanmark'!J49+'Resultater - Østdanmark'!J49</f>
        <v>-84361.353209942026</v>
      </c>
    </row>
    <row r="50" spans="1:10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78">
        <f>'Resultater - Vestdanmark'!H50+'Resultater - Østdanmark'!H50</f>
        <v>0</v>
      </c>
      <c r="I50" s="279">
        <f>'Resultater - Vestdanmark'!I50+'Resultater - Østdanmark'!I50</f>
        <v>0</v>
      </c>
      <c r="J50" s="280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78">
        <f>'Resultater - Vestdanmark'!H51+'Resultater - Østdanmark'!H51</f>
        <v>0</v>
      </c>
      <c r="I51" s="279">
        <f>'Resultater - Vestdanmark'!I51+'Resultater - Østdanmark'!I51</f>
        <v>0</v>
      </c>
      <c r="J51" s="280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78">
        <f>'Resultater - Vestdanmark'!H52+'Resultater - Østdanmark'!H52</f>
        <v>0</v>
      </c>
      <c r="I52" s="279">
        <f>'Resultater - Vestdanmark'!I52+'Resultater - Østdanmark'!I52</f>
        <v>-604854.9852788297</v>
      </c>
      <c r="J52" s="280">
        <f>'Resultater - Vestdanmark'!J52+'Resultater - Østdanmark'!J52</f>
        <v>-372666.01228764444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78">
        <f>'Resultater - Vestdanmark'!H53+'Resultater - Østdanmark'!H53</f>
        <v>0</v>
      </c>
      <c r="I53" s="279">
        <f>'Resultater - Vestdanmark'!I53+'Resultater - Østdanmark'!I53</f>
        <v>3695.2521085721314</v>
      </c>
      <c r="J53" s="280">
        <f>'Resultater - Vestdanmark'!J53+'Resultater - Østdanmark'!J53</f>
        <v>22767.355832642508</v>
      </c>
    </row>
    <row r="54" spans="1:10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78">
        <f>'Resultater - Vestdanmark'!H54+'Resultater - Østdanmark'!H54</f>
        <v>0</v>
      </c>
      <c r="I54" s="279">
        <f>'Resultater - Vestdanmark'!I54+'Resultater - Østdanmark'!I54</f>
        <v>12933.382380002453</v>
      </c>
      <c r="J54" s="280">
        <f>'Resultater - Vestdanmark'!J54+'Resultater - Østdanmark'!J54</f>
        <v>79685.74541424874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78">
        <f>'Resultater - Vestdanmark'!H55+'Resultater - Østdanmark'!H55</f>
        <v>0</v>
      </c>
      <c r="I55" s="279">
        <f>'Resultater - Vestdanmark'!I55+'Resultater - Østdanmark'!I55</f>
        <v>-50935.156655059342</v>
      </c>
      <c r="J55" s="280">
        <f>'Resultater - Vestdanmark'!J55+'Resultater - Østdanmark'!J55</f>
        <v>-313824.01034749008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78">
        <f>'Resultater - Vestdanmark'!H56+'Resultater - Østdanmark'!H56</f>
        <v>0</v>
      </c>
      <c r="I56" s="279">
        <f>'Resultater - Vestdanmark'!I56+'Resultater - Østdanmark'!I56</f>
        <v>0</v>
      </c>
      <c r="J56" s="280">
        <f>'Resultater - Vestdanmark'!J56+'Resultater - Østdanmark'!J56</f>
        <v>39775.283113102778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78">
        <f>'Resultater - Vestdanmark'!H57+'Resultater - Østdanmark'!H57</f>
        <v>0</v>
      </c>
      <c r="I57" s="279">
        <f>'Resultater - Vestdanmark'!I57+'Resultater - Østdanmark'!I57</f>
        <v>0</v>
      </c>
      <c r="J57" s="280">
        <f>'Resultater - Vestdanmark'!J57+'Resultater - Østdanmark'!J57</f>
        <v>52606.01960120046</v>
      </c>
    </row>
    <row r="58" spans="1:10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78">
        <f>'Resultater - Vestdanmark'!H58+'Resultater - Østdanmark'!H58</f>
        <v>0</v>
      </c>
      <c r="I58" s="279">
        <f>'Resultater - Vestdanmark'!I58+'Resultater - Østdanmark'!I58</f>
        <v>0</v>
      </c>
      <c r="J58" s="280">
        <f>'Resultater - Vestdanmark'!J58+'Resultater - Østdanmark'!J58</f>
        <v>-286510.25618470879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8">
        <f>'Resultater - Vestdanmark'!H59+'Resultater - Østdanmark'!H59</f>
        <v>0</v>
      </c>
      <c r="I59" s="279">
        <f>'Resultater - Vestdanmark'!I59+'Resultater - Østdanmark'!I59</f>
        <v>0</v>
      </c>
      <c r="J59" s="280">
        <f>'Resultater - Vestdanmark'!J59+'Resultater - Østdanmark'!J59</f>
        <v>3287.6875377737324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8">
        <f>'Resultater - Vestdanmark'!H60+'Resultater - Østdanmark'!H60</f>
        <v>0</v>
      </c>
      <c r="I60" s="279">
        <f>'Resultater - Vestdanmark'!I60+'Resultater - Østdanmark'!I60</f>
        <v>0</v>
      </c>
      <c r="J60" s="280">
        <f>'Resultater - Vestdanmark'!J60+'Resultater - Østdanmark'!J60</f>
        <v>1793.2841115129452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8">
        <f>'Resultater - Vestdanmark'!H61+'Resultater - Østdanmark'!H61</f>
        <v>0</v>
      </c>
      <c r="I61" s="279">
        <f>'Resultater - Vestdanmark'!I61+'Resultater - Østdanmark'!I61</f>
        <v>0</v>
      </c>
      <c r="J61" s="280">
        <f>'Resultater - Vestdanmark'!J61+'Resultater - Østdanmark'!J61</f>
        <v>-82769.629564471426</v>
      </c>
    </row>
    <row r="62" spans="1:10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78">
        <f>'Resultater - Vestdanmark'!H62+'Resultater - Østdanmark'!H62</f>
        <v>0</v>
      </c>
      <c r="I62" s="279">
        <f>'Resultater - Vestdanmark'!I62+'Resultater - Østdanmark'!I62</f>
        <v>0</v>
      </c>
      <c r="J62" s="280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78">
        <f>'Resultater - Vestdanmark'!H63+'Resultater - Østdanmark'!H63</f>
        <v>0</v>
      </c>
      <c r="I63" s="279">
        <f>'Resultater - Vestdanmark'!I63+'Resultater - Østdanmark'!I63</f>
        <v>0</v>
      </c>
      <c r="J63" s="280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78">
        <f>'Resultater - Vestdanmark'!H64+'Resultater - Østdanmark'!H64</f>
        <v>0</v>
      </c>
      <c r="I64" s="279">
        <f>'Resultater - Vestdanmark'!I64+'Resultater - Østdanmark'!I64</f>
        <v>0</v>
      </c>
      <c r="J64" s="280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78">
        <f>'Resultater - Vestdanmark'!H65+'Resultater - Østdanmark'!H65</f>
        <v>0</v>
      </c>
      <c r="I65" s="279">
        <f>'Resultater - Vestdanmark'!I65+'Resultater - Østdanmark'!I65</f>
        <v>0</v>
      </c>
      <c r="J65" s="280">
        <f>'Resultater - Vestdanmark'!J65+'Resultater - Østdanmark'!J65</f>
        <v>0</v>
      </c>
    </row>
    <row r="66" spans="1:10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78">
        <f>'Resultater - Vestdanmark'!H66+'Resultater - Østdanmark'!H66</f>
        <v>0</v>
      </c>
      <c r="I66" s="279">
        <f>'Resultater - Vestdanmark'!I66+'Resultater - Østdanmark'!I66</f>
        <v>0</v>
      </c>
      <c r="J66" s="280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78">
        <f>'Resultater - Vestdanmark'!H67+'Resultater - Østdanmark'!H67</f>
        <v>0</v>
      </c>
      <c r="I67" s="279">
        <f>'Resultater - Vestdanmark'!I67+'Resultater - Østdanmark'!I67</f>
        <v>0</v>
      </c>
      <c r="J67" s="280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78">
        <f>'Resultater - Vestdanmark'!H68+'Resultater - Østdanmark'!H68</f>
        <v>0</v>
      </c>
      <c r="I68" s="279">
        <f>'Resultater - Vestdanmark'!I68+'Resultater - Østdanmark'!I68</f>
        <v>0</v>
      </c>
      <c r="J68" s="280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78">
        <f>'Resultater - Vestdanmark'!H69+'Resultater - Østdanmark'!H69</f>
        <v>0</v>
      </c>
      <c r="I69" s="279">
        <f>'Resultater - Vestdanmark'!I69+'Resultater - Østdanmark'!I69</f>
        <v>0</v>
      </c>
      <c r="J69" s="280">
        <f>'Resultater - Vestdanmark'!J69+'Resultater - Østdanmark'!J69</f>
        <v>0</v>
      </c>
    </row>
    <row r="70" spans="1:10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78">
        <f>'Resultater - Vestdanmark'!H70+'Resultater - Østdanmark'!H70</f>
        <v>0</v>
      </c>
      <c r="I70" s="279">
        <f>'Resultater - Vestdanmark'!I70+'Resultater - Østdanmark'!I70</f>
        <v>0</v>
      </c>
      <c r="J70" s="280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8">
        <f>'Resultater - Vestdanmark'!H71+'Resultater - Østdanmark'!H71</f>
        <v>0</v>
      </c>
      <c r="I71" s="279">
        <f>'Resultater - Vestdanmark'!I71+'Resultater - Østdanmark'!I71</f>
        <v>0</v>
      </c>
      <c r="J71" s="280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8">
        <f>'Resultater - Vestdanmark'!H72+'Resultater - Østdanmark'!H72</f>
        <v>0</v>
      </c>
      <c r="I72" s="279">
        <f>'Resultater - Vestdanmark'!I72+'Resultater - Østdanmark'!I72</f>
        <v>0</v>
      </c>
      <c r="J72" s="280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8">
        <f>'Resultater - Vestdanmark'!H73+'Resultater - Østdanmark'!H73</f>
        <v>0</v>
      </c>
      <c r="I73" s="279">
        <f>'Resultater - Vestdanmark'!I73+'Resultater - Østdanmark'!I73</f>
        <v>0</v>
      </c>
      <c r="J73" s="280">
        <f>'Resultater - Vestdanmark'!J73+'Resultater - Østdanmark'!J73</f>
        <v>0</v>
      </c>
    </row>
    <row r="74" spans="1:10" x14ac:dyDescent="0.25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78">
        <f>'Resultater - Vestdanmark'!H74+'Resultater - Østdanmark'!H74</f>
        <v>16367972</v>
      </c>
      <c r="I74" s="279">
        <f>'Resultater - Vestdanmark'!I74+'Resultater - Østdanmark'!I74</f>
        <v>12799320.650900256</v>
      </c>
      <c r="J74" s="280">
        <f>'Resultater - Vestdanmark'!J74+'Resultater - Østdanmark'!J74</f>
        <v>7658605.8990418315</v>
      </c>
    </row>
    <row r="75" spans="1:10" x14ac:dyDescent="0.25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78">
        <f>'Resultater - Vestdanmark'!H75+'Resultater - Østdanmark'!H75</f>
        <v>17657000</v>
      </c>
      <c r="I75" s="279">
        <f>'Resultater - Vestdanmark'!I75+'Resultater - Østdanmark'!I75</f>
        <v>13807306.411139132</v>
      </c>
      <c r="J75" s="280">
        <f>'Resultater - Vestdanmark'!J75+'Resultater - Østdanmark'!J75</f>
        <v>8261744.6046084156</v>
      </c>
    </row>
    <row r="76" spans="1:10" x14ac:dyDescent="0.25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78">
        <f>'Resultater - Vestdanmark'!H76+'Resultater - Østdanmark'!H76</f>
        <v>2263500</v>
      </c>
      <c r="I76" s="279">
        <f>'Resultater - Vestdanmark'!I76+'Resultater - Østdanmark'!I76</f>
        <v>1769997.0584818162</v>
      </c>
      <c r="J76" s="280">
        <f>'Resultater - Vestdanmark'!J76+'Resultater - Østdanmark'!J76</f>
        <v>1059096.0476032819</v>
      </c>
    </row>
    <row r="77" spans="1:10" x14ac:dyDescent="0.25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78">
        <f>'Resultater - Vestdanmark'!H77+'Resultater - Østdanmark'!H77</f>
        <v>185011.20708453766</v>
      </c>
      <c r="I77" s="279">
        <f>'Resultater - Vestdanmark'!I77+'Resultater - Østdanmark'!I77</f>
        <v>144673.8645132767</v>
      </c>
      <c r="J77" s="280">
        <f>'Resultater - Vestdanmark'!J77+'Resultater - Østdanmark'!J77</f>
        <v>86567.103240797936</v>
      </c>
    </row>
    <row r="78" spans="1:10" x14ac:dyDescent="0.25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78">
        <f>'Resultater - Vestdanmark'!H78+'Resultater - Østdanmark'!H78</f>
        <v>-10101447931.960001</v>
      </c>
      <c r="I78" s="279">
        <f>'Resultater - Vestdanmark'!I78+'Resultater - Østdanmark'!I78</f>
        <v>-7899064778.4300537</v>
      </c>
      <c r="J78" s="280">
        <f>'Resultater - Vestdanmark'!J78+'Resultater - Østdanmark'!J78</f>
        <v>-4726487112.7939835</v>
      </c>
    </row>
    <row r="79" spans="1:10" x14ac:dyDescent="0.25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78">
        <f>'Resultater - Vestdanmark'!H79+'Resultater - Østdanmark'!H79</f>
        <v>-775790.06759999995</v>
      </c>
      <c r="I79" s="279">
        <f>'Resultater - Vestdanmark'!I79+'Resultater - Østdanmark'!I79</f>
        <v>-606647.28855816624</v>
      </c>
      <c r="J79" s="280">
        <f>'Resultater - Vestdanmark'!J79+'Resultater - Østdanmark'!J79</f>
        <v>-362993.67986085394</v>
      </c>
    </row>
    <row r="80" spans="1:10" x14ac:dyDescent="0.25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78">
        <f>'Resultater - Vestdanmark'!H80+'Resultater - Østdanmark'!H80</f>
        <v>1322792.8112606632</v>
      </c>
      <c r="I80" s="279">
        <f>'Resultater - Vestdanmark'!I80+'Resultater - Østdanmark'!I80</f>
        <v>1034388.9484922757</v>
      </c>
      <c r="J80" s="280">
        <f>'Resultater - Vestdanmark'!J80+'Resultater - Østdanmark'!J80</f>
        <v>618937.32635484973</v>
      </c>
    </row>
    <row r="81" spans="1:10" x14ac:dyDescent="0.25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78">
        <f>'Resultater - Vestdanmark'!H81+'Resultater - Østdanmark'!H81</f>
        <v>232028</v>
      </c>
      <c r="I81" s="279">
        <f>'Resultater - Vestdanmark'!I81+'Resultater - Østdanmark'!I81</f>
        <v>286226.56294538995</v>
      </c>
      <c r="J81" s="280">
        <f>'Resultater - Vestdanmark'!J81+'Resultater - Østdanmark'!J81</f>
        <v>295150.35129194462</v>
      </c>
    </row>
    <row r="82" spans="1:10" x14ac:dyDescent="0.25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78">
        <f>'Resultater - Vestdanmark'!H82+'Resultater - Østdanmark'!H82</f>
        <v>0</v>
      </c>
      <c r="I82" s="279">
        <f>'Resultater - Vestdanmark'!I82+'Resultater - Østdanmark'!I82</f>
        <v>0</v>
      </c>
      <c r="J82" s="280">
        <f>'Resultater - Vestdanmark'!J82+'Resultater - Østdanmark'!J82</f>
        <v>0</v>
      </c>
    </row>
    <row r="83" spans="1:10" x14ac:dyDescent="0.25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78">
        <f>'Resultater - Vestdanmark'!H83+'Resultater - Østdanmark'!H83</f>
        <v>251500.00000000003</v>
      </c>
      <c r="I83" s="279">
        <f>'Resultater - Vestdanmark'!I83+'Resultater - Østdanmark'!I83</f>
        <v>310246.95545695163</v>
      </c>
      <c r="J83" s="280">
        <f>'Resultater - Vestdanmark'!J83+'Resultater - Østdanmark'!J83</f>
        <v>319919.63620737183</v>
      </c>
    </row>
    <row r="84" spans="1:10" x14ac:dyDescent="0.25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78">
        <f>'Resultater - Vestdanmark'!H84+'Resultater - Østdanmark'!H84</f>
        <v>7691.8969154623392</v>
      </c>
      <c r="I84" s="279">
        <f>'Resultater - Vestdanmark'!I84+'Resultater - Østdanmark'!I84</f>
        <v>9488.6186867232918</v>
      </c>
      <c r="J84" s="280">
        <f>'Resultater - Vestdanmark'!J84+'Resultater - Østdanmark'!J84</f>
        <v>9784.448759202056</v>
      </c>
    </row>
    <row r="85" spans="1:10" x14ac:dyDescent="0.25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78">
        <f>'Resultater - Vestdanmark'!H85+'Resultater - Østdanmark'!H85</f>
        <v>-419970754.27999997</v>
      </c>
      <c r="I85" s="279">
        <f>'Resultater - Vestdanmark'!I85+'Resultater - Østdanmark'!I85</f>
        <v>-518070170.56194645</v>
      </c>
      <c r="J85" s="280">
        <f>'Resultater - Vestdanmark'!J85+'Resultater - Østdanmark'!J85</f>
        <v>-534222230.32601655</v>
      </c>
    </row>
    <row r="86" spans="1:10" x14ac:dyDescent="0.25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78">
        <f>'Resultater - Vestdanmark'!H86+'Resultater - Østdanmark'!H86</f>
        <v>-28350.861000000001</v>
      </c>
      <c r="I86" s="279">
        <f>'Resultater - Vestdanmark'!I86+'Resultater - Østdanmark'!I86</f>
        <v>-34973.233836315019</v>
      </c>
      <c r="J86" s="280">
        <f>'Resultater - Vestdanmark'!J86+'Resultater - Østdanmark'!J86</f>
        <v>-36063.606907696885</v>
      </c>
    </row>
    <row r="87" spans="1:10" x14ac:dyDescent="0.25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78">
        <f>'Resultater - Vestdanmark'!H87+'Resultater - Østdanmark'!H87</f>
        <v>60495.062518513841</v>
      </c>
      <c r="I87" s="279">
        <f>'Resultater - Vestdanmark'!I87+'Resultater - Østdanmark'!I87</f>
        <v>74625.88058269133</v>
      </c>
      <c r="J87" s="280">
        <f>'Resultater - Vestdanmark'!J87+'Resultater - Østdanmark'!J87</f>
        <v>76952.518462286942</v>
      </c>
    </row>
    <row r="88" spans="1:10" x14ac:dyDescent="0.25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78">
        <f>'Resultater - Vestdanmark'!H88+'Resultater - Østdanmark'!H88</f>
        <v>440600</v>
      </c>
      <c r="I88" s="279">
        <f>'Resultater - Vestdanmark'!I88+'Resultater - Østdanmark'!I88</f>
        <v>343504.41336069477</v>
      </c>
      <c r="J88" s="280">
        <f>'Resultater - Vestdanmark'!J88+'Resultater - Østdanmark'!J88</f>
        <v>204318.01879567697</v>
      </c>
    </row>
    <row r="89" spans="1:10" x14ac:dyDescent="0.25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78">
        <f>'Resultater - Vestdanmark'!H89+'Resultater - Østdanmark'!H89</f>
        <v>12785500</v>
      </c>
      <c r="I89" s="279">
        <f>'Resultater - Vestdanmark'!I89+'Resultater - Østdanmark'!I89</f>
        <v>9967942.9800798073</v>
      </c>
      <c r="J89" s="280">
        <f>'Resultater - Vestdanmark'!J89+'Resultater - Østdanmark'!J89</f>
        <v>5928978.7319839485</v>
      </c>
    </row>
    <row r="90" spans="1:10" x14ac:dyDescent="0.25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78">
        <f>'Resultater - Vestdanmark'!H90+'Resultater - Østdanmark'!H90</f>
        <v>250560.00000000003</v>
      </c>
      <c r="I90" s="279">
        <f>'Resultater - Vestdanmark'!I90+'Resultater - Østdanmark'!I90</f>
        <v>195343.77170144278</v>
      </c>
      <c r="J90" s="280">
        <f>'Resultater - Vestdanmark'!J90+'Resultater - Østdanmark'!J90</f>
        <v>116191.38172819979</v>
      </c>
    </row>
    <row r="91" spans="1:10" x14ac:dyDescent="0.25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78">
        <f>'Resultater - Vestdanmark'!H91+'Resultater - Østdanmark'!H91</f>
        <v>4786000</v>
      </c>
      <c r="I91" s="279">
        <f>'Resultater - Vestdanmark'!I91+'Resultater - Østdanmark'!I91</f>
        <v>3731303.0466279737</v>
      </c>
      <c r="J91" s="280">
        <f>'Resultater - Vestdanmark'!J91+'Resultater - Østdanmark'!J91</f>
        <v>2219396.3639494102</v>
      </c>
    </row>
    <row r="92" spans="1:10" x14ac:dyDescent="0.25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78">
        <f>'Resultater - Vestdanmark'!H92+'Resultater - Østdanmark'!H92</f>
        <v>54522.149641311174</v>
      </c>
      <c r="I92" s="279">
        <f>'Resultater - Vestdanmark'!I92+'Resultater - Østdanmark'!I92</f>
        <v>42507.033653433064</v>
      </c>
      <c r="J92" s="280">
        <f>'Resultater - Vestdanmark'!J92+'Resultater - Østdanmark'!J92</f>
        <v>25283.380833395662</v>
      </c>
    </row>
    <row r="93" spans="1:10" x14ac:dyDescent="0.25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78">
        <f>'Resultater - Vestdanmark'!H93+'Resultater - Østdanmark'!H93</f>
        <v>-3317225912</v>
      </c>
      <c r="I93" s="279">
        <f>'Resultater - Vestdanmark'!I93+'Resultater - Østdanmark'!I93</f>
        <v>-2586204586.6692138</v>
      </c>
      <c r="J93" s="280">
        <f>'Resultater - Vestdanmark'!J93+'Resultater - Østdanmark'!J93</f>
        <v>-1538286487.1482584</v>
      </c>
    </row>
    <row r="94" spans="1:10" x14ac:dyDescent="0.25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78">
        <f>'Resultater - Vestdanmark'!H94+'Resultater - Østdanmark'!H94</f>
        <v>-13874.569799999999</v>
      </c>
      <c r="I94" s="279">
        <f>'Resultater - Vestdanmark'!I94+'Resultater - Østdanmark'!I94</f>
        <v>-10817.013072585138</v>
      </c>
      <c r="J94" s="280">
        <f>'Resultater - Vestdanmark'!J94+'Resultater - Østdanmark'!J94</f>
        <v>-6434.0095623657107</v>
      </c>
    </row>
    <row r="95" spans="1:10" x14ac:dyDescent="0.25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78">
        <f>'Resultater - Vestdanmark'!H95+'Resultater - Østdanmark'!H95</f>
        <v>3588024.4873487833</v>
      </c>
      <c r="I95" s="279">
        <f>'Resultater - Vestdanmark'!I95+'Resultater - Østdanmark'!I95</f>
        <v>2797326.9329336165</v>
      </c>
      <c r="J95" s="280">
        <f>'Resultater - Vestdanmark'!J95+'Resultater - Østdanmark'!J95</f>
        <v>1663863.0382330411</v>
      </c>
    </row>
    <row r="96" spans="1:10" x14ac:dyDescent="0.25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78">
        <f>'Resultater - Vestdanmark'!H96+'Resultater - Østdanmark'!H96</f>
        <v>23400.000000000004</v>
      </c>
      <c r="I96" s="279">
        <f>'Resultater - Vestdanmark'!I96+'Resultater - Østdanmark'!I96</f>
        <v>21412.262565954799</v>
      </c>
      <c r="J96" s="280">
        <f>'Resultater - Vestdanmark'!J96+'Resultater - Østdanmark'!J96</f>
        <v>16493.858212873602</v>
      </c>
    </row>
    <row r="97" spans="1:10" x14ac:dyDescent="0.25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78">
        <f>'Resultater - Vestdanmark'!H97+'Resultater - Østdanmark'!H97</f>
        <v>1264500</v>
      </c>
      <c r="I97" s="279">
        <f>'Resultater - Vestdanmark'!I97+'Resultater - Østdanmark'!I97</f>
        <v>1157085.7271217881</v>
      </c>
      <c r="J97" s="280">
        <f>'Resultater - Vestdanmark'!J97+'Resultater - Østdanmark'!J97</f>
        <v>891302.72265720798</v>
      </c>
    </row>
    <row r="98" spans="1:10" x14ac:dyDescent="0.25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78">
        <f>'Resultater - Vestdanmark'!H98+'Resultater - Østdanmark'!H98</f>
        <v>10440.000000000002</v>
      </c>
      <c r="I98" s="279">
        <f>'Resultater - Vestdanmark'!I98+'Resultater - Østdanmark'!I98</f>
        <v>9553.1632986567565</v>
      </c>
      <c r="J98" s="280">
        <f>'Resultater - Vestdanmark'!J98+'Resultater - Østdanmark'!J98</f>
        <v>7358.7982795897606</v>
      </c>
    </row>
    <row r="99" spans="1:10" x14ac:dyDescent="0.25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78">
        <f>'Resultater - Vestdanmark'!H99+'Resultater - Østdanmark'!H99</f>
        <v>482999.99999999994</v>
      </c>
      <c r="I99" s="279">
        <f>'Resultater - Vestdanmark'!I99+'Resultater - Østdanmark'!I99</f>
        <v>441971.06065624644</v>
      </c>
      <c r="J99" s="280">
        <f>'Resultater - Vestdanmark'!J99+'Resultater - Østdanmark'!J99</f>
        <v>340450.15029136534</v>
      </c>
    </row>
    <row r="100" spans="1:10" x14ac:dyDescent="0.25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78">
        <f>'Resultater - Vestdanmark'!H100+'Resultater - Østdanmark'!H100</f>
        <v>9653.6103586888312</v>
      </c>
      <c r="I100" s="279">
        <f>'Resultater - Vestdanmark'!I100+'Resultater - Østdanmark'!I100</f>
        <v>8833.5743465669384</v>
      </c>
      <c r="J100" s="280">
        <f>'Resultater - Vestdanmark'!J100+'Resultater - Østdanmark'!J100</f>
        <v>6804.4991666043361</v>
      </c>
    </row>
    <row r="101" spans="1:10" x14ac:dyDescent="0.25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78">
        <f>'Resultater - Vestdanmark'!H101+'Resultater - Østdanmark'!H101</f>
        <v>-587343064</v>
      </c>
      <c r="I101" s="279">
        <f>'Resultater - Vestdanmark'!I101+'Resultater - Østdanmark'!I101</f>
        <v>-537450594.13078606</v>
      </c>
      <c r="J101" s="280">
        <f>'Resultater - Vestdanmark'!J101+'Resultater - Østdanmark'!J101</f>
        <v>-413998000.85174125</v>
      </c>
    </row>
    <row r="102" spans="1:10" x14ac:dyDescent="0.25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78">
        <f>'Resultater - Vestdanmark'!H102+'Resultater - Østdanmark'!H102</f>
        <v>-2961.3935999999999</v>
      </c>
      <c r="I102" s="279">
        <f>'Resultater - Vestdanmark'!I102+'Resultater - Østdanmark'!I102</f>
        <v>-2709.8349283905177</v>
      </c>
      <c r="J102" s="280">
        <f>'Resultater - Vestdanmark'!J102+'Resultater - Østdanmark'!J102</f>
        <v>-2087.3848782440737</v>
      </c>
    </row>
    <row r="103" spans="1:10" x14ac:dyDescent="0.25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78">
        <f>'Resultater - Vestdanmark'!H103+'Resultater - Østdanmark'!H103</f>
        <v>531260.59557996574</v>
      </c>
      <c r="I103" s="279">
        <f>'Resultater - Vestdanmark'!I103+'Resultater - Østdanmark'!I103</f>
        <v>486132.10955144238</v>
      </c>
      <c r="J103" s="280">
        <f>'Resultater - Vestdanmark'!J103+'Resultater - Østdanmark'!J103</f>
        <v>374467.39049498882</v>
      </c>
    </row>
    <row r="104" spans="1:10" x14ac:dyDescent="0.25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78">
        <f>'Resultater - Vestdanmark'!H104+'Resultater - Østdanmark'!H104</f>
        <v>105566999.99999999</v>
      </c>
      <c r="I104" s="279">
        <f>'Resultater - Vestdanmark'!I104+'Resultater - Østdanmark'!I104</f>
        <v>102904851.25711353</v>
      </c>
      <c r="J104" s="280">
        <f>'Resultater - Vestdanmark'!J104+'Resultater - Østdanmark'!J104</f>
        <v>97982620.213951036</v>
      </c>
    </row>
    <row r="105" spans="1:10" x14ac:dyDescent="0.25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78">
        <f>'Resultater - Vestdanmark'!H105+'Resultater - Østdanmark'!H105</f>
        <v>6719.2238038686164</v>
      </c>
      <c r="I105" s="279">
        <f>'Resultater - Vestdanmark'!I105+'Resultater - Østdanmark'!I105</f>
        <v>6549.7809552261278</v>
      </c>
      <c r="J105" s="280">
        <f>'Resultater - Vestdanmark'!J105+'Resultater - Østdanmark'!J105</f>
        <v>6236.4863461782397</v>
      </c>
    </row>
    <row r="106" spans="1:10" x14ac:dyDescent="0.25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78">
        <f>'Resultater - Vestdanmark'!H106+'Resultater - Østdanmark'!H106</f>
        <v>148922.51453359297</v>
      </c>
      <c r="I106" s="279">
        <f>'Resultater - Vestdanmark'!I106+'Resultater - Østdanmark'!I106</f>
        <v>145167.04279665722</v>
      </c>
      <c r="J106" s="280">
        <f>'Resultater - Vestdanmark'!J106+'Resultater - Østdanmark'!J106</f>
        <v>138223.29120702157</v>
      </c>
    </row>
    <row r="107" spans="1:10" x14ac:dyDescent="0.25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78">
        <f>'Resultater - Vestdanmark'!H107+'Resultater - Østdanmark'!H107</f>
        <v>220000</v>
      </c>
      <c r="I107" s="279">
        <f>'Resultater - Vestdanmark'!I107+'Resultater - Østdanmark'!I107</f>
        <v>214452.12307411386</v>
      </c>
      <c r="J107" s="280">
        <f>'Resultater - Vestdanmark'!J107+'Resultater - Østdanmark'!J107</f>
        <v>204194.26948827977</v>
      </c>
    </row>
    <row r="108" spans="1:10" x14ac:dyDescent="0.25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78">
        <f>'Resultater - Vestdanmark'!H108+'Resultater - Østdanmark'!H108</f>
        <v>9291.4831667730468</v>
      </c>
      <c r="I108" s="279">
        <f>'Resultater - Vestdanmark'!I108+'Resultater - Østdanmark'!I108</f>
        <v>9057.1740528266855</v>
      </c>
      <c r="J108" s="280">
        <f>'Resultater - Vestdanmark'!J108+'Resultater - Østdanmark'!J108</f>
        <v>8623.943716826685</v>
      </c>
    </row>
    <row r="109" spans="1:10" x14ac:dyDescent="0.25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78">
        <f>'Resultater - Vestdanmark'!H109+'Resultater - Østdanmark'!H109</f>
        <v>-365582337.12</v>
      </c>
      <c r="I109" s="279">
        <f>'Resultater - Vestdanmark'!I109+'Resultater - Østdanmark'!I109</f>
        <v>-356363219.78991097</v>
      </c>
      <c r="J109" s="280">
        <f>'Resultater - Vestdanmark'!J109+'Resultater - Østdanmark'!J109</f>
        <v>-339317355.75471103</v>
      </c>
    </row>
    <row r="110" spans="1:10" x14ac:dyDescent="0.25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78">
        <f>'Resultater - Vestdanmark'!H110+'Resultater - Østdanmark'!H110</f>
        <v>-8664.776171999998</v>
      </c>
      <c r="I110" s="279">
        <f>'Resultater - Vestdanmark'!I110+'Resultater - Østdanmark'!I110</f>
        <v>-8446.2711183972406</v>
      </c>
      <c r="J110" s="280">
        <f>'Resultater - Vestdanmark'!J110+'Resultater - Østdanmark'!J110</f>
        <v>-8042.2620032772411</v>
      </c>
    </row>
    <row r="111" spans="1:10" x14ac:dyDescent="0.25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78">
        <f>'Resultater - Vestdanmark'!H111+'Resultater - Østdanmark'!H111</f>
        <v>14116.474844810102</v>
      </c>
      <c r="I111" s="279">
        <f>'Resultater - Vestdanmark'!I111+'Resultater - Østdanmark'!I111</f>
        <v>13760.490912690218</v>
      </c>
      <c r="J111" s="280">
        <f>'Resultater - Vestdanmark'!J111+'Resultater - Østdanmark'!J111</f>
        <v>13102.287584934891</v>
      </c>
    </row>
    <row r="112" spans="1:10" x14ac:dyDescent="0.25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78">
        <f>'Resultater - Vestdanmark'!H112+'Resultater - Østdanmark'!H112</f>
        <v>1224707</v>
      </c>
      <c r="I112" s="279">
        <f>'Resultater - Vestdanmark'!I112+'Resultater - Østdanmark'!I112</f>
        <v>1411132.4071133996</v>
      </c>
      <c r="J112" s="280">
        <f>'Resultater - Vestdanmark'!J112+'Resultater - Østdanmark'!J112</f>
        <v>1755827.2437861352</v>
      </c>
    </row>
    <row r="113" spans="1:10" x14ac:dyDescent="0.25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78">
        <f>'Resultater - Vestdanmark'!H113+'Resultater - Østdanmark'!H113</f>
        <v>2163.7761961313831</v>
      </c>
      <c r="I113" s="279">
        <f>'Resultater - Vestdanmark'!I113+'Resultater - Østdanmark'!I113</f>
        <v>2493.1471054722101</v>
      </c>
      <c r="J113" s="280">
        <f>'Resultater - Vestdanmark'!J113+'Resultater - Østdanmark'!J113</f>
        <v>3102.1437736727353</v>
      </c>
    </row>
    <row r="114" spans="1:10" x14ac:dyDescent="0.25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78">
        <f>'Resultater - Vestdanmark'!H114+'Resultater - Østdanmark'!H114</f>
        <v>8147.4854664070526</v>
      </c>
      <c r="I114" s="279">
        <f>'Resultater - Vestdanmark'!I114+'Resultater - Østdanmark'!I114</f>
        <v>9387.6990807862003</v>
      </c>
      <c r="J114" s="280">
        <f>'Resultater - Vestdanmark'!J114+'Resultater - Østdanmark'!J114</f>
        <v>11680.815860666338</v>
      </c>
    </row>
    <row r="115" spans="1:10" x14ac:dyDescent="0.25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78">
        <f>'Resultater - Vestdanmark'!H115+'Resultater - Østdanmark'!H115</f>
        <v>15000</v>
      </c>
      <c r="I115" s="279">
        <f>'Resultater - Vestdanmark'!I115+'Resultater - Østdanmark'!I115</f>
        <v>17283.306216671408</v>
      </c>
      <c r="J115" s="280">
        <f>'Resultater - Vestdanmark'!J115+'Resultater - Østdanmark'!J115</f>
        <v>21505.069095540424</v>
      </c>
    </row>
    <row r="116" spans="1:10" x14ac:dyDescent="0.25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78">
        <f>'Resultater - Vestdanmark'!H116+'Resultater - Østdanmark'!H116</f>
        <v>1539.2752332269538</v>
      </c>
      <c r="I116" s="279">
        <f>'Resultater - Vestdanmark'!I116+'Resultater - Østdanmark'!I116</f>
        <v>1773.5843471733165</v>
      </c>
      <c r="J116" s="280">
        <f>'Resultater - Vestdanmark'!J116+'Resultater - Østdanmark'!J116</f>
        <v>2206.8146831733166</v>
      </c>
    </row>
    <row r="117" spans="1:10" x14ac:dyDescent="0.25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78">
        <f>'Resultater - Vestdanmark'!H117+'Resultater - Østdanmark'!H117</f>
        <v>-60564263.759999998</v>
      </c>
      <c r="I117" s="279">
        <f>'Resultater - Vestdanmark'!I117+'Resultater - Østdanmark'!I117</f>
        <v>-69783381.090089008</v>
      </c>
      <c r="J117" s="280">
        <f>'Resultater - Vestdanmark'!J117+'Resultater - Østdanmark'!J117</f>
        <v>-86829245.125289008</v>
      </c>
    </row>
    <row r="118" spans="1:10" x14ac:dyDescent="0.25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78">
        <f>'Resultater - Vestdanmark'!H118+'Resultater - Østdanmark'!H118</f>
        <v>-2703.7617749999999</v>
      </c>
      <c r="I118" s="279">
        <f>'Resultater - Vestdanmark'!I118+'Resultater - Østdanmark'!I118</f>
        <v>-3115.3295129504022</v>
      </c>
      <c r="J118" s="280">
        <f>'Resultater - Vestdanmark'!J118+'Resultater - Østdanmark'!J118</f>
        <v>-3876.3055859504016</v>
      </c>
    </row>
    <row r="119" spans="1:10" x14ac:dyDescent="0.25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78">
        <f>'Resultater - Vestdanmark'!H119+'Resultater - Østdanmark'!H119</f>
        <v>2572.4691839803959</v>
      </c>
      <c r="I119" s="279">
        <f>'Resultater - Vestdanmark'!I119+'Resultater - Østdanmark'!I119</f>
        <v>2964.0515093122676</v>
      </c>
      <c r="J119" s="280">
        <f>'Resultater - Vestdanmark'!J119+'Resultater - Østdanmark'!J119</f>
        <v>3688.0751698431277</v>
      </c>
    </row>
    <row r="120" spans="1:10" x14ac:dyDescent="0.25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78">
        <f>'Resultater - Vestdanmark'!H120+'Resultater - Østdanmark'!H120</f>
        <v>8030838.3925888147</v>
      </c>
      <c r="I120" s="279">
        <f>'Resultater - Vestdanmark'!I120+'Resultater - Østdanmark'!I120</f>
        <v>5589253.7741043204</v>
      </c>
      <c r="J120" s="280">
        <f>'Resultater - Vestdanmark'!J120+'Resultater - Østdanmark'!J120</f>
        <v>4678340.6372736003</v>
      </c>
    </row>
    <row r="121" spans="1:10" x14ac:dyDescent="0.25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78">
        <f>'Resultater - Vestdanmark'!H121+'Resultater - Østdanmark'!H121</f>
        <v>2621245.5742450082</v>
      </c>
      <c r="I121" s="279">
        <f>'Resultater - Vestdanmark'!I121+'Resultater - Østdanmark'!I121</f>
        <v>2301265.7505086702</v>
      </c>
      <c r="J121" s="280">
        <f>'Resultater - Vestdanmark'!J121+'Resultater - Østdanmark'!J121</f>
        <v>2376265.3703316003</v>
      </c>
    </row>
    <row r="122" spans="1:10" x14ac:dyDescent="0.25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78">
        <f>'Resultater - Vestdanmark'!H122+'Resultater - Østdanmark'!H122</f>
        <v>-183300163.02627823</v>
      </c>
      <c r="I122" s="279">
        <f>'Resultater - Vestdanmark'!I122+'Resultater - Østdanmark'!I122</f>
        <v>-119003848.96000001</v>
      </c>
      <c r="J122" s="280">
        <f>'Resultater - Vestdanmark'!J122+'Resultater - Østdanmark'!J122</f>
        <v>-99609100.799999982</v>
      </c>
    </row>
    <row r="123" spans="1:10" x14ac:dyDescent="0.25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78">
        <f>'Resultater - Vestdanmark'!H123+'Resultater - Østdanmark'!H123</f>
        <v>2604803.426450097</v>
      </c>
      <c r="I123" s="279">
        <f>'Resultater - Vestdanmark'!I123+'Resultater - Østdanmark'!I123</f>
        <v>1691114.8818090158</v>
      </c>
      <c r="J123" s="280">
        <f>'Resultater - Vestdanmark'!J123+'Resultater - Østdanmark'!J123</f>
        <v>1415504.0714953218</v>
      </c>
    </row>
    <row r="124" spans="1:10" x14ac:dyDescent="0.25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78">
        <f>'Resultater - Vestdanmark'!H124+'Resultater - Østdanmark'!H124</f>
        <v>225935.04552207049</v>
      </c>
      <c r="I124" s="279">
        <f>'Resultater - Vestdanmark'!I124+'Resultater - Østdanmark'!I124</f>
        <v>185152.60445012414</v>
      </c>
      <c r="J124" s="280">
        <f>'Resultater - Vestdanmark'!J124+'Resultater - Østdanmark'!J124</f>
        <v>4.4858668470684426</v>
      </c>
    </row>
    <row r="125" spans="1:10" x14ac:dyDescent="0.25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78">
        <f>'Resultater - Vestdanmark'!H125+'Resultater - Østdanmark'!H125</f>
        <v>73744.634020790007</v>
      </c>
      <c r="I125" s="279">
        <f>'Resultater - Vestdanmark'!I125+'Resultater - Østdanmark'!I125</f>
        <v>76232.957825721576</v>
      </c>
      <c r="J125" s="280">
        <f>'Resultater - Vestdanmark'!J125+'Resultater - Østdanmark'!J125</f>
        <v>2.2785023304372833</v>
      </c>
    </row>
    <row r="126" spans="1:10" x14ac:dyDescent="0.25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78">
        <f>'Resultater - Vestdanmark'!H126+'Resultater - Østdanmark'!H126</f>
        <v>-3491625.762942126</v>
      </c>
      <c r="I126" s="279">
        <f>'Resultater - Vestdanmark'!I126+'Resultater - Østdanmark'!I126</f>
        <v>-2669187.7828355702</v>
      </c>
      <c r="J126" s="280">
        <f>'Resultater - Vestdanmark'!J126+'Resultater - Østdanmark'!J126</f>
        <v>-64.668930902603776</v>
      </c>
    </row>
    <row r="127" spans="1:10" x14ac:dyDescent="0.25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78">
        <f>'Resultater - Vestdanmark'!H127+'Resultater - Østdanmark'!H127</f>
        <v>429515.47728160548</v>
      </c>
      <c r="I127" s="279">
        <f>'Resultater - Vestdanmark'!I127+'Resultater - Østdanmark'!I127</f>
        <v>328344.88640409685</v>
      </c>
      <c r="J127" s="280">
        <f>'Resultater - Vestdanmark'!J127+'Resultater - Østdanmark'!J127</f>
        <v>7.955121369742117</v>
      </c>
    </row>
    <row r="128" spans="1:10" x14ac:dyDescent="0.25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78">
        <f>'Resultater - Vestdanmark'!H128+'Resultater - Østdanmark'!H128</f>
        <v>134184.5342649988</v>
      </c>
      <c r="I128" s="279">
        <f>'Resultater - Vestdanmark'!I128+'Resultater - Østdanmark'!I128</f>
        <v>3.6033265463698143</v>
      </c>
      <c r="J128" s="280">
        <f>'Resultater - Vestdanmark'!J128+'Resultater - Østdanmark'!J128</f>
        <v>3.4366987291966442</v>
      </c>
    </row>
    <row r="129" spans="1:10" x14ac:dyDescent="0.25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78">
        <f>'Resultater - Vestdanmark'!H129+'Resultater - Østdanmark'!H129</f>
        <v>43797.49652275996</v>
      </c>
      <c r="I129" s="279">
        <f>'Resultater - Vestdanmark'!I129+'Resultater - Østdanmark'!I129</f>
        <v>1.4835991179141574</v>
      </c>
      <c r="J129" s="280">
        <f>'Resultater - Vestdanmark'!J129+'Resultater - Østdanmark'!J129</f>
        <v>1.7455993078801986</v>
      </c>
    </row>
    <row r="130" spans="1:10" x14ac:dyDescent="0.25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78">
        <f>'Resultater - Vestdanmark'!H130+'Resultater - Østdanmark'!H130</f>
        <v>-1367276.6890666278</v>
      </c>
      <c r="I130" s="279">
        <f>'Resultater - Vestdanmark'!I130+'Resultater - Østdanmark'!I130</f>
        <v>-34.250174004865642</v>
      </c>
      <c r="J130" s="280">
        <f>'Resultater - Vestdanmark'!J130+'Resultater - Østdanmark'!J130</f>
        <v>-32.666350929496133</v>
      </c>
    </row>
    <row r="131" spans="1:10" x14ac:dyDescent="0.25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78">
        <f>'Resultater - Vestdanmark'!H131+'Resultater - Østdanmark'!H131</f>
        <v>559922.97086443973</v>
      </c>
      <c r="I131" s="279">
        <f>'Resultater - Vestdanmark'!I131+'Resultater - Østdanmark'!I131</f>
        <v>14.02602657880453</v>
      </c>
      <c r="J131" s="280">
        <f>'Resultater - Vestdanmark'!J131+'Resultater - Østdanmark'!J131</f>
        <v>13.3774241936575</v>
      </c>
    </row>
    <row r="132" spans="1:10" x14ac:dyDescent="0.25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78">
        <f>'Resultater - Vestdanmark'!H132+'Resultater - Østdanmark'!H132</f>
        <v>687979.55575600604</v>
      </c>
      <c r="I132" s="279">
        <f>'Resultater - Vestdanmark'!I132+'Resultater - Østdanmark'!I132</f>
        <v>584448.55938466557</v>
      </c>
      <c r="J132" s="280">
        <f>'Resultater - Vestdanmark'!J132+'Resultater - Østdanmark'!J132</f>
        <v>664891.44208524795</v>
      </c>
    </row>
    <row r="133" spans="1:10" x14ac:dyDescent="0.25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78">
        <f>'Resultater - Vestdanmark'!H133+'Resultater - Østdanmark'!H133</f>
        <v>224554.80704987101</v>
      </c>
      <c r="I133" s="279">
        <f>'Resultater - Vestdanmark'!I133+'Resultater - Østdanmark'!I133</f>
        <v>240635.24524105113</v>
      </c>
      <c r="J133" s="280">
        <f>'Resultater - Vestdanmark'!J133+'Resultater - Østdanmark'!J133</f>
        <v>337717.71475318802</v>
      </c>
    </row>
    <row r="134" spans="1:10" x14ac:dyDescent="0.25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78">
        <f>'Resultater - Vestdanmark'!H134+'Resultater - Østdanmark'!H134</f>
        <v>-15702814.396713404</v>
      </c>
      <c r="I134" s="279">
        <f>'Resultater - Vestdanmark'!I134+'Resultater - Østdanmark'!I134</f>
        <v>-12443812.876800001</v>
      </c>
      <c r="J134" s="280">
        <f>'Resultater - Vestdanmark'!J134+'Resultater - Østdanmark'!J134</f>
        <v>-14156566.143999998</v>
      </c>
    </row>
    <row r="135" spans="1:10" x14ac:dyDescent="0.25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78">
        <f>'Resultater - Vestdanmark'!H135+'Resultater - Østdanmark'!H135</f>
        <v>333054.11051750812</v>
      </c>
      <c r="I135" s="279">
        <f>'Resultater - Vestdanmark'!I135+'Resultater - Østdanmark'!I135</f>
        <v>263931.22432857472</v>
      </c>
      <c r="J135" s="280">
        <f>'Resultater - Vestdanmark'!J135+'Resultater - Østdanmark'!J135</f>
        <v>300258.43940809852</v>
      </c>
    </row>
    <row r="136" spans="1:10" x14ac:dyDescent="0.25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78">
        <f>'Resultater - Vestdanmark'!H136+'Resultater - Østdanmark'!H136</f>
        <v>19355.226023653049</v>
      </c>
      <c r="I136" s="279">
        <f>'Resultater - Vestdanmark'!I136+'Resultater - Østdanmark'!I136</f>
        <v>19360.754997125699</v>
      </c>
      <c r="J136" s="280">
        <f>'Resultater - Vestdanmark'!J136+'Resultater - Østdanmark'!J136</f>
        <v>0.63753683371972725</v>
      </c>
    </row>
    <row r="137" spans="1:10" x14ac:dyDescent="0.25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78">
        <f>'Resultater - Vestdanmark'!H137+'Resultater - Østdanmark'!H137</f>
        <v>6317.4973860552982</v>
      </c>
      <c r="I137" s="279">
        <f>'Resultater - Vestdanmark'!I137+'Resultater - Østdanmark'!I137</f>
        <v>7971.4116015451073</v>
      </c>
      <c r="J137" s="280">
        <f>'Resultater - Vestdanmark'!J137+'Resultater - Østdanmark'!J137</f>
        <v>0.32382351302275325</v>
      </c>
    </row>
    <row r="138" spans="1:10" x14ac:dyDescent="0.25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78">
        <f>'Resultater - Vestdanmark'!H138+'Resultater - Østdanmark'!H138</f>
        <v>-299117.85343258409</v>
      </c>
      <c r="I138" s="279">
        <f>'Resultater - Vestdanmark'!I138+'Resultater - Østdanmark'!I138</f>
        <v>-279107.55486413569</v>
      </c>
      <c r="J138" s="280">
        <f>'Resultater - Vestdanmark'!J138+'Resultater - Østdanmark'!J138</f>
        <v>-9.190826846460963</v>
      </c>
    </row>
    <row r="139" spans="1:10" x14ac:dyDescent="0.25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78">
        <f>'Resultater - Vestdanmark'!H139+'Resultater - Østdanmark'!H139</f>
        <v>54918.499333549895</v>
      </c>
      <c r="I139" s="279">
        <f>'Resultater - Vestdanmark'!I139+'Resultater - Østdanmark'!I139</f>
        <v>51244.577646882164</v>
      </c>
      <c r="J139" s="280">
        <f>'Resultater - Vestdanmark'!J139+'Resultater - Østdanmark'!J139</f>
        <v>1.6874499875210551</v>
      </c>
    </row>
    <row r="140" spans="1:10" x14ac:dyDescent="0.25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78">
        <f>'Resultater - Vestdanmark'!H140+'Resultater - Østdanmark'!H140</f>
        <v>11495.215288873653</v>
      </c>
      <c r="I140" s="279">
        <f>'Resultater - Vestdanmark'!I140+'Resultater - Østdanmark'!I140</f>
        <v>0.37678715158283216</v>
      </c>
      <c r="J140" s="280">
        <f>'Resultater - Vestdanmark'!J140+'Resultater - Østdanmark'!J140</f>
        <v>0.48842778908885631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78">
        <f>'Resultater - Vestdanmark'!H141+'Resultater - Østdanmark'!H141</f>
        <v>3752.0095322501388</v>
      </c>
      <c r="I141" s="279">
        <f>'Resultater - Vestdanmark'!I141+'Resultater - Østdanmark'!I141</f>
        <v>0.15513472857264232</v>
      </c>
      <c r="J141" s="280">
        <f>'Resultater - Vestdanmark'!J141+'Resultater - Østdanmark'!J141</f>
        <v>0.2480866895138828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78">
        <f>'Resultater - Vestdanmark'!H142+'Resultater - Østdanmark'!H142</f>
        <v>-117130.7854990183</v>
      </c>
      <c r="I142" s="279">
        <f>'Resultater - Vestdanmark'!I142+'Resultater - Østdanmark'!I142</f>
        <v>-3.5814199291793036</v>
      </c>
      <c r="J142" s="280">
        <f>'Resultater - Vestdanmark'!J142+'Resultater - Østdanmark'!J142</f>
        <v>-4.6425813896768746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78">
        <f>'Resultater - Vestdanmark'!H143+'Resultater - Østdanmark'!H143</f>
        <v>71592.598937004383</v>
      </c>
      <c r="I143" s="279">
        <f>'Resultater - Vestdanmark'!I143+'Resultater - Østdanmark'!I143</f>
        <v>2.1890330498712274</v>
      </c>
      <c r="J143" s="280">
        <f>'Resultater - Vestdanmark'!J143+'Resultater - Østdanmark'!J143</f>
        <v>2.8376354350182571</v>
      </c>
    </row>
    <row r="144" spans="1:10" x14ac:dyDescent="0.25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78">
        <f>'Resultater - Vestdanmark'!H144+'Resultater - Østdanmark'!H144</f>
        <v>230147.57425814544</v>
      </c>
      <c r="I144" s="279">
        <f>'Resultater - Vestdanmark'!I144+'Resultater - Østdanmark'!I144</f>
        <v>1643737.6489814471</v>
      </c>
      <c r="J144" s="280">
        <f>'Resultater - Vestdanmark'!J144+'Resultater - Østdanmark'!J144</f>
        <v>1375848.1813574105</v>
      </c>
    </row>
    <row r="145" spans="1:10" x14ac:dyDescent="0.25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78">
        <f>'Resultater - Vestdanmark'!H145+'Resultater - Østdanmark'!H145</f>
        <v>-2232747.9829002842</v>
      </c>
      <c r="I145" s="279">
        <f>'Resultater - Vestdanmark'!I145+'Resultater - Østdanmark'!I145</f>
        <v>-14875481.119999999</v>
      </c>
      <c r="J145" s="280">
        <f>'Resultater - Vestdanmark'!J145+'Resultater - Østdanmark'!J145</f>
        <v>-12451137.599999998</v>
      </c>
    </row>
    <row r="146" spans="1:10" x14ac:dyDescent="0.25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78">
        <f>'Resultater - Vestdanmark'!H146+'Resultater - Østdanmark'!H146</f>
        <v>25382.932563674498</v>
      </c>
      <c r="I146" s="279">
        <f>'Resultater - Vestdanmark'!I146+'Resultater - Østdanmark'!I146</f>
        <v>169111.48818090156</v>
      </c>
      <c r="J146" s="280">
        <f>'Resultater - Vestdanmark'!J146+'Resultater - Østdanmark'!J146</f>
        <v>141550.40714953217</v>
      </c>
    </row>
    <row r="147" spans="1:10" x14ac:dyDescent="0.25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78">
        <f>'Resultater - Vestdanmark'!H147+'Resultater - Østdanmark'!H147</f>
        <v>2806.7295229677611</v>
      </c>
      <c r="I147" s="279">
        <f>'Resultater - Vestdanmark'!I147+'Resultater - Østdanmark'!I147</f>
        <v>2300.3402779883349</v>
      </c>
      <c r="J147" s="280">
        <f>'Resultater - Vestdanmark'!J147+'Resultater - Østdanmark'!J147</f>
        <v>5.573251437998631E-2</v>
      </c>
    </row>
    <row r="148" spans="1:10" x14ac:dyDescent="0.25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78">
        <f>'Resultater - Vestdanmark'!H148+'Resultater - Østdanmark'!H148</f>
        <v>-22123.673287397512</v>
      </c>
      <c r="I148" s="279">
        <f>'Resultater - Vestdanmark'!I148+'Resultater - Østdanmark'!I148</f>
        <v>-16914.297772363989</v>
      </c>
      <c r="J148" s="280">
        <f>'Resultater - Vestdanmark'!J148+'Resultater - Østdanmark'!J148</f>
        <v>-0.40979865146300187</v>
      </c>
    </row>
    <row r="149" spans="1:10" x14ac:dyDescent="0.25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78">
        <f>'Resultater - Vestdanmark'!H149+'Resultater - Østdanmark'!H149</f>
        <v>1814.3334435803249</v>
      </c>
      <c r="I149" s="279">
        <f>'Resultater - Vestdanmark'!I149+'Resultater - Østdanmark'!I149</f>
        <v>1387.1193867501797</v>
      </c>
      <c r="J149" s="280">
        <f>'Resultater - Vestdanmark'!J149+'Resultater - Østdanmark'!J149</f>
        <v>3.3607050186687304E-2</v>
      </c>
    </row>
    <row r="150" spans="1:10" x14ac:dyDescent="0.25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78">
        <f>'Resultater - Vestdanmark'!H150+'Resultater - Østdanmark'!H150</f>
        <v>843.56496811604438</v>
      </c>
      <c r="I150" s="279">
        <f>'Resultater - Vestdanmark'!I150+'Resultater - Østdanmark'!I150</f>
        <v>2.2695503115964317E-2</v>
      </c>
      <c r="J150" s="280">
        <f>'Resultater - Vestdanmark'!J150+'Resultater - Østdanmark'!J150</f>
        <v>2.1646000081700072E-2</v>
      </c>
    </row>
    <row r="151" spans="1:10" x14ac:dyDescent="0.25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8">
        <f>'Resultater - Vestdanmark'!H151+'Resultater - Østdanmark'!H151</f>
        <v>-5553.2523541027549</v>
      </c>
      <c r="I151" s="279">
        <f>'Resultater - Vestdanmark'!I151+'Resultater - Østdanmark'!I151</f>
        <v>-0.13937147708266634</v>
      </c>
      <c r="J151" s="280">
        <f>'Resultater - Vestdanmark'!J151+'Resultater - Østdanmark'!J151</f>
        <v>-0.13292655328693606</v>
      </c>
    </row>
    <row r="152" spans="1:10" x14ac:dyDescent="0.25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8">
        <f>'Resultater - Vestdanmark'!H152+'Resultater - Østdanmark'!H152</f>
        <v>1196.9215428986058</v>
      </c>
      <c r="I152" s="279">
        <f>'Resultater - Vestdanmark'!I152+'Resultater - Østdanmark'!I152</f>
        <v>3.003946385807555E-2</v>
      </c>
      <c r="J152" s="280">
        <f>'Resultater - Vestdanmark'!J152+'Resultater - Østdanmark'!J152</f>
        <v>2.8650355702788816E-2</v>
      </c>
    </row>
    <row r="153" spans="1:10" x14ac:dyDescent="0.25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78">
        <f>'Resultater - Vestdanmark'!H153+'Resultater - Østdanmark'!H153</f>
        <v>16773.399891430559</v>
      </c>
      <c r="I153" s="279">
        <f>'Resultater - Vestdanmark'!I153+'Resultater - Østdanmark'!I153</f>
        <v>146226.14114349405</v>
      </c>
      <c r="J153" s="280">
        <f>'Resultater - Vestdanmark'!J153+'Resultater - Østdanmark'!J153</f>
        <v>166352.55283685052</v>
      </c>
    </row>
    <row r="154" spans="1:10" x14ac:dyDescent="0.25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78">
        <f>'Resultater - Vestdanmark'!H154+'Resultater - Østdanmark'!H154</f>
        <v>-162725.04672139056</v>
      </c>
      <c r="I154" s="279">
        <f>'Resultater - Vestdanmark'!I154+'Resultater - Østdanmark'!I154</f>
        <v>-1323315.9216</v>
      </c>
      <c r="J154" s="280">
        <f>'Resultater - Vestdanmark'!J154+'Resultater - Østdanmark'!J154</f>
        <v>-1505455.7279999997</v>
      </c>
    </row>
    <row r="155" spans="1:10" x14ac:dyDescent="0.25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78">
        <f>'Resultater - Vestdanmark'!H155+'Resultater - Østdanmark'!H155</f>
        <v>3245.5001945546865</v>
      </c>
      <c r="I155" s="279">
        <f>'Resultater - Vestdanmark'!I155+'Resultater - Østdanmark'!I155</f>
        <v>26393.122432857468</v>
      </c>
      <c r="J155" s="280">
        <f>'Resultater - Vestdanmark'!J155+'Resultater - Østdanmark'!J155</f>
        <v>30025.843940809853</v>
      </c>
    </row>
    <row r="156" spans="1:10" x14ac:dyDescent="0.25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78">
        <f>'Resultater - Vestdanmark'!H156+'Resultater - Østdanmark'!H156</f>
        <v>204.5574315852524</v>
      </c>
      <c r="I156" s="279">
        <f>'Resultater - Vestdanmark'!I156+'Resultater - Østdanmark'!I156</f>
        <v>204.63720738867326</v>
      </c>
      <c r="J156" s="280">
        <f>'Resultater - Vestdanmark'!J156+'Resultater - Østdanmark'!J156</f>
        <v>6.7385676477619821E-3</v>
      </c>
    </row>
    <row r="157" spans="1:10" x14ac:dyDescent="0.25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78">
        <f>'Resultater - Vestdanmark'!H157+'Resultater - Østdanmark'!H157</f>
        <v>-1612.3968297864642</v>
      </c>
      <c r="I157" s="279">
        <f>'Resultater - Vestdanmark'!I157+'Resultater - Østdanmark'!I157</f>
        <v>-1504.6881081889119</v>
      </c>
      <c r="J157" s="280">
        <f>'Resultater - Vestdanmark'!J157+'Resultater - Østdanmark'!J157</f>
        <v>-4.9548382404162948E-2</v>
      </c>
    </row>
    <row r="158" spans="1:10" x14ac:dyDescent="0.25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78">
        <f>'Resultater - Vestdanmark'!H158+'Resultater - Østdanmark'!H158</f>
        <v>231.98342151189939</v>
      </c>
      <c r="I158" s="279">
        <f>'Resultater - Vestdanmark'!I158+'Resultater - Østdanmark'!I158</f>
        <v>216.48684070667548</v>
      </c>
      <c r="J158" s="280">
        <f>'Resultater - Vestdanmark'!J158+'Resultater - Østdanmark'!J158</f>
        <v>7.1287682214185187E-3</v>
      </c>
    </row>
    <row r="159" spans="1:10" x14ac:dyDescent="0.25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78">
        <f>'Resultater - Vestdanmark'!H159+'Resultater - Østdanmark'!H159</f>
        <v>61.479911705441317</v>
      </c>
      <c r="I159" s="279">
        <f>'Resultater - Vestdanmark'!I159+'Resultater - Østdanmark'!I159</f>
        <v>2.0189814621658433E-3</v>
      </c>
      <c r="J159" s="280">
        <f>'Resultater - Vestdanmark'!J159+'Resultater - Østdanmark'!J159</f>
        <v>2.6171981916964628E-3</v>
      </c>
    </row>
    <row r="160" spans="1:10" x14ac:dyDescent="0.25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78">
        <f>'Resultater - Vestdanmark'!H160+'Resultater - Østdanmark'!H160</f>
        <v>-404.72693546148446</v>
      </c>
      <c r="I160" s="279">
        <f>'Resultater - Vestdanmark'!I160+'Resultater - Østdanmark'!I160</f>
        <v>-1.2398422152036039E-2</v>
      </c>
      <c r="J160" s="280">
        <f>'Resultater - Vestdanmark'!J160+'Resultater - Østdanmark'!J160</f>
        <v>-1.6072028715602271E-2</v>
      </c>
    </row>
    <row r="161" spans="1:10" x14ac:dyDescent="0.25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78">
        <f>'Resultater - Vestdanmark'!H161+'Resultater - Østdanmark'!H161</f>
        <v>153.04020095390325</v>
      </c>
      <c r="I161" s="279">
        <f>'Resultater - Vestdanmark'!I161+'Resultater - Østdanmark'!I161</f>
        <v>4.6882400240927154E-3</v>
      </c>
      <c r="J161" s="280">
        <f>'Resultater - Vestdanmark'!J161+'Resultater - Østdanmark'!J161</f>
        <v>6.0773481793794451E-3</v>
      </c>
    </row>
    <row r="162" spans="1:10" x14ac:dyDescent="0.25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78">
        <f>'Resultater - Vestdanmark'!H162+'Resultater - Østdanmark'!H162</f>
        <v>27749.688657763778</v>
      </c>
      <c r="I162" s="279">
        <f>'Resultater - Vestdanmark'!I162+'Resultater - Østdanmark'!I162</f>
        <v>182759.57000414876</v>
      </c>
      <c r="J162" s="280">
        <f>'Resultater - Vestdanmark'!J162+'Resultater - Østdanmark'!J162</f>
        <v>152795.99435561016</v>
      </c>
    </row>
    <row r="163" spans="1:10" x14ac:dyDescent="0.25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8">
        <f>'Resultater - Vestdanmark'!H163+'Resultater - Østdanmark'!H163</f>
        <v>-23743486.815882854</v>
      </c>
      <c r="I163" s="279">
        <f>'Resultater - Vestdanmark'!I163+'Resultater - Østdanmark'!I163</f>
        <v>-156374707.27643165</v>
      </c>
      <c r="J163" s="280">
        <f>'Resultater - Vestdanmark'!J163+'Resultater - Østdanmark'!J163</f>
        <v>-130736950.68240446</v>
      </c>
    </row>
    <row r="164" spans="1:10" x14ac:dyDescent="0.25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8">
        <f>'Resultater - Vestdanmark'!H164+'Resultater - Østdanmark'!H164</f>
        <v>5141.4697369274418</v>
      </c>
      <c r="I164" s="279">
        <f>'Resultater - Vestdanmark'!I164+'Resultater - Østdanmark'!I164</f>
        <v>33861.742014439078</v>
      </c>
      <c r="J164" s="280">
        <f>'Resultater - Vestdanmark'!J164+'Resultater - Østdanmark'!J164</f>
        <v>28310.082703695945</v>
      </c>
    </row>
    <row r="165" spans="1:10" x14ac:dyDescent="0.25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8">
        <f>'Resultater - Vestdanmark'!H165+'Resultater - Østdanmark'!H165</f>
        <v>2022.4268112306345</v>
      </c>
      <c r="I165" s="279">
        <f>'Resultater - Vestdanmark'!I165+'Resultater - Østdanmark'!I165</f>
        <v>16258.20683447312</v>
      </c>
      <c r="J165" s="280">
        <f>'Resultater - Vestdanmark'!J165+'Resultater - Østdanmark'!J165</f>
        <v>18474.424772087408</v>
      </c>
    </row>
    <row r="166" spans="1:10" x14ac:dyDescent="0.25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8">
        <f>'Resultater - Vestdanmark'!H166+'Resultater - Østdanmark'!H166</f>
        <v>-1730450.5618338804</v>
      </c>
      <c r="I166" s="279">
        <f>'Resultater - Vestdanmark'!I166+'Resultater - Østdanmark'!I166</f>
        <v>-13911021.647307996</v>
      </c>
      <c r="J166" s="280">
        <f>'Resultater - Vestdanmark'!J166+'Resultater - Østdanmark'!J166</f>
        <v>-15807285.855236175</v>
      </c>
    </row>
    <row r="167" spans="1:10" x14ac:dyDescent="0.25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8">
        <f>'Resultater - Vestdanmark'!H167+'Resultater - Østdanmark'!H167</f>
        <v>657.39610620781025</v>
      </c>
      <c r="I167" s="279">
        <f>'Resultater - Vestdanmark'!I167+'Resultater - Østdanmark'!I167</f>
        <v>5284.7805456060996</v>
      </c>
      <c r="J167" s="280">
        <f>'Resultater - Vestdanmark'!J167+'Resultater - Østdanmark'!J167</f>
        <v>6005.1690583597465</v>
      </c>
    </row>
    <row r="168" spans="1:10" x14ac:dyDescent="0.25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78">
        <f>'Resultater - Vestdanmark'!H168+'Resultater - Østdanmark'!H168</f>
        <v>1955168.9801122241</v>
      </c>
      <c r="I168" s="279">
        <f>'Resultater - Vestdanmark'!I168+'Resultater - Østdanmark'!I168</f>
        <v>2539735.7541797077</v>
      </c>
      <c r="J168" s="280">
        <f>'Resultater - Vestdanmark'!J168+'Resultater - Østdanmark'!J168</f>
        <v>2125820.2734979047</v>
      </c>
    </row>
    <row r="169" spans="1:10" x14ac:dyDescent="0.25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8">
        <f>'Resultater - Vestdanmark'!H169+'Resultater - Østdanmark'!H169</f>
        <v>-6905324.6027384531</v>
      </c>
      <c r="I169" s="279">
        <f>'Resultater - Vestdanmark'!I169+'Resultater - Østdanmark'!I169</f>
        <v>-8367458.129999999</v>
      </c>
      <c r="J169" s="280">
        <f>'Resultater - Vestdanmark'!J169+'Resultater - Østdanmark'!J169</f>
        <v>-7003764.8999999985</v>
      </c>
    </row>
    <row r="170" spans="1:10" x14ac:dyDescent="0.25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8">
        <f>'Resultater - Vestdanmark'!H170+'Resultater - Østdanmark'!H170</f>
        <v>104670.65103270129</v>
      </c>
      <c r="I170" s="279">
        <f>'Resultater - Vestdanmark'!I170+'Resultater - Østdanmark'!I170</f>
        <v>126833.61613567614</v>
      </c>
      <c r="J170" s="280">
        <f>'Resultater - Vestdanmark'!J170+'Resultater - Østdanmark'!J170</f>
        <v>106162.80536214913</v>
      </c>
    </row>
    <row r="171" spans="1:10" x14ac:dyDescent="0.25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78">
        <f>'Resultater - Vestdanmark'!H171+'Resultater - Østdanmark'!H171</f>
        <v>76780.532840637781</v>
      </c>
      <c r="I171" s="279">
        <f>'Resultater - Vestdanmark'!I171+'Resultater - Østdanmark'!I171</f>
        <v>62909.083443499112</v>
      </c>
      <c r="J171" s="280">
        <f>'Resultater - Vestdanmark'!J171+'Resultater - Østdanmark'!J171</f>
        <v>1.5241577218777458</v>
      </c>
    </row>
    <row r="172" spans="1:10" x14ac:dyDescent="0.25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8">
        <f>'Resultater - Vestdanmark'!H172+'Resultater - Østdanmark'!H172</f>
        <v>-180783.86329737815</v>
      </c>
      <c r="I172" s="279">
        <f>'Resultater - Vestdanmark'!I172+'Resultater - Østdanmark'!I172</f>
        <v>-138174.24925509488</v>
      </c>
      <c r="J172" s="280">
        <f>'Resultater - Vestdanmark'!J172+'Resultater - Østdanmark'!J172</f>
        <v>-3.3476779097562277</v>
      </c>
    </row>
    <row r="173" spans="1:10" x14ac:dyDescent="0.25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8">
        <f>'Resultater - Vestdanmark'!H173+'Resultater - Østdanmark'!H173</f>
        <v>24092.002403541195</v>
      </c>
      <c r="I173" s="279">
        <f>'Resultater - Vestdanmark'!I173+'Resultater - Østdanmark'!I173</f>
        <v>18413.669696201938</v>
      </c>
      <c r="J173" s="280">
        <f>'Resultater - Vestdanmark'!J173+'Resultater - Østdanmark'!J173</f>
        <v>0.44612534978003476</v>
      </c>
    </row>
    <row r="174" spans="1:10" x14ac:dyDescent="0.25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78">
        <f>'Resultater - Vestdanmark'!H174+'Resultater - Østdanmark'!H174</f>
        <v>76689.476357594409</v>
      </c>
      <c r="I174" s="279">
        <f>'Resultater - Vestdanmark'!I174+'Resultater - Østdanmark'!I174</f>
        <v>2.0521016512724364</v>
      </c>
      <c r="J174" s="280">
        <f>'Resultater - Vestdanmark'!J174+'Resultater - Østdanmark'!J174</f>
        <v>1.9572067772251565</v>
      </c>
    </row>
    <row r="175" spans="1:10" x14ac:dyDescent="0.25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8">
        <f>'Resultater - Vestdanmark'!H175+'Resultater - Østdanmark'!H175</f>
        <v>-116080.37096608599</v>
      </c>
      <c r="I175" s="279">
        <f>'Resultater - Vestdanmark'!I175+'Resultater - Østdanmark'!I175</f>
        <v>-2.8975243840006524</v>
      </c>
      <c r="J175" s="280">
        <f>'Resultater - Vestdanmark'!J175+'Resultater - Østdanmark'!J175</f>
        <v>-2.7635348171104486</v>
      </c>
    </row>
    <row r="176" spans="1:10" x14ac:dyDescent="0.25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8">
        <f>'Resultater - Vestdanmark'!H176+'Resultater - Østdanmark'!H176</f>
        <v>52818.754154083166</v>
      </c>
      <c r="I176" s="279">
        <f>'Resultater - Vestdanmark'!I176+'Resultater - Østdanmark'!I176</f>
        <v>1.3184281443992363</v>
      </c>
      <c r="J176" s="280">
        <f>'Resultater - Vestdanmark'!J176+'Resultater - Østdanmark'!J176</f>
        <v>1.2574603689356878</v>
      </c>
    </row>
    <row r="177" spans="1:10" x14ac:dyDescent="0.25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78">
        <f>'Resultater - Vestdanmark'!H177+'Resultater - Østdanmark'!H177</f>
        <v>142494.79389236751</v>
      </c>
      <c r="I177" s="279">
        <f>'Resultater - Vestdanmark'!I177+'Resultater - Østdanmark'!I177</f>
        <v>225933.71824754737</v>
      </c>
      <c r="J177" s="280">
        <f>'Resultater - Vestdanmark'!J177+'Resultater - Østdanmark'!J177</f>
        <v>257030.99670474662</v>
      </c>
    </row>
    <row r="178" spans="1:10" x14ac:dyDescent="0.25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8">
        <f>'Resultater - Vestdanmark'!H178+'Resultater - Østdanmark'!H178</f>
        <v>-503267.39838652278</v>
      </c>
      <c r="I178" s="279">
        <f>'Resultater - Vestdanmark'!I178+'Resultater - Østdanmark'!I178</f>
        <v>-744365.20589999971</v>
      </c>
      <c r="J178" s="280">
        <f>'Resultater - Vestdanmark'!J178+'Resultater - Østdanmark'!J178</f>
        <v>-846818.84699999972</v>
      </c>
    </row>
    <row r="179" spans="1:10" x14ac:dyDescent="0.25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8">
        <f>'Resultater - Vestdanmark'!H179+'Resultater - Østdanmark'!H179</f>
        <v>13383.347942111091</v>
      </c>
      <c r="I179" s="279">
        <f>'Resultater - Vestdanmark'!I179+'Resultater - Østdanmark'!I179</f>
        <v>19794.841824643096</v>
      </c>
      <c r="J179" s="280">
        <f>'Resultater - Vestdanmark'!J179+'Resultater - Østdanmark'!J179</f>
        <v>22519.382955607391</v>
      </c>
    </row>
    <row r="180" spans="1:10" x14ac:dyDescent="0.25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78">
        <f>'Resultater - Vestdanmark'!H180+'Resultater - Østdanmark'!H180</f>
        <v>5595.8468620164213</v>
      </c>
      <c r="I180" s="279">
        <f>'Resultater - Vestdanmark'!I180+'Resultater - Østdanmark'!I180</f>
        <v>5596.3629722280421</v>
      </c>
      <c r="J180" s="280">
        <f>'Resultater - Vestdanmark'!J180+'Resultater - Østdanmark'!J180</f>
        <v>0.18428452455430924</v>
      </c>
    </row>
    <row r="181" spans="1:10" x14ac:dyDescent="0.25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8">
        <f>'Resultater - Vestdanmark'!H181+'Resultater - Østdanmark'!H181</f>
        <v>-13175.720155987337</v>
      </c>
      <c r="I181" s="279">
        <f>'Resultater - Vestdanmark'!I181+'Resultater - Østdanmark'!I181</f>
        <v>-12291.917318126647</v>
      </c>
      <c r="J181" s="280">
        <f>'Resultater - Vestdanmark'!J181+'Resultater - Østdanmark'!J181</f>
        <v>-0.40476469272507115</v>
      </c>
    </row>
    <row r="182" spans="1:10" x14ac:dyDescent="0.25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8">
        <f>'Resultater - Vestdanmark'!H182+'Resultater - Østdanmark'!H182</f>
        <v>3080.4399094454293</v>
      </c>
      <c r="I182" s="279">
        <f>'Resultater - Vestdanmark'!I182+'Resultater - Østdanmark'!I182</f>
        <v>2873.8097213725573</v>
      </c>
      <c r="J182" s="280">
        <f>'Resultater - Vestdanmark'!J182+'Resultater - Østdanmark'!J182</f>
        <v>9.4632649953340711E-2</v>
      </c>
    </row>
    <row r="183" spans="1:10" x14ac:dyDescent="0.25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78">
        <f>'Resultater - Vestdanmark'!H183+'Resultater - Østdanmark'!H183</f>
        <v>5589.2105687262674</v>
      </c>
      <c r="I183" s="279">
        <f>'Resultater - Vestdanmark'!I183+'Resultater - Østdanmark'!I183</f>
        <v>0.1825540139484555</v>
      </c>
      <c r="J183" s="280">
        <f>'Resultater - Vestdanmark'!J183+'Resultater - Østdanmark'!J183</f>
        <v>0.23664409215540524</v>
      </c>
    </row>
    <row r="184" spans="1:10" x14ac:dyDescent="0.25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8">
        <f>'Resultater - Vestdanmark'!H184+'Resultater - Østdanmark'!H184</f>
        <v>-8460.0608458981151</v>
      </c>
      <c r="I184" s="279">
        <f>'Resultater - Vestdanmark'!I184+'Resultater - Østdanmark'!I184</f>
        <v>-0.25776242930502913</v>
      </c>
      <c r="J184" s="280">
        <f>'Resultater - Vestdanmark'!J184+'Resultater - Østdanmark'!J184</f>
        <v>-0.33413648243244515</v>
      </c>
    </row>
    <row r="185" spans="1:10" x14ac:dyDescent="0.25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8">
        <f>'Resultater - Vestdanmark'!H185+'Resultater - Østdanmark'!H185</f>
        <v>6753.4858887241726</v>
      </c>
      <c r="I185" s="279">
        <f>'Resultater - Vestdanmark'!I185+'Resultater - Østdanmark'!I185</f>
        <v>0.2057662421894762</v>
      </c>
      <c r="J185" s="280">
        <f>'Resultater - Vestdanmark'!J185+'Resultater - Østdanmark'!J185</f>
        <v>0.26673401765302468</v>
      </c>
    </row>
    <row r="186" spans="1:10" x14ac:dyDescent="0.25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78">
        <f>'Resultater - Vestdanmark'!H186+'Resultater - Østdanmark'!H186</f>
        <v>10596561.852889422</v>
      </c>
      <c r="I186" s="279">
        <f>'Resultater - Vestdanmark'!I186+'Resultater - Østdanmark'!I186</f>
        <v>12858074.320698047</v>
      </c>
      <c r="J186" s="280">
        <f>'Resultater - Vestdanmark'!J186+'Resultater - Østdanmark'!J186</f>
        <v>7037031.8494396806</v>
      </c>
    </row>
    <row r="187" spans="1:10" x14ac:dyDescent="0.25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8">
        <f>'Resultater - Vestdanmark'!H187+'Resultater - Østdanmark'!H187</f>
        <v>-33100908.649694897</v>
      </c>
      <c r="I187" s="279">
        <f>'Resultater - Vestdanmark'!I187+'Resultater - Østdanmark'!I187</f>
        <v>-37467618.070999995</v>
      </c>
      <c r="J187" s="280">
        <f>'Resultater - Vestdanmark'!J187+'Resultater - Østdanmark'!J187</f>
        <v>-20505467.234999999</v>
      </c>
    </row>
    <row r="188" spans="1:10" x14ac:dyDescent="0.25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8">
        <f>'Resultater - Vestdanmark'!H188+'Resultater - Østdanmark'!H188</f>
        <v>485557.09390620678</v>
      </c>
      <c r="I188" s="279">
        <f>'Resultater - Vestdanmark'!I188+'Resultater - Østdanmark'!I188</f>
        <v>549612.3365879301</v>
      </c>
      <c r="J188" s="280">
        <f>'Resultater - Vestdanmark'!J188+'Resultater - Østdanmark'!J188</f>
        <v>300794.61519275588</v>
      </c>
    </row>
    <row r="189" spans="1:10" x14ac:dyDescent="0.25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78">
        <f>'Resultater - Vestdanmark'!H189+'Resultater - Østdanmark'!H189</f>
        <v>1250706.5448330601</v>
      </c>
      <c r="I189" s="279">
        <f>'Resultater - Vestdanmark'!I189+'Resultater - Østdanmark'!I189</f>
        <v>1024804.3601013478</v>
      </c>
      <c r="J189" s="280">
        <f>'Resultater - Vestdanmark'!J189+'Resultater - Østdanmark'!J189</f>
        <v>24.828902176990834</v>
      </c>
    </row>
    <row r="190" spans="1:10" x14ac:dyDescent="0.25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8">
        <f>'Resultater - Vestdanmark'!H190+'Resultater - Østdanmark'!H190</f>
        <v>-2730616.868673549</v>
      </c>
      <c r="I190" s="279">
        <f>'Resultater - Vestdanmark'!I190+'Resultater - Østdanmark'!I190</f>
        <v>-2087139.7310664158</v>
      </c>
      <c r="J190" s="280">
        <f>'Resultater - Vestdanmark'!J190+'Resultater - Østdanmark'!J190</f>
        <v>-50.567103566220311</v>
      </c>
    </row>
    <row r="191" spans="1:10" x14ac:dyDescent="0.25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8">
        <f>'Resultater - Vestdanmark'!H191+'Resultater - Østdanmark'!H191</f>
        <v>335901.46460405836</v>
      </c>
      <c r="I191" s="279">
        <f>'Resultater - Vestdanmark'!I191+'Resultater - Østdanmark'!I191</f>
        <v>256745.38985730708</v>
      </c>
      <c r="J191" s="280">
        <f>'Resultater - Vestdanmark'!J191+'Resultater - Østdanmark'!J191</f>
        <v>6.2204128098459952</v>
      </c>
    </row>
    <row r="192" spans="1:10" x14ac:dyDescent="0.25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78">
        <f>'Resultater - Vestdanmark'!H192+'Resultater - Østdanmark'!H192</f>
        <v>1501712.5809897545</v>
      </c>
      <c r="I192" s="279">
        <f>'Resultater - Vestdanmark'!I192+'Resultater - Østdanmark'!I192</f>
        <v>40.223420673759442</v>
      </c>
      <c r="J192" s="280">
        <f>'Resultater - Vestdanmark'!J192+'Resultater - Østdanmark'!J192</f>
        <v>38.363378099250326</v>
      </c>
    </row>
    <row r="193" spans="1:10" x14ac:dyDescent="0.25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8">
        <f>'Resultater - Vestdanmark'!H193+'Resultater - Østdanmark'!H193</f>
        <v>-2269819.4996822169</v>
      </c>
      <c r="I193" s="279">
        <f>'Resultater - Vestdanmark'!I193+'Resultater - Østdanmark'!I193</f>
        <v>-56.713796317158888</v>
      </c>
      <c r="J193" s="280">
        <f>'Resultater - Vestdanmark'!J193+'Resultater - Østdanmark'!J193</f>
        <v>-54.091193019255577</v>
      </c>
    </row>
    <row r="194" spans="1:10" x14ac:dyDescent="0.25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8">
        <f>'Resultater - Vestdanmark'!H194+'Resultater - Østdanmark'!H194</f>
        <v>885266.2325747133</v>
      </c>
      <c r="I194" s="279">
        <f>'Resultater - Vestdanmark'!I194+'Resultater - Østdanmark'!I194</f>
        <v>22.119295744762979</v>
      </c>
      <c r="J194" s="280">
        <f>'Resultater - Vestdanmark'!J194+'Resultater - Østdanmark'!J194</f>
        <v>21.096438138068734</v>
      </c>
    </row>
    <row r="195" spans="1:10" x14ac:dyDescent="0.25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78">
        <f>'Resultater - Vestdanmark'!H195+'Resultater - Østdanmark'!H195</f>
        <v>1056816.1068755633</v>
      </c>
      <c r="I195" s="279">
        <f>'Resultater - Vestdanmark'!I195+'Resultater - Østdanmark'!I195</f>
        <v>1565266.157190179</v>
      </c>
      <c r="J195" s="280">
        <f>'Resultater - Vestdanmark'!J195+'Resultater - Østdanmark'!J195</f>
        <v>1164308.9059982016</v>
      </c>
    </row>
    <row r="196" spans="1:10" x14ac:dyDescent="0.25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8">
        <f>'Resultater - Vestdanmark'!H196+'Resultater - Østdanmark'!H196</f>
        <v>-3301219.1972130653</v>
      </c>
      <c r="I196" s="279">
        <f>'Resultater - Vestdanmark'!I196+'Resultater - Østdanmark'!I196</f>
        <v>-4561086.9166200012</v>
      </c>
      <c r="J196" s="280">
        <f>'Resultater - Vestdanmark'!J196+'Resultater - Østdanmark'!J196</f>
        <v>-3392722.7607</v>
      </c>
    </row>
    <row r="197" spans="1:10" x14ac:dyDescent="0.25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8">
        <f>'Resultater - Vestdanmark'!H197+'Resultater - Østdanmark'!H197</f>
        <v>62084.065298082889</v>
      </c>
      <c r="I197" s="279">
        <f>'Resultater - Vestdanmark'!I197+'Resultater - Østdanmark'!I197</f>
        <v>85777.647906786791</v>
      </c>
      <c r="J197" s="280">
        <f>'Resultater - Vestdanmark'!J197+'Resultater - Østdanmark'!J197</f>
        <v>63804.918374220942</v>
      </c>
    </row>
    <row r="198" spans="1:10" x14ac:dyDescent="0.25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78">
        <f>'Resultater - Vestdanmark'!H198+'Resultater - Østdanmark'!H198</f>
        <v>124735.44154265925</v>
      </c>
      <c r="I198" s="279">
        <f>'Resultater - Vestdanmark'!I198+'Resultater - Østdanmark'!I198</f>
        <v>124753.64059962072</v>
      </c>
      <c r="J198" s="280">
        <f>'Resultater - Vestdanmark'!J198+'Resultater - Østdanmark'!J198</f>
        <v>4.108054723829393</v>
      </c>
    </row>
    <row r="199" spans="1:10" x14ac:dyDescent="0.25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8">
        <f>'Resultater - Vestdanmark'!H199+'Resultater - Østdanmark'!H199</f>
        <v>-272329.83005081455</v>
      </c>
      <c r="I199" s="279">
        <f>'Resultater - Vestdanmark'!I199+'Resultater - Østdanmark'!I199</f>
        <v>-254076.08518068626</v>
      </c>
      <c r="J199" s="280">
        <f>'Resultater - Vestdanmark'!J199+'Resultater - Østdanmark'!J199</f>
        <v>-8.3665571355019086</v>
      </c>
    </row>
    <row r="200" spans="1:10" x14ac:dyDescent="0.25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8">
        <f>'Resultater - Vestdanmark'!H200+'Resultater - Østdanmark'!H200</f>
        <v>42948.869914417002</v>
      </c>
      <c r="I200" s="279">
        <f>'Resultater - Vestdanmark'!I200+'Resultater - Østdanmark'!I200</f>
        <v>40070.089746516132</v>
      </c>
      <c r="J200" s="280">
        <f>'Resultater - Vestdanmark'!J200+'Resultater - Østdanmark'!J200</f>
        <v>1.3194815051188475</v>
      </c>
    </row>
    <row r="201" spans="1:10" x14ac:dyDescent="0.25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78">
        <f>'Resultater - Vestdanmark'!H201+'Resultater - Østdanmark'!H201</f>
        <v>149768.77080700482</v>
      </c>
      <c r="I201" s="279">
        <f>'Resultater - Vestdanmark'!I201+'Resultater - Østdanmark'!I201</f>
        <v>4.8965620773952256</v>
      </c>
      <c r="J201" s="280">
        <f>'Resultater - Vestdanmark'!J201+'Resultater - Østdanmark'!J201</f>
        <v>6.3473952855123272</v>
      </c>
    </row>
    <row r="202" spans="1:10" x14ac:dyDescent="0.25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8">
        <f>'Resultater - Vestdanmark'!H202+'Resultater - Østdanmark'!H202</f>
        <v>-226373.59553658532</v>
      </c>
      <c r="I202" s="279">
        <f>'Resultater - Vestdanmark'!I202+'Resultater - Østdanmark'!I202</f>
        <v>-6.9040031817304408</v>
      </c>
      <c r="J202" s="280">
        <f>'Resultater - Vestdanmark'!J202+'Resultater - Østdanmark'!J202</f>
        <v>-8.9496337540950144</v>
      </c>
    </row>
    <row r="203" spans="1:10" x14ac:dyDescent="0.25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8">
        <f>'Resultater - Vestdanmark'!H203+'Resultater - Østdanmark'!H203</f>
        <v>113191.4810413066</v>
      </c>
      <c r="I203" s="279">
        <f>'Resultater - Vestdanmark'!I203+'Resultater - Østdanmark'!I203</f>
        <v>3.452144422593066</v>
      </c>
      <c r="J203" s="280">
        <f>'Resultater - Vestdanmark'!J203+'Resultater - Østdanmark'!J203</f>
        <v>4.4750020292873067</v>
      </c>
    </row>
    <row r="204" spans="1:10" x14ac:dyDescent="0.25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78">
        <f>'Resultater - Vestdanmark'!H204+'Resultater - Østdanmark'!H204</f>
        <v>252119.08822285215</v>
      </c>
      <c r="I204" s="279">
        <f>'Resultater - Vestdanmark'!I204+'Resultater - Østdanmark'!I204</f>
        <v>884832.293268512</v>
      </c>
      <c r="J204" s="280">
        <f>'Resultater - Vestdanmark'!J204+'Resultater - Østdanmark'!J204</f>
        <v>740626.03740576003</v>
      </c>
    </row>
    <row r="205" spans="1:10" x14ac:dyDescent="0.25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78">
        <f>'Resultater - Vestdanmark'!H205+'Resultater - Østdanmark'!H205</f>
        <v>74848.798129844407</v>
      </c>
      <c r="I205" s="279">
        <f>'Resultater - Vestdanmark'!I205+'Resultater - Østdanmark'!I205</f>
        <v>331364.66015219025</v>
      </c>
      <c r="J205" s="280">
        <f>'Resultater - Vestdanmark'!J205+'Resultater - Østdanmark'!J205</f>
        <v>342164.03155406995</v>
      </c>
    </row>
    <row r="206" spans="1:10" x14ac:dyDescent="0.25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78">
        <f>'Resultater - Vestdanmark'!H206+'Resultater - Østdanmark'!H206</f>
        <v>0</v>
      </c>
      <c r="I206" s="279">
        <f>'Resultater - Vestdanmark'!I206+'Resultater - Østdanmark'!I206</f>
        <v>0</v>
      </c>
      <c r="J206" s="280">
        <f>'Resultater - Vestdanmark'!J206+'Resultater - Østdanmark'!J206</f>
        <v>0</v>
      </c>
    </row>
    <row r="207" spans="1:10" x14ac:dyDescent="0.25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78">
        <f>'Resultater - Vestdanmark'!H207+'Resultater - Østdanmark'!H207</f>
        <v>148508.2256030748</v>
      </c>
      <c r="I207" s="279">
        <f>'Resultater - Vestdanmark'!I207+'Resultater - Østdanmark'!I207</f>
        <v>486195.52852009202</v>
      </c>
      <c r="J207" s="280">
        <f>'Resultater - Vestdanmark'!J207+'Resultater - Østdanmark'!J207</f>
        <v>406957.42055490497</v>
      </c>
    </row>
    <row r="208" spans="1:10" x14ac:dyDescent="0.25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78">
        <f>'Resultater - Vestdanmark'!H208+'Resultater - Østdanmark'!H208</f>
        <v>9762.0012470722486</v>
      </c>
      <c r="I208" s="279">
        <f>'Resultater - Vestdanmark'!I208+'Resultater - Østdanmark'!I208</f>
        <v>7998.6666753199652</v>
      </c>
      <c r="J208" s="280">
        <f>'Resultater - Vestdanmark'!J208+'Resultater - Østdanmark'!J208</f>
        <v>0.19379124461201833</v>
      </c>
    </row>
    <row r="209" spans="1:10" x14ac:dyDescent="0.25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78">
        <f>'Resultater - Vestdanmark'!H209+'Resultater - Østdanmark'!H209</f>
        <v>2898.1306645038535</v>
      </c>
      <c r="I209" s="279">
        <f>'Resultater - Vestdanmark'!I209+'Resultater - Østdanmark'!I209</f>
        <v>2995.4551667043797</v>
      </c>
      <c r="J209" s="280">
        <f>'Resultater - Vestdanmark'!J209+'Resultater - Østdanmark'!J209</f>
        <v>8.9530194980171021E-2</v>
      </c>
    </row>
    <row r="210" spans="1:10" x14ac:dyDescent="0.25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78">
        <f>'Resultater - Vestdanmark'!H210+'Resultater - Østdanmark'!H210</f>
        <v>0</v>
      </c>
      <c r="I210" s="279">
        <f>'Resultater - Vestdanmark'!I210+'Resultater - Østdanmark'!I210</f>
        <v>0</v>
      </c>
      <c r="J210" s="280">
        <f>'Resultater - Vestdanmark'!J210+'Resultater - Østdanmark'!J210</f>
        <v>0</v>
      </c>
    </row>
    <row r="211" spans="1:10" x14ac:dyDescent="0.25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78">
        <f>'Resultater - Vestdanmark'!H211+'Resultater - Østdanmark'!H211</f>
        <v>33702.707331215737</v>
      </c>
      <c r="I211" s="279">
        <f>'Resultater - Vestdanmark'!I211+'Resultater - Østdanmark'!I211</f>
        <v>25760.171136526707</v>
      </c>
      <c r="J211" s="280">
        <f>'Resultater - Vestdanmark'!J211+'Resultater - Østdanmark'!J211</f>
        <v>0.62411597189932999</v>
      </c>
    </row>
    <row r="212" spans="1:10" x14ac:dyDescent="0.25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78">
        <f>'Resultater - Vestdanmark'!H212+'Resultater - Østdanmark'!H212</f>
        <v>3876.3292971970382</v>
      </c>
      <c r="I212" s="279">
        <f>'Resultater - Vestdanmark'!I212+'Resultater - Østdanmark'!I212</f>
        <v>0.10379771686059218</v>
      </c>
      <c r="J212" s="280">
        <f>'Resultater - Vestdanmark'!J212+'Resultater - Østdanmark'!J212</f>
        <v>9.8997822439293101E-2</v>
      </c>
    </row>
    <row r="213" spans="1:10" x14ac:dyDescent="0.25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78">
        <f>'Resultater - Vestdanmark'!H213+'Resultater - Østdanmark'!H213</f>
        <v>1150.7997712344754</v>
      </c>
      <c r="I213" s="279">
        <f>'Resultater - Vestdanmark'!I213+'Resultater - Østdanmark'!I213</f>
        <v>3.8871654474805527E-2</v>
      </c>
      <c r="J213" s="280">
        <f>'Resultater - Vestdanmark'!J213+'Resultater - Østdanmark'!J213</f>
        <v>4.5736299198382818E-2</v>
      </c>
    </row>
    <row r="214" spans="1:10" x14ac:dyDescent="0.25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8">
        <f>'Resultater - Vestdanmark'!H214+'Resultater - Østdanmark'!H214</f>
        <v>0</v>
      </c>
      <c r="I214" s="279">
        <f>'Resultater - Vestdanmark'!I214+'Resultater - Østdanmark'!I214</f>
        <v>0</v>
      </c>
      <c r="J214" s="280">
        <f>'Resultater - Vestdanmark'!J214+'Resultater - Østdanmark'!J214</f>
        <v>0</v>
      </c>
    </row>
    <row r="215" spans="1:10" x14ac:dyDescent="0.25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8">
        <f>'Resultater - Vestdanmark'!H215+'Resultater - Østdanmark'!H215</f>
        <v>29374.954227709619</v>
      </c>
      <c r="I215" s="279">
        <f>'Resultater - Vestdanmark'!I215+'Resultater - Østdanmark'!I215</f>
        <v>0.73375242649822725</v>
      </c>
      <c r="J215" s="280">
        <f>'Resultater - Vestdanmark'!J215+'Resultater - Østdanmark'!J215</f>
        <v>0.69982167845206633</v>
      </c>
    </row>
    <row r="216" spans="1:10" x14ac:dyDescent="0.25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78">
        <f>'Resultater - Vestdanmark'!H216+'Resultater - Østdanmark'!H216</f>
        <v>18374.707188012384</v>
      </c>
      <c r="I216" s="279">
        <f>'Resultater - Vestdanmark'!I216+'Resultater - Østdanmark'!I216</f>
        <v>78714.27163816418</v>
      </c>
      <c r="J216" s="280">
        <f>'Resultater - Vestdanmark'!J216+'Resultater - Østdanmark'!J216</f>
        <v>89548.420886332795</v>
      </c>
    </row>
    <row r="217" spans="1:10" x14ac:dyDescent="0.25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78">
        <f>'Resultater - Vestdanmark'!H217+'Resultater - Østdanmark'!H217</f>
        <v>5455.059982585959</v>
      </c>
      <c r="I217" s="279">
        <f>'Resultater - Vestdanmark'!I217+'Resultater - Østdanmark'!I217</f>
        <v>29478.046934926053</v>
      </c>
      <c r="J217" s="280">
        <f>'Resultater - Vestdanmark'!J217+'Resultater - Østdanmark'!J217</f>
        <v>41370.741996992096</v>
      </c>
    </row>
    <row r="218" spans="1:10" x14ac:dyDescent="0.25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78">
        <f>'Resultater - Vestdanmark'!H218+'Resultater - Østdanmark'!H218</f>
        <v>0</v>
      </c>
      <c r="I218" s="279">
        <f>'Resultater - Vestdanmark'!I218+'Resultater - Østdanmark'!I218</f>
        <v>0</v>
      </c>
      <c r="J218" s="280">
        <f>'Resultater - Vestdanmark'!J218+'Resultater - Østdanmark'!J218</f>
        <v>0</v>
      </c>
    </row>
    <row r="219" spans="1:10" x14ac:dyDescent="0.25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78">
        <f>'Resultater - Vestdanmark'!H219+'Resultater - Østdanmark'!H219</f>
        <v>18988.48660920751</v>
      </c>
      <c r="I219" s="279">
        <f>'Resultater - Vestdanmark'!I219+'Resultater - Østdanmark'!I219</f>
        <v>75880.226994465222</v>
      </c>
      <c r="J219" s="280">
        <f>'Resultater - Vestdanmark'!J219+'Resultater - Østdanmark'!J219</f>
        <v>86324.301329828333</v>
      </c>
    </row>
    <row r="220" spans="1:10" x14ac:dyDescent="0.25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78">
        <f>'Resultater - Vestdanmark'!H220+'Resultater - Østdanmark'!H220</f>
        <v>711.46502927780227</v>
      </c>
      <c r="I220" s="279">
        <f>'Resultater - Vestdanmark'!I220+'Resultater - Østdanmark'!I220</f>
        <v>711.55768863106505</v>
      </c>
      <c r="J220" s="280">
        <f>'Resultater - Vestdanmark'!J220+'Resultater - Østdanmark'!J220</f>
        <v>2.34311232121804E-2</v>
      </c>
    </row>
    <row r="221" spans="1:10" x14ac:dyDescent="0.25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78">
        <f>'Resultater - Vestdanmark'!H221+'Resultater - Østdanmark'!H221</f>
        <v>211.21884395277317</v>
      </c>
      <c r="I221" s="279">
        <f>'Resultater - Vestdanmark'!I221+'Resultater - Østdanmark'!I221</f>
        <v>266.47430644844155</v>
      </c>
      <c r="J221" s="280">
        <f>'Resultater - Vestdanmark'!J221+'Resultater - Østdanmark'!J221</f>
        <v>1.0825014483966132E-2</v>
      </c>
    </row>
    <row r="222" spans="1:10" x14ac:dyDescent="0.25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78">
        <f>'Resultater - Vestdanmark'!H222+'Resultater - Østdanmark'!H222</f>
        <v>0</v>
      </c>
      <c r="I222" s="279">
        <f>'Resultater - Vestdanmark'!I222+'Resultater - Østdanmark'!I222</f>
        <v>0</v>
      </c>
      <c r="J222" s="280">
        <f>'Resultater - Vestdanmark'!J222+'Resultater - Østdanmark'!J222</f>
        <v>0</v>
      </c>
    </row>
    <row r="223" spans="1:10" x14ac:dyDescent="0.25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78">
        <f>'Resultater - Vestdanmark'!H223+'Resultater - Østdanmark'!H223</f>
        <v>4309.2791948325566</v>
      </c>
      <c r="I223" s="279">
        <f>'Resultater - Vestdanmark'!I223+'Resultater - Østdanmark'!I223</f>
        <v>4020.3735299781574</v>
      </c>
      <c r="J223" s="280">
        <f>'Resultater - Vestdanmark'!J223+'Resultater - Østdanmark'!J223</f>
        <v>0.13238823646349424</v>
      </c>
    </row>
    <row r="224" spans="1:10" x14ac:dyDescent="0.25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78">
        <f>'Resultater - Vestdanmark'!H224+'Resultater - Østdanmark'!H224</f>
        <v>282.51100026726743</v>
      </c>
      <c r="I224" s="279">
        <f>'Resultater - Vestdanmark'!I224+'Resultater - Østdanmark'!I224</f>
        <v>9.2337968929740652E-3</v>
      </c>
      <c r="J224" s="280">
        <f>'Resultater - Vestdanmark'!J224+'Resultater - Østdanmark'!J224</f>
        <v>1.1969736713114529E-2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78">
        <f>'Resultater - Vestdanmark'!H225+'Resultater - Østdanmark'!H225</f>
        <v>83.871510790861564</v>
      </c>
      <c r="I225" s="279">
        <f>'Resultater - Vestdanmark'!I225+'Resultater - Østdanmark'!I225</f>
        <v>3.4580044067471496E-3</v>
      </c>
      <c r="J225" s="280">
        <f>'Resultater - Vestdanmark'!J225+'Resultater - Østdanmark'!J225</f>
        <v>5.5299343576226496E-3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78">
        <f>'Resultater - Vestdanmark'!H226+'Resultater - Østdanmark'!H226</f>
        <v>0</v>
      </c>
      <c r="I226" s="279">
        <f>'Resultater - Vestdanmark'!I226+'Resultater - Østdanmark'!I226</f>
        <v>0</v>
      </c>
      <c r="J226" s="280">
        <f>'Resultater - Vestdanmark'!J226+'Resultater - Østdanmark'!J226</f>
        <v>0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78">
        <f>'Resultater - Vestdanmark'!H227+'Resultater - Østdanmark'!H227</f>
        <v>3755.926129571902</v>
      </c>
      <c r="I227" s="279">
        <f>'Resultater - Vestdanmark'!I227+'Resultater - Østdanmark'!I227</f>
        <v>0.11451627465579269</v>
      </c>
      <c r="J227" s="280">
        <f>'Resultater - Vestdanmark'!J227+'Resultater - Østdanmark'!J227</f>
        <v>0.14844702270195345</v>
      </c>
    </row>
    <row r="228" spans="1:10" x14ac:dyDescent="0.25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78">
        <f>'Resultater - Vestdanmark'!H228+'Resultater - Østdanmark'!H228</f>
        <v>2432067.6197482329</v>
      </c>
      <c r="I228" s="279">
        <f>'Resultater - Vestdanmark'!I228+'Resultater - Østdanmark'!I228</f>
        <v>809821.19217279996</v>
      </c>
      <c r="J228" s="280">
        <f>'Resultater - Vestdanmark'!J228+'Resultater - Østdanmark'!J228</f>
        <v>677839.93094399991</v>
      </c>
    </row>
    <row r="229" spans="1:10" x14ac:dyDescent="0.25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78">
        <f>'Resultater - Vestdanmark'!H229+'Resultater - Østdanmark'!H229</f>
        <v>-4040788.3212018311</v>
      </c>
      <c r="I229" s="279">
        <f>'Resultater - Vestdanmark'!I229+'Resultater - Østdanmark'!I229</f>
        <v>-1255118.7194999999</v>
      </c>
      <c r="J229" s="280">
        <f>'Resultater - Vestdanmark'!J229+'Resultater - Østdanmark'!J229</f>
        <v>-1050564.7349999999</v>
      </c>
    </row>
    <row r="230" spans="1:10" x14ac:dyDescent="0.25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78">
        <f>'Resultater - Vestdanmark'!H230+'Resultater - Østdanmark'!H230</f>
        <v>68055.686267538025</v>
      </c>
      <c r="I230" s="279">
        <f>'Resultater - Vestdanmark'!I230+'Resultater - Østdanmark'!I230</f>
        <v>21138.936022612696</v>
      </c>
      <c r="J230" s="280">
        <f>'Resultater - Vestdanmark'!J230+'Resultater - Østdanmark'!J230</f>
        <v>17693.800893691521</v>
      </c>
    </row>
    <row r="231" spans="1:10" x14ac:dyDescent="0.25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78">
        <f>'Resultater - Vestdanmark'!H231+'Resultater - Østdanmark'!H231</f>
        <v>13122.873542371528</v>
      </c>
      <c r="I231" s="279">
        <f>'Resultater - Vestdanmark'!I231+'Resultater - Østdanmark'!I231</f>
        <v>10766.277102214191</v>
      </c>
      <c r="J231" s="280">
        <f>'Resultater - Vestdanmark'!J231+'Resultater - Østdanmark'!J231</f>
        <v>0.26084475377934313</v>
      </c>
    </row>
    <row r="232" spans="1:10" x14ac:dyDescent="0.25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78">
        <f>'Resultater - Vestdanmark'!H232+'Resultater - Østdanmark'!H232</f>
        <v>-14131.676367037673</v>
      </c>
      <c r="I232" s="279">
        <f>'Resultater - Vestdanmark'!I232+'Resultater - Østdanmark'!I232</f>
        <v>-10815.223714682928</v>
      </c>
      <c r="J232" s="280">
        <f>'Resultater - Vestdanmark'!J232+'Resultater - Østdanmark'!J232</f>
        <v>-0.26203062954275957</v>
      </c>
    </row>
    <row r="233" spans="1:10" x14ac:dyDescent="0.25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78">
        <f>'Resultater - Vestdanmark'!H233+'Resultater - Østdanmark'!H233</f>
        <v>2152.2804701131786</v>
      </c>
      <c r="I233" s="279">
        <f>'Resultater - Vestdanmark'!I233+'Resultater - Østdanmark'!I233</f>
        <v>1647.1785920113348</v>
      </c>
      <c r="J233" s="280">
        <f>'Resultater - Vestdanmark'!J233+'Resultater - Østdanmark'!J233</f>
        <v>3.9907749929215405E-2</v>
      </c>
    </row>
    <row r="234" spans="1:10" x14ac:dyDescent="0.25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78">
        <f>'Resultater - Vestdanmark'!H234+'Resultater - Østdanmark'!H234</f>
        <v>5615.3101846932177</v>
      </c>
      <c r="I234" s="279">
        <f>'Resultater - Vestdanmark'!I234+'Resultater - Østdanmark'!I234</f>
        <v>0.15378751976686955</v>
      </c>
      <c r="J234" s="280">
        <f>'Resultater - Vestdanmark'!J234+'Resultater - Østdanmark'!J234</f>
        <v>0.14667595815915305</v>
      </c>
    </row>
    <row r="235" spans="1:10" x14ac:dyDescent="0.25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8">
        <f>'Resultater - Vestdanmark'!H235+'Resultater - Østdanmark'!H235</f>
        <v>-3702.2322974288109</v>
      </c>
      <c r="I235" s="279">
        <f>'Resultater - Vestdanmark'!I235+'Resultater - Østdanmark'!I235</f>
        <v>-9.4583683072740787E-2</v>
      </c>
      <c r="J235" s="280">
        <f>'Resultater - Vestdanmark'!J235+'Resultater - Østdanmark'!J235</f>
        <v>-9.020987113874121E-2</v>
      </c>
    </row>
    <row r="236" spans="1:10" x14ac:dyDescent="0.25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8">
        <f>'Resultater - Vestdanmark'!H236+'Resultater - Østdanmark'!H236</f>
        <v>2021.5024736231753</v>
      </c>
      <c r="I236" s="279">
        <f>'Resultater - Vestdanmark'!I236+'Resultater - Østdanmark'!I236</f>
        <v>5.1644827751279834E-2</v>
      </c>
      <c r="J236" s="280">
        <f>'Resultater - Vestdanmark'!J236+'Resultater - Østdanmark'!J236</f>
        <v>4.9256627624053022E-2</v>
      </c>
    </row>
    <row r="237" spans="1:10" x14ac:dyDescent="0.25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78">
        <f>'Resultater - Vestdanmark'!H237+'Resultater - Østdanmark'!H237</f>
        <v>177251.6737598984</v>
      </c>
      <c r="I237" s="279">
        <f>'Resultater - Vestdanmark'!I237+'Resultater - Østdanmark'!I237</f>
        <v>72041.318771903985</v>
      </c>
      <c r="J237" s="280">
        <f>'Resultater - Vestdanmark'!J237+'Resultater - Østdanmark'!J237</f>
        <v>81957.009832319978</v>
      </c>
    </row>
    <row r="238" spans="1:10" x14ac:dyDescent="0.25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78">
        <f>'Resultater - Vestdanmark'!H238+'Resultater - Østdanmark'!H238</f>
        <v>-294496.94877999288</v>
      </c>
      <c r="I238" s="279">
        <f>'Resultater - Vestdanmark'!I238+'Resultater - Østdanmark'!I238</f>
        <v>-111654.78088499999</v>
      </c>
      <c r="J238" s="280">
        <f>'Resultater - Vestdanmark'!J238+'Resultater - Østdanmark'!J238</f>
        <v>-127022.82704999996</v>
      </c>
    </row>
    <row r="239" spans="1:10" x14ac:dyDescent="0.25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78">
        <f>'Resultater - Vestdanmark'!H239+'Resultater - Østdanmark'!H239</f>
        <v>8701.7031017897862</v>
      </c>
      <c r="I239" s="279">
        <f>'Resultater - Vestdanmark'!I239+'Resultater - Østdanmark'!I239</f>
        <v>3299.1403041071835</v>
      </c>
      <c r="J239" s="280">
        <f>'Resultater - Vestdanmark'!J239+'Resultater - Østdanmark'!J239</f>
        <v>3753.2304926012316</v>
      </c>
    </row>
    <row r="240" spans="1:10" x14ac:dyDescent="0.25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78">
        <f>'Resultater - Vestdanmark'!H240+'Resultater - Østdanmark'!H240</f>
        <v>956.40897524289744</v>
      </c>
      <c r="I240" s="279">
        <f>'Resultater - Vestdanmark'!I240+'Resultater - Østdanmark'!I240</f>
        <v>957.76303238772471</v>
      </c>
      <c r="J240" s="280">
        <f>'Resultater - Vestdanmark'!J240+'Resultater - Østdanmark'!J240</f>
        <v>3.1538502047866034E-2</v>
      </c>
    </row>
    <row r="241" spans="1:10" x14ac:dyDescent="0.25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78">
        <f>'Resultater - Vestdanmark'!H241+'Resultater - Østdanmark'!H241</f>
        <v>-1029.9315976049757</v>
      </c>
      <c r="I241" s="279">
        <f>'Resultater - Vestdanmark'!I241+'Resultater - Østdanmark'!I241</f>
        <v>-962.117300398672</v>
      </c>
      <c r="J241" s="280">
        <f>'Resultater - Vestdanmark'!J241+'Resultater - Østdanmark'!J241</f>
        <v>-3.1681885208351836E-2</v>
      </c>
    </row>
    <row r="242" spans="1:10" x14ac:dyDescent="0.25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78">
        <f>'Resultater - Vestdanmark'!H242+'Resultater - Østdanmark'!H242</f>
        <v>275.19384007209339</v>
      </c>
      <c r="I242" s="279">
        <f>'Resultater - Vestdanmark'!I242+'Resultater - Østdanmark'!I242</f>
        <v>257.07411551621988</v>
      </c>
      <c r="J242" s="280">
        <f>'Resultater - Vestdanmark'!J242+'Resultater - Østdanmark'!J242</f>
        <v>8.465280288015388E-3</v>
      </c>
    </row>
    <row r="243" spans="1:10" x14ac:dyDescent="0.25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78">
        <f>'Resultater - Vestdanmark'!H243+'Resultater - Østdanmark'!H243</f>
        <v>409.24977613118875</v>
      </c>
      <c r="I243" s="279">
        <f>'Resultater - Vestdanmark'!I243+'Resultater - Østdanmark'!I243</f>
        <v>1.368086664284464E-2</v>
      </c>
      <c r="J243" s="280">
        <f>'Resultater - Vestdanmark'!J243+'Resultater - Østdanmark'!J243</f>
        <v>1.773445675924305E-2</v>
      </c>
    </row>
    <row r="244" spans="1:10" x14ac:dyDescent="0.25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78">
        <f>'Resultater - Vestdanmark'!H244+'Resultater - Østdanmark'!H244</f>
        <v>-269.82262583436852</v>
      </c>
      <c r="I244" s="279">
        <f>'Resultater - Vestdanmark'!I244+'Resultater - Østdanmark'!I244</f>
        <v>-8.4141207080316791E-3</v>
      </c>
      <c r="J244" s="280">
        <f>'Resultater - Vestdanmark'!J244+'Resultater - Østdanmark'!J244</f>
        <v>-1.0907193510411434E-2</v>
      </c>
    </row>
    <row r="245" spans="1:10" x14ac:dyDescent="0.25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78">
        <f>'Resultater - Vestdanmark'!H245+'Resultater - Østdanmark'!H245</f>
        <v>258.47236740588181</v>
      </c>
      <c r="I245" s="279">
        <f>'Resultater - Vestdanmark'!I245+'Resultater - Østdanmark'!I245</f>
        <v>8.0601754293904947E-3</v>
      </c>
      <c r="J245" s="280">
        <f>'Resultater - Vestdanmark'!J245+'Resultater - Østdanmark'!J245</f>
        <v>1.0448375556617307E-2</v>
      </c>
    </row>
    <row r="246" spans="1:10" x14ac:dyDescent="0.25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78">
        <f>'Resultater - Vestdanmark'!H246+'Resultater - Østdanmark'!H246</f>
        <v>37068.149941239346</v>
      </c>
      <c r="I246" s="279">
        <f>'Resultater - Vestdanmark'!I246+'Resultater - Østdanmark'!I246</f>
        <v>169232.39850979199</v>
      </c>
      <c r="J246" s="280">
        <f>'Resultater - Vestdanmark'!J246+'Resultater - Østdanmark'!J246</f>
        <v>141651.61202016001</v>
      </c>
    </row>
    <row r="247" spans="1:10" x14ac:dyDescent="0.25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8">
        <f>'Resultater - Vestdanmark'!H247+'Resultater - Østdanmark'!H247</f>
        <v>-611253.35592149675</v>
      </c>
      <c r="I247" s="279">
        <f>'Resultater - Vestdanmark'!I247+'Resultater - Østdanmark'!I247</f>
        <v>-2603209.196</v>
      </c>
      <c r="J247" s="280">
        <f>'Resultater - Vestdanmark'!J247+'Resultater - Østdanmark'!J247</f>
        <v>-2178949.08</v>
      </c>
    </row>
    <row r="248" spans="1:10" x14ac:dyDescent="0.25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8">
        <f>'Resultater - Vestdanmark'!H248+'Resultater - Østdanmark'!H248</f>
        <v>8582.4091345819397</v>
      </c>
      <c r="I248" s="279">
        <f>'Resultater - Vestdanmark'!I248+'Resultater - Østdanmark'!I248</f>
        <v>36550.811814025386</v>
      </c>
      <c r="J248" s="280">
        <f>'Resultater - Vestdanmark'!J248+'Resultater - Østdanmark'!J248</f>
        <v>30593.913811383041</v>
      </c>
    </row>
    <row r="249" spans="1:10" x14ac:dyDescent="0.25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78">
        <f>'Resultater - Vestdanmark'!H249+'Resultater - Østdanmark'!H249</f>
        <v>1090.1789727130877</v>
      </c>
      <c r="I249" s="279">
        <f>'Resultater - Vestdanmark'!I249+'Resultater - Østdanmark'!I249</f>
        <v>893.53748626041113</v>
      </c>
      <c r="J249" s="280">
        <f>'Resultater - Vestdanmark'!J249+'Resultater - Østdanmark'!J249</f>
        <v>2.1648575768810095E-2</v>
      </c>
    </row>
    <row r="250" spans="1:10" x14ac:dyDescent="0.25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8">
        <f>'Resultater - Vestdanmark'!H250+'Resultater - Østdanmark'!H250</f>
        <v>-14980.865349414238</v>
      </c>
      <c r="I250" s="279">
        <f>'Resultater - Vestdanmark'!I250+'Resultater - Østdanmark'!I250</f>
        <v>-11453.99768644791</v>
      </c>
      <c r="J250" s="280">
        <f>'Resultater - Vestdanmark'!J250+'Resultater - Østdanmark'!J250</f>
        <v>-0.27750680926505333</v>
      </c>
    </row>
    <row r="251" spans="1:10" x14ac:dyDescent="0.25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8">
        <f>'Resultater - Vestdanmark'!H251+'Resultater - Østdanmark'!H251</f>
        <v>1140.8671979707708</v>
      </c>
      <c r="I251" s="279">
        <f>'Resultater - Vestdanmark'!I251+'Resultater - Østdanmark'!I251</f>
        <v>872.27873299137991</v>
      </c>
      <c r="J251" s="280">
        <f>'Resultater - Vestdanmark'!J251+'Resultater - Østdanmark'!J251</f>
        <v>2.1133519894857723E-2</v>
      </c>
    </row>
    <row r="252" spans="1:10" x14ac:dyDescent="0.25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78">
        <f>'Resultater - Vestdanmark'!H252+'Resultater - Østdanmark'!H252</f>
        <v>734.97559696711278</v>
      </c>
      <c r="I252" s="279">
        <f>'Resultater - Vestdanmark'!I252+'Resultater - Østdanmark'!I252</f>
        <v>1.9793213778413025E-2</v>
      </c>
      <c r="J252" s="280">
        <f>'Resultater - Vestdanmark'!J252+'Resultater - Østdanmark'!J252</f>
        <v>1.8877920655711849E-2</v>
      </c>
    </row>
    <row r="253" spans="1:10" x14ac:dyDescent="0.25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8">
        <f>'Resultater - Vestdanmark'!H253+'Resultater - Østdanmark'!H253</f>
        <v>-8656.9563835937897</v>
      </c>
      <c r="I253" s="279">
        <f>'Resultater - Vestdanmark'!I253+'Resultater - Østdanmark'!I253</f>
        <v>-0.21747725351173711</v>
      </c>
      <c r="J253" s="280">
        <f>'Resultater - Vestdanmark'!J253+'Resultater - Østdanmark'!J253</f>
        <v>-0.20742050190425795</v>
      </c>
    </row>
    <row r="254" spans="1:10" x14ac:dyDescent="0.25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8">
        <f>'Resultater - Vestdanmark'!H254+'Resultater - Østdanmark'!H254</f>
        <v>1762.4137499845892</v>
      </c>
      <c r="I254" s="279">
        <f>'Resultater - Vestdanmark'!I254+'Resultater - Østdanmark'!I254</f>
        <v>4.427478722479776E-2</v>
      </c>
      <c r="J254" s="280">
        <f>'Resultater - Vestdanmark'!J254+'Resultater - Østdanmark'!J254</f>
        <v>4.2227398220182844E-2</v>
      </c>
    </row>
    <row r="255" spans="1:10" x14ac:dyDescent="0.25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78">
        <f>'Resultater - Vestdanmark'!H255+'Resultater - Østdanmark'!H255</f>
        <v>2701.5661764156534</v>
      </c>
      <c r="I255" s="279">
        <f>'Resultater - Vestdanmark'!I255+'Resultater - Østdanmark'!I255</f>
        <v>15054.83591367456</v>
      </c>
      <c r="J255" s="280">
        <f>'Resultater - Vestdanmark'!J255+'Resultater - Østdanmark'!J255</f>
        <v>17126.967635164798</v>
      </c>
    </row>
    <row r="256" spans="1:10" x14ac:dyDescent="0.25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8">
        <f>'Resultater - Vestdanmark'!H256+'Resultater - Østdanmark'!H256</f>
        <v>-44548.794428526671</v>
      </c>
      <c r="I256" s="279">
        <f>'Resultater - Vestdanmark'!I256+'Resultater - Østdanmark'!I256</f>
        <v>-231580.28628</v>
      </c>
      <c r="J256" s="280">
        <f>'Resultater - Vestdanmark'!J256+'Resultater - Østdanmark'!J256</f>
        <v>-263454.75239999994</v>
      </c>
    </row>
    <row r="257" spans="1:10" x14ac:dyDescent="0.25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8">
        <f>'Resultater - Vestdanmark'!H257+'Resultater - Østdanmark'!H257</f>
        <v>1097.3598281506586</v>
      </c>
      <c r="I257" s="279">
        <f>'Resultater - Vestdanmark'!I257+'Resultater - Østdanmark'!I257</f>
        <v>5704.4619594143669</v>
      </c>
      <c r="J257" s="280">
        <f>'Resultater - Vestdanmark'!J257+'Resultater - Østdanmark'!J257</f>
        <v>6489.6180812024631</v>
      </c>
    </row>
    <row r="258" spans="1:10" x14ac:dyDescent="0.25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78">
        <f>'Resultater - Vestdanmark'!H258+'Resultater - Østdanmark'!H258</f>
        <v>79.453402546120458</v>
      </c>
      <c r="I258" s="279">
        <f>'Resultater - Vestdanmark'!I258+'Resultater - Østdanmark'!I258</f>
        <v>79.488681581200737</v>
      </c>
      <c r="J258" s="280">
        <f>'Resultater - Vestdanmark'!J258+'Resultater - Østdanmark'!J258</f>
        <v>2.6175096156834015E-3</v>
      </c>
    </row>
    <row r="259" spans="1:10" x14ac:dyDescent="0.25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8">
        <f>'Resultater - Vestdanmark'!H259+'Resultater - Østdanmark'!H259</f>
        <v>-1091.8213934488481</v>
      </c>
      <c r="I259" s="279">
        <f>'Resultater - Vestdanmark'!I259+'Resultater - Østdanmark'!I259</f>
        <v>-1018.942337540077</v>
      </c>
      <c r="J259" s="280">
        <f>'Resultater - Vestdanmark'!J259+'Resultater - Østdanmark'!J259</f>
        <v>-3.3553096029320072E-2</v>
      </c>
    </row>
    <row r="260" spans="1:10" x14ac:dyDescent="0.25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8">
        <f>'Resultater - Vestdanmark'!H260+'Resultater - Østdanmark'!H260</f>
        <v>145.87300752924452</v>
      </c>
      <c r="I260" s="279">
        <f>'Resultater - Vestdanmark'!I260+'Resultater - Østdanmark'!I260</f>
        <v>136.13598722986853</v>
      </c>
      <c r="J260" s="280">
        <f>'Resultater - Vestdanmark'!J260+'Resultater - Østdanmark'!J260</f>
        <v>4.4828678564849704E-3</v>
      </c>
    </row>
    <row r="261" spans="1:10" x14ac:dyDescent="0.25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78">
        <f>'Resultater - Vestdanmark'!H261+'Resultater - Østdanmark'!H261</f>
        <v>53.565802890212126</v>
      </c>
      <c r="I261" s="279">
        <f>'Resultater - Vestdanmark'!I261+'Resultater - Østdanmark'!I261</f>
        <v>1.7607951447963957E-3</v>
      </c>
      <c r="J261" s="280">
        <f>'Resultater - Vestdanmark'!J261+'Resultater - Østdanmark'!J261</f>
        <v>2.2825122247360679E-3</v>
      </c>
    </row>
    <row r="262" spans="1:10" x14ac:dyDescent="0.25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8">
        <f>'Resultater - Vestdanmark'!H262+'Resultater - Østdanmark'!H262</f>
        <v>-630.92818480815231</v>
      </c>
      <c r="I262" s="279">
        <f>'Resultater - Vestdanmark'!I262+'Resultater - Østdanmark'!I262</f>
        <v>-1.9346675904888058E-2</v>
      </c>
      <c r="J262" s="280">
        <f>'Resultater - Vestdanmark'!J262+'Resultater - Østdanmark'!J262</f>
        <v>-2.5079024321151184E-2</v>
      </c>
    </row>
    <row r="263" spans="1:10" x14ac:dyDescent="0.25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8">
        <f>'Resultater - Vestdanmark'!H263+'Resultater - Østdanmark'!H263</f>
        <v>225.34489086759828</v>
      </c>
      <c r="I263" s="279">
        <f>'Resultater - Vestdanmark'!I263+'Resultater - Østdanmark'!I263</f>
        <v>6.9099378905753727E-3</v>
      </c>
      <c r="J263" s="280">
        <f>'Resultater - Vestdanmark'!J263+'Resultater - Østdanmark'!J263</f>
        <v>8.9573268951902985E-3</v>
      </c>
    </row>
    <row r="264" spans="1:10" x14ac:dyDescent="0.25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78">
        <f>'Resultater - Vestdanmark'!H264+'Resultater - Østdanmark'!H264</f>
        <v>1769792.6482433821</v>
      </c>
      <c r="I264" s="279">
        <f>'Resultater - Vestdanmark'!I264+'Resultater - Østdanmark'!I264</f>
        <v>1661134.4298004303</v>
      </c>
      <c r="J264" s="280">
        <f>'Resultater - Vestdanmark'!J264+'Resultater - Østdanmark'!J264</f>
        <v>1390409.7078066608</v>
      </c>
    </row>
    <row r="265" spans="1:10" x14ac:dyDescent="0.25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8">
        <f>'Resultater - Vestdanmark'!H265+'Resultater - Østdanmark'!H265</f>
        <v>-8439338.016000744</v>
      </c>
      <c r="I265" s="279">
        <f>'Resultater - Vestdanmark'!I265+'Resultater - Østdanmark'!I265</f>
        <v>-7389175.63510089</v>
      </c>
      <c r="J265" s="280">
        <f>'Resultater - Vestdanmark'!J265+'Resultater - Østdanmark'!J265</f>
        <v>-6184918.7828627732</v>
      </c>
    </row>
    <row r="266" spans="1:10" x14ac:dyDescent="0.25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8">
        <f>'Resultater - Vestdanmark'!H266+'Resultater - Østdanmark'!H266</f>
        <v>135050.85263779573</v>
      </c>
      <c r="I266" s="279">
        <f>'Resultater - Vestdanmark'!I266+'Resultater - Østdanmark'!I266</f>
        <v>118245.58607781603</v>
      </c>
      <c r="J266" s="280">
        <f>'Resultater - Vestdanmark'!J266+'Resultater - Østdanmark'!J266</f>
        <v>98974.416421936301</v>
      </c>
    </row>
    <row r="267" spans="1:10" x14ac:dyDescent="0.25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78">
        <f>'Resultater - Vestdanmark'!H267+'Resultater - Østdanmark'!H267</f>
        <v>59344.705933036988</v>
      </c>
      <c r="I267" s="279">
        <f>'Resultater - Vestdanmark'!I267+'Resultater - Østdanmark'!I267</f>
        <v>48630.002893936369</v>
      </c>
      <c r="J267" s="280">
        <f>'Resultater - Vestdanmark'!J267+'Resultater - Østdanmark'!J267</f>
        <v>1.1782049645078942</v>
      </c>
    </row>
    <row r="268" spans="1:10" x14ac:dyDescent="0.25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8">
        <f>'Resultater - Vestdanmark'!H268+'Resultater - Østdanmark'!H268</f>
        <v>-207469.18786644947</v>
      </c>
      <c r="I268" s="279">
        <f>'Resultater - Vestdanmark'!I268+'Resultater - Østdanmark'!I268</f>
        <v>-158591.94843521391</v>
      </c>
      <c r="J268" s="280">
        <f>'Resultater - Vestdanmark'!J268+'Resultater - Østdanmark'!J268</f>
        <v>-3.8423567727290351</v>
      </c>
    </row>
    <row r="269" spans="1:10" x14ac:dyDescent="0.25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8">
        <f>'Resultater - Vestdanmark'!H269+'Resultater - Østdanmark'!H269</f>
        <v>26542.270744245459</v>
      </c>
      <c r="I269" s="279">
        <f>'Resultater - Vestdanmark'!I269+'Resultater - Østdanmark'!I269</f>
        <v>20289.231748159636</v>
      </c>
      <c r="J269" s="280">
        <f>'Resultater - Vestdanmark'!J269+'Resultater - Østdanmark'!J269</f>
        <v>0.49156636128256415</v>
      </c>
    </row>
    <row r="270" spans="1:10" x14ac:dyDescent="0.25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78">
        <f>'Resultater - Vestdanmark'!H270+'Resultater - Østdanmark'!H270</f>
        <v>39757.754782963726</v>
      </c>
      <c r="I270" s="279">
        <f>'Resultater - Vestdanmark'!I270+'Resultater - Østdanmark'!I270</f>
        <v>1.0665652868322271</v>
      </c>
      <c r="J270" s="280">
        <f>'Resultater - Vestdanmark'!J270+'Resultater - Østdanmark'!J270</f>
        <v>1.0172443487128175</v>
      </c>
    </row>
    <row r="271" spans="1:10" x14ac:dyDescent="0.25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8">
        <f>'Resultater - Vestdanmark'!H271+'Resultater - Østdanmark'!H271</f>
        <v>-102854.94948928599</v>
      </c>
      <c r="I271" s="279">
        <f>'Resultater - Vestdanmark'!I271+'Resultater - Østdanmark'!I271</f>
        <v>-2.5739256860079429</v>
      </c>
      <c r="J271" s="280">
        <f>'Resultater - Vestdanmark'!J271+'Resultater - Østdanmark'!J271</f>
        <v>-2.4549002207590203</v>
      </c>
    </row>
    <row r="272" spans="1:10" x14ac:dyDescent="0.25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8">
        <f>'Resultater - Vestdanmark'!H272+'Resultater - Østdanmark'!H272</f>
        <v>39030.898430904032</v>
      </c>
      <c r="I272" s="279">
        <f>'Resultater - Vestdanmark'!I272+'Resultater - Østdanmark'!I272</f>
        <v>0.97674086194302023</v>
      </c>
      <c r="J272" s="280">
        <f>'Resultater - Vestdanmark'!J272+'Resultater - Østdanmark'!J272</f>
        <v>0.93157365445432549</v>
      </c>
    </row>
    <row r="273" spans="1:10" x14ac:dyDescent="0.25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78">
        <f>'Resultater - Vestdanmark'!H273+'Resultater - Østdanmark'!H273</f>
        <v>128984.36974444673</v>
      </c>
      <c r="I273" s="279">
        <f>'Resultater - Vestdanmark'!I273+'Resultater - Østdanmark'!I273</f>
        <v>147773.75072039664</v>
      </c>
      <c r="J273" s="280">
        <f>'Resultater - Vestdanmark'!J273+'Resultater - Østdanmark'!J273</f>
        <v>168113.17376207805</v>
      </c>
    </row>
    <row r="274" spans="1:10" x14ac:dyDescent="0.25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8">
        <f>'Resultater - Vestdanmark'!H274+'Resultater - Østdanmark'!H274</f>
        <v>-615067.9268187969</v>
      </c>
      <c r="I274" s="279">
        <f>'Resultater - Vestdanmark'!I274+'Resultater - Østdanmark'!I274</f>
        <v>-657337.64753874391</v>
      </c>
      <c r="J274" s="280">
        <f>'Resultater - Vestdanmark'!J274+'Resultater - Østdanmark'!J274</f>
        <v>-747812.90738249896</v>
      </c>
    </row>
    <row r="275" spans="1:10" x14ac:dyDescent="0.25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8">
        <f>'Resultater - Vestdanmark'!H275+'Resultater - Østdanmark'!H275</f>
        <v>17267.806523585219</v>
      </c>
      <c r="I275" s="279">
        <f>'Resultater - Vestdanmark'!I275+'Resultater - Østdanmark'!I275</f>
        <v>18454.513434110017</v>
      </c>
      <c r="J275" s="280">
        <f>'Resultater - Vestdanmark'!J275+'Resultater - Østdanmark'!J275</f>
        <v>20994.573180410734</v>
      </c>
    </row>
    <row r="276" spans="1:10" x14ac:dyDescent="0.25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78">
        <f>'Resultater - Vestdanmark'!H276+'Resultater - Østdanmark'!H276</f>
        <v>4325.1052602347863</v>
      </c>
      <c r="I276" s="279">
        <f>'Resultater - Vestdanmark'!I276+'Resultater - Østdanmark'!I276</f>
        <v>4326.102569581969</v>
      </c>
      <c r="J276" s="280">
        <f>'Resultater - Vestdanmark'!J276+'Resultater - Østdanmark'!J276</f>
        <v>0.14245569116322718</v>
      </c>
    </row>
    <row r="277" spans="1:10" x14ac:dyDescent="0.25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8">
        <f>'Resultater - Vestdanmark'!H277+'Resultater - Østdanmark'!H277</f>
        <v>-15120.574980864158</v>
      </c>
      <c r="I277" s="279">
        <f>'Resultater - Vestdanmark'!I277+'Resultater - Østdanmark'!I277</f>
        <v>-14108.266395479435</v>
      </c>
      <c r="J277" s="280">
        <f>'Resultater - Vestdanmark'!J277+'Resultater - Østdanmark'!J277</f>
        <v>-0.46457586433905607</v>
      </c>
    </row>
    <row r="278" spans="1:10" x14ac:dyDescent="0.25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8">
        <f>'Resultater - Vestdanmark'!H278+'Resultater - Østdanmark'!H278</f>
        <v>3393.7349298895001</v>
      </c>
      <c r="I278" s="279">
        <f>'Resultater - Vestdanmark'!I278+'Resultater - Østdanmark'!I278</f>
        <v>3166.5274982676897</v>
      </c>
      <c r="J278" s="280">
        <f>'Resultater - Vestdanmark'!J278+'Resultater - Østdanmark'!J278</f>
        <v>0.10427165239327119</v>
      </c>
    </row>
    <row r="279" spans="1:10" x14ac:dyDescent="0.25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78">
        <f>'Resultater - Vestdanmark'!H279+'Resultater - Østdanmark'!H279</f>
        <v>2897.587436711749</v>
      </c>
      <c r="I279" s="279">
        <f>'Resultater - Vestdanmark'!I279+'Resultater - Østdanmark'!I279</f>
        <v>9.4881154707213713E-2</v>
      </c>
      <c r="J279" s="280">
        <f>'Resultater - Vestdanmark'!J279+'Resultater - Østdanmark'!J279</f>
        <v>0.12299408943527704</v>
      </c>
    </row>
    <row r="280" spans="1:10" x14ac:dyDescent="0.25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8">
        <f>'Resultater - Vestdanmark'!H280+'Resultater - Østdanmark'!H280</f>
        <v>-7496.1780681710807</v>
      </c>
      <c r="I280" s="279">
        <f>'Resultater - Vestdanmark'!I280+'Resultater - Østdanmark'!I280</f>
        <v>-0.22897523877261411</v>
      </c>
      <c r="J280" s="280">
        <f>'Resultater - Vestdanmark'!J280+'Resultater - Østdanmark'!J280</f>
        <v>-0.29681975396449972</v>
      </c>
    </row>
    <row r="281" spans="1:10" x14ac:dyDescent="0.25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8">
        <f>'Resultater - Vestdanmark'!H281+'Resultater - Østdanmark'!H281</f>
        <v>4990.5497772321014</v>
      </c>
      <c r="I281" s="279">
        <f>'Resultater - Vestdanmark'!I281+'Resultater - Østdanmark'!I281</f>
        <v>0.15243932527434423</v>
      </c>
      <c r="J281" s="280">
        <f>'Resultater - Vestdanmark'!J281+'Resultater - Østdanmark'!J281</f>
        <v>0.19760653276303877</v>
      </c>
    </row>
    <row r="282" spans="1:10" x14ac:dyDescent="0.25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78">
        <f>'Resultater - Vestdanmark'!H282+'Resultater - Østdanmark'!H282</f>
        <v>6805636.3914233753</v>
      </c>
      <c r="I282" s="279">
        <f>'Resultater - Vestdanmark'!I282+'Resultater - Østdanmark'!I282</f>
        <v>4436121.3531630412</v>
      </c>
      <c r="J282" s="280">
        <f>'Resultater - Vestdanmark'!J282+'Resultater - Østdanmark'!J282</f>
        <v>3713140.9016592009</v>
      </c>
    </row>
    <row r="283" spans="1:10" x14ac:dyDescent="0.25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8">
        <f>'Resultater - Vestdanmark'!H283+'Resultater - Østdanmark'!H283</f>
        <v>-24464206.304824531</v>
      </c>
      <c r="I283" s="279">
        <f>'Resultater - Vestdanmark'!I283+'Resultater - Østdanmark'!I283</f>
        <v>-14875481.120000001</v>
      </c>
      <c r="J283" s="280">
        <f>'Resultater - Vestdanmark'!J283+'Resultater - Østdanmark'!J283</f>
        <v>-12451137.599999998</v>
      </c>
    </row>
    <row r="284" spans="1:10" x14ac:dyDescent="0.25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8">
        <f>'Resultater - Vestdanmark'!H284+'Resultater - Østdanmark'!H284</f>
        <v>347650.80050176143</v>
      </c>
      <c r="I284" s="279">
        <f>'Resultater - Vestdanmark'!I284+'Resultater - Østdanmark'!I284</f>
        <v>211389.36022612697</v>
      </c>
      <c r="J284" s="280">
        <f>'Resultater - Vestdanmark'!J284+'Resultater - Østdanmark'!J284</f>
        <v>176938.00893691523</v>
      </c>
    </row>
    <row r="285" spans="1:10" x14ac:dyDescent="0.25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78">
        <f>'Resultater - Vestdanmark'!H285+'Resultater - Østdanmark'!H285</f>
        <v>271759.53465639014</v>
      </c>
      <c r="I285" s="279">
        <f>'Resultater - Vestdanmark'!I285+'Resultater - Østdanmark'!I285</f>
        <v>222661.32292786438</v>
      </c>
      <c r="J285" s="280">
        <f>'Resultater - Vestdanmark'!J285+'Resultater - Østdanmark'!J285</f>
        <v>5.3946259606343334</v>
      </c>
    </row>
    <row r="286" spans="1:10" x14ac:dyDescent="0.25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8">
        <f>'Resultater - Vestdanmark'!H286+'Resultater - Østdanmark'!H286</f>
        <v>-661438.24431458686</v>
      </c>
      <c r="I286" s="279">
        <f>'Resultater - Vestdanmark'!I286+'Resultater - Østdanmark'!I286</f>
        <v>-505538.8215038316</v>
      </c>
      <c r="J286" s="280">
        <f>'Resultater - Vestdanmark'!J286+'Resultater - Østdanmark'!J286</f>
        <v>-12.248166025118719</v>
      </c>
    </row>
    <row r="287" spans="1:10" x14ac:dyDescent="0.25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8">
        <f>'Resultater - Vestdanmark'!H287+'Resultater - Østdanmark'!H287</f>
        <v>81365.524969577309</v>
      </c>
      <c r="I287" s="279">
        <f>'Resultater - Vestdanmark'!I287+'Resultater - Østdanmark'!I287</f>
        <v>62187.864033754318</v>
      </c>
      <c r="J287" s="280">
        <f>'Resultater - Vestdanmark'!J287+'Resultater - Østdanmark'!J287</f>
        <v>1.5066840587378292</v>
      </c>
    </row>
    <row r="288" spans="1:10" x14ac:dyDescent="0.25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78">
        <f>'Resultater - Vestdanmark'!H288+'Resultater - Østdanmark'!H288</f>
        <v>107772.91589565421</v>
      </c>
      <c r="I288" s="279">
        <f>'Resultater - Vestdanmark'!I288+'Resultater - Østdanmark'!I288</f>
        <v>2.8835758191138265</v>
      </c>
      <c r="J288" s="280">
        <f>'Resultater - Vestdanmark'!J288+'Resultater - Østdanmark'!J288</f>
        <v>2.7502312725652098</v>
      </c>
    </row>
    <row r="289" spans="1:10" x14ac:dyDescent="0.25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8">
        <f>'Resultater - Vestdanmark'!H289+'Resultater - Østdanmark'!H289</f>
        <v>-172951.36870631672</v>
      </c>
      <c r="I289" s="279">
        <f>'Resultater - Vestdanmark'!I289+'Resultater - Østdanmark'!I289</f>
        <v>-4.3166909784920309</v>
      </c>
      <c r="J289" s="280">
        <f>'Resultater - Vestdanmark'!J289+'Resultater - Østdanmark'!J289</f>
        <v>-4.1170752107004924</v>
      </c>
    </row>
    <row r="290" spans="1:10" x14ac:dyDescent="0.25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8">
        <f>'Resultater - Vestdanmark'!H290+'Resultater - Østdanmark'!H290</f>
        <v>70826.515916993711</v>
      </c>
      <c r="I290" s="279">
        <f>'Resultater - Vestdanmark'!I290+'Resultater - Østdanmark'!I290</f>
        <v>1.7677580963008739</v>
      </c>
      <c r="J290" s="280">
        <f>'Resultater - Vestdanmark'!J290+'Resultater - Østdanmark'!J290</f>
        <v>1.6860120571655735</v>
      </c>
    </row>
    <row r="291" spans="1:10" x14ac:dyDescent="0.25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78">
        <f>'Resultater - Vestdanmark'!H291+'Resultater - Østdanmark'!H291</f>
        <v>722248.54897796328</v>
      </c>
      <c r="I291" s="279">
        <f>'Resultater - Vestdanmark'!I291+'Resultater - Østdanmark'!I291</f>
        <v>574644.39031435689</v>
      </c>
      <c r="J291" s="280">
        <f>'Resultater - Vestdanmark'!J291+'Resultater - Østdanmark'!J291</f>
        <v>653737.83753454406</v>
      </c>
    </row>
    <row r="292" spans="1:10" x14ac:dyDescent="0.25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8">
        <f>'Resultater - Vestdanmark'!H292+'Resultater - Østdanmark'!H292</f>
        <v>-2596265.2850252553</v>
      </c>
      <c r="I292" s="279">
        <f>'Resultater - Vestdanmark'!I292+'Resultater - Østdanmark'!I292</f>
        <v>-1926933.7103999997</v>
      </c>
      <c r="J292" s="280">
        <f>'Resultater - Vestdanmark'!J292+'Resultater - Østdanmark'!J292</f>
        <v>-2192154.8319999995</v>
      </c>
    </row>
    <row r="293" spans="1:10" x14ac:dyDescent="0.25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8">
        <f>'Resultater - Vestdanmark'!H293+'Resultater - Østdanmark'!H293</f>
        <v>44451.157794126186</v>
      </c>
      <c r="I293" s="279">
        <f>'Resultater - Vestdanmark'!I293+'Resultater - Østdanmark'!I293</f>
        <v>32991.403041071841</v>
      </c>
      <c r="J293" s="280">
        <f>'Resultater - Vestdanmark'!J293+'Resultater - Østdanmark'!J293</f>
        <v>37532.304926012315</v>
      </c>
    </row>
    <row r="294" spans="1:10" x14ac:dyDescent="0.25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78">
        <f>'Resultater - Vestdanmark'!H294+'Resultater - Østdanmark'!H294</f>
        <v>28840.49606644551</v>
      </c>
      <c r="I294" s="279">
        <f>'Resultater - Vestdanmark'!I294+'Resultater - Østdanmark'!I294</f>
        <v>28843.007207014107</v>
      </c>
      <c r="J294" s="280">
        <f>'Resultater - Vestdanmark'!J294+'Resultater - Østdanmark'!J294</f>
        <v>0.94978111609955984</v>
      </c>
    </row>
    <row r="295" spans="1:10" x14ac:dyDescent="0.25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8">
        <f>'Resultater - Vestdanmark'!H295+'Resultater - Østdanmark'!H295</f>
        <v>-70195.171284316559</v>
      </c>
      <c r="I295" s="279">
        <f>'Resultater - Vestdanmark'!I295+'Resultater - Østdanmark'!I295</f>
        <v>-65486.271617924089</v>
      </c>
      <c r="J295" s="280">
        <f>'Resultater - Vestdanmark'!J295+'Resultater - Østdanmark'!J295</f>
        <v>-2.1564195335133256</v>
      </c>
    </row>
    <row r="296" spans="1:10" x14ac:dyDescent="0.25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8">
        <f>'Resultater - Vestdanmark'!H296+'Resultater - Østdanmark'!H296</f>
        <v>10403.519233105488</v>
      </c>
      <c r="I296" s="279">
        <f>'Resultater - Vestdanmark'!I296+'Resultater - Østdanmark'!I296</f>
        <v>9705.6203983316009</v>
      </c>
      <c r="J296" s="280">
        <f>'Resultater - Vestdanmark'!J296+'Resultater - Østdanmark'!J296</f>
        <v>0.31959964882317582</v>
      </c>
    </row>
    <row r="297" spans="1:10" x14ac:dyDescent="0.25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78">
        <f>'Resultater - Vestdanmark'!H297+'Resultater - Østdanmark'!H297</f>
        <v>11437.406826914037</v>
      </c>
      <c r="I297" s="279">
        <f>'Resultater - Vestdanmark'!I297+'Resultater - Østdanmark'!I297</f>
        <v>0.37353141101931125</v>
      </c>
      <c r="J297" s="280">
        <f>'Resultater - Vestdanmark'!J297+'Resultater - Østdanmark'!J297</f>
        <v>0.48420738465466268</v>
      </c>
    </row>
    <row r="298" spans="1:10" x14ac:dyDescent="0.25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8">
        <f>'Resultater - Vestdanmark'!H298+'Resultater - Østdanmark'!H298</f>
        <v>-18354.473837201975</v>
      </c>
      <c r="I298" s="279">
        <f>'Resultater - Vestdanmark'!I298+'Resultater - Østdanmark'!I298</f>
        <v>-0.55917366952604863</v>
      </c>
      <c r="J298" s="280">
        <f>'Resultater - Vestdanmark'!J298+'Resultater - Østdanmark'!J298</f>
        <v>-0.72485475679302602</v>
      </c>
    </row>
    <row r="299" spans="1:10" x14ac:dyDescent="0.25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8">
        <f>'Resultater - Vestdanmark'!H299+'Resultater - Østdanmark'!H299</f>
        <v>9055.9855765916054</v>
      </c>
      <c r="I299" s="279">
        <f>'Resultater - Vestdanmark'!I299+'Resultater - Østdanmark'!I299</f>
        <v>0.27589288208163931</v>
      </c>
      <c r="J299" s="280">
        <f>'Resultater - Vestdanmark'!J299+'Resultater - Østdanmark'!J299</f>
        <v>0.3576389212169398</v>
      </c>
    </row>
    <row r="300" spans="1:10" x14ac:dyDescent="0.25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78">
        <f>'Resultater - Vestdanmark'!H300+'Resultater - Østdanmark'!H300</f>
        <v>614076.2528869072</v>
      </c>
      <c r="I300" s="279">
        <f>'Resultater - Vestdanmark'!I300+'Resultater - Østdanmark'!I300</f>
        <v>798123.11382003198</v>
      </c>
      <c r="J300" s="280">
        <f>'Resultater - Vestdanmark'!J300+'Resultater - Østdanmark'!J300</f>
        <v>668048.35633535997</v>
      </c>
    </row>
    <row r="301" spans="1:10" x14ac:dyDescent="0.25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78">
        <f>'Resultater - Vestdanmark'!H301+'Resultater - Østdanmark'!H301</f>
        <v>327981.19704816159</v>
      </c>
      <c r="I301" s="279">
        <f>'Resultater - Vestdanmark'!I301+'Resultater - Østdanmark'!I301</f>
        <v>537728.0027579458</v>
      </c>
      <c r="J301" s="280">
        <f>'Resultater - Vestdanmark'!J301+'Resultater - Østdanmark'!J301</f>
        <v>555252.87826008</v>
      </c>
    </row>
    <row r="302" spans="1:10" x14ac:dyDescent="0.25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78">
        <f>'Resultater - Vestdanmark'!H302+'Resultater - Østdanmark'!H302</f>
        <v>-24423487.330729261</v>
      </c>
      <c r="I302" s="279">
        <f>'Resultater - Vestdanmark'!I302+'Resultater - Østdanmark'!I302</f>
        <v>-29611504.604499996</v>
      </c>
      <c r="J302" s="280">
        <f>'Resultater - Vestdanmark'!J302+'Resultater - Østdanmark'!J302</f>
        <v>-24785545.784999996</v>
      </c>
    </row>
    <row r="303" spans="1:10" x14ac:dyDescent="0.25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78">
        <f>'Resultater - Vestdanmark'!H303+'Resultater - Østdanmark'!H303</f>
        <v>317323.11758989503</v>
      </c>
      <c r="I303" s="279">
        <f>'Resultater - Vestdanmark'!I303+'Resultater - Østdanmark'!I303</f>
        <v>384728.63561155094</v>
      </c>
      <c r="J303" s="280">
        <f>'Resultater - Vestdanmark'!J303+'Resultater - Østdanmark'!J303</f>
        <v>322027.17626518564</v>
      </c>
    </row>
    <row r="304" spans="1:10" x14ac:dyDescent="0.25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78">
        <f>'Resultater - Vestdanmark'!H304+'Resultater - Østdanmark'!H304</f>
        <v>13323.118692618173</v>
      </c>
      <c r="I304" s="279">
        <f>'Resultater - Vestdanmark'!I304+'Resultater - Østdanmark'!I304</f>
        <v>10918.647972357969</v>
      </c>
      <c r="J304" s="280">
        <f>'Resultater - Vestdanmark'!J304+'Resultater - Østdanmark'!J304</f>
        <v>0.26453638661730722</v>
      </c>
    </row>
    <row r="305" spans="1:10" x14ac:dyDescent="0.25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78">
        <f>'Resultater - Vestdanmark'!H305+'Resultater - Østdanmark'!H305</f>
        <v>7115.9443093208292</v>
      </c>
      <c r="I305" s="279">
        <f>'Resultater - Vestdanmark'!I305+'Resultater - Østdanmark'!I305</f>
        <v>7356.3372183167376</v>
      </c>
      <c r="J305" s="280">
        <f>'Resultater - Vestdanmark'!J305+'Resultater - Østdanmark'!J305</f>
        <v>0.21987119447389988</v>
      </c>
    </row>
    <row r="306" spans="1:10" x14ac:dyDescent="0.25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78">
        <f>'Resultater - Vestdanmark'!H306+'Resultater - Østdanmark'!H306</f>
        <v>-365881.10046015814</v>
      </c>
      <c r="I306" s="279">
        <f>'Resultater - Vestdanmark'!I306+'Resultater - Østdanmark'!I306</f>
        <v>-279710.10642665671</v>
      </c>
      <c r="J306" s="280">
        <f>'Resultater - Vestdanmark'!J306+'Resultater - Østdanmark'!J306</f>
        <v>-6.7768006663256051</v>
      </c>
    </row>
    <row r="307" spans="1:10" x14ac:dyDescent="0.25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78">
        <f>'Resultater - Vestdanmark'!H307+'Resultater - Østdanmark'!H307</f>
        <v>40352.129195848909</v>
      </c>
      <c r="I307" s="279">
        <f>'Resultater - Vestdanmark'!I307+'Resultater - Østdanmark'!I307</f>
        <v>30848.541610151206</v>
      </c>
      <c r="J307" s="280">
        <f>'Resultater - Vestdanmark'!J307+'Resultater - Østdanmark'!J307</f>
        <v>0.74739672445000616</v>
      </c>
    </row>
    <row r="308" spans="1:10" x14ac:dyDescent="0.25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78">
        <f>'Resultater - Vestdanmark'!H308+'Resultater - Østdanmark'!H308</f>
        <v>6434.7975318427207</v>
      </c>
      <c r="I308" s="279">
        <f>'Resultater - Vestdanmark'!I308+'Resultater - Østdanmark'!I308</f>
        <v>0.17291789557535811</v>
      </c>
      <c r="J308" s="280">
        <f>'Resultater - Vestdanmark'!J308+'Resultater - Østdanmark'!J308</f>
        <v>0.16492169231175774</v>
      </c>
    </row>
    <row r="309" spans="1:10" x14ac:dyDescent="0.25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78">
        <f>'Resultater - Vestdanmark'!H309+'Resultater - Østdanmark'!H309</f>
        <v>3436.8575357448558</v>
      </c>
      <c r="I309" s="279">
        <f>'Resultater - Vestdanmark'!I309+'Resultater - Østdanmark'!I309</f>
        <v>0.11650181910382684</v>
      </c>
      <c r="J309" s="280">
        <f>'Resultater - Vestdanmark'!J309+'Resultater - Østdanmark'!J309</f>
        <v>0.1370757722479255</v>
      </c>
    </row>
    <row r="310" spans="1:10" x14ac:dyDescent="0.25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8">
        <f>'Resultater - Vestdanmark'!H310+'Resultater - Østdanmark'!H310</f>
        <v>-120130.14872758326</v>
      </c>
      <c r="I310" s="279">
        <f>'Resultater - Vestdanmark'!I310+'Resultater - Østdanmark'!I310</f>
        <v>-3.0113572747816595</v>
      </c>
      <c r="J310" s="280">
        <f>'Resultater - Vestdanmark'!J310+'Resultater - Østdanmark'!J310</f>
        <v>-2.8721037591848191</v>
      </c>
    </row>
    <row r="311" spans="1:10" x14ac:dyDescent="0.25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8">
        <f>'Resultater - Vestdanmark'!H311+'Resultater - Østdanmark'!H311</f>
        <v>42778.549000109218</v>
      </c>
      <c r="I311" s="279">
        <f>'Resultater - Vestdanmark'!I311+'Resultater - Østdanmark'!I311</f>
        <v>1.0723494152014124</v>
      </c>
      <c r="J311" s="280">
        <f>'Resultater - Vestdanmark'!J311+'Resultater - Østdanmark'!J311</f>
        <v>1.022761002937763</v>
      </c>
    </row>
    <row r="312" spans="1:10" x14ac:dyDescent="0.25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78">
        <f>'Resultater - Vestdanmark'!H312+'Resultater - Østdanmark'!H312</f>
        <v>43184.19576890875</v>
      </c>
      <c r="I312" s="279">
        <f>'Resultater - Vestdanmark'!I312+'Resultater - Østdanmark'!I312</f>
        <v>68509.411793222418</v>
      </c>
      <c r="J312" s="280">
        <f>'Resultater - Vestdanmark'!J312+'Resultater - Østdanmark'!J312</f>
        <v>77938.974905792013</v>
      </c>
    </row>
    <row r="313" spans="1:10" x14ac:dyDescent="0.25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78">
        <f>'Resultater - Vestdanmark'!H313+'Resultater - Østdanmark'!H313</f>
        <v>23064.894881153006</v>
      </c>
      <c r="I313" s="279">
        <f>'Resultater - Vestdanmark'!I313+'Resultater - Østdanmark'!I313</f>
        <v>46157.577115349697</v>
      </c>
      <c r="J313" s="280">
        <f>'Resultater - Vestdanmark'!J313+'Resultater - Østdanmark'!J313</f>
        <v>64779.502463675992</v>
      </c>
    </row>
    <row r="314" spans="1:10" x14ac:dyDescent="0.25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78">
        <f>'Resultater - Vestdanmark'!H314+'Resultater - Østdanmark'!H314</f>
        <v>-1717553.2408088709</v>
      </c>
      <c r="I314" s="279">
        <f>'Resultater - Vestdanmark'!I314+'Resultater - Østdanmark'!I314</f>
        <v>-2541796.7825250006</v>
      </c>
      <c r="J314" s="280">
        <f>'Resultater - Vestdanmark'!J314+'Resultater - Østdanmark'!J314</f>
        <v>-2891647.00825</v>
      </c>
    </row>
    <row r="315" spans="1:10" x14ac:dyDescent="0.25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78">
        <f>'Resultater - Vestdanmark'!H315+'Resultater - Østdanmark'!H315</f>
        <v>40573.414332296394</v>
      </c>
      <c r="I315" s="279">
        <f>'Resultater - Vestdanmark'!I315+'Resultater - Østdanmark'!I315</f>
        <v>60044.353534750742</v>
      </c>
      <c r="J315" s="280">
        <f>'Resultater - Vestdanmark'!J315+'Resultater - Østdanmark'!J315</f>
        <v>68308.794965342415</v>
      </c>
    </row>
    <row r="316" spans="1:10" x14ac:dyDescent="0.25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78">
        <f>'Resultater - Vestdanmark'!H316+'Resultater - Østdanmark'!H316</f>
        <v>936.9327720614383</v>
      </c>
      <c r="I316" s="279">
        <f>'Resultater - Vestdanmark'!I316+'Resultater - Østdanmark'!I316</f>
        <v>937.23654560413797</v>
      </c>
      <c r="J316" s="280">
        <f>'Resultater - Vestdanmark'!J316+'Resultater - Østdanmark'!J316</f>
        <v>3.0862578438685843E-2</v>
      </c>
    </row>
    <row r="317" spans="1:10" x14ac:dyDescent="0.25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78">
        <f>'Resultater - Vestdanmark'!H317+'Resultater - Østdanmark'!H317</f>
        <v>500.42047822187442</v>
      </c>
      <c r="I317" s="279">
        <f>'Resultater - Vestdanmark'!I317+'Resultater - Østdanmark'!I317</f>
        <v>631.454379722564</v>
      </c>
      <c r="J317" s="280">
        <f>'Resultater - Vestdanmark'!J317+'Resultater - Østdanmark'!J317</f>
        <v>2.565163935528832E-2</v>
      </c>
    </row>
    <row r="318" spans="1:10" x14ac:dyDescent="0.25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78">
        <f>'Resultater - Vestdanmark'!H318+'Resultater - Østdanmark'!H318</f>
        <v>-25730.161353959949</v>
      </c>
      <c r="I318" s="279">
        <f>'Resultater - Vestdanmark'!I318+'Resultater - Østdanmark'!I318</f>
        <v>-24009.798152808398</v>
      </c>
      <c r="J318" s="280">
        <f>'Resultater - Vestdanmark'!J318+'Resultater - Østdanmark'!J318</f>
        <v>-0.79062674440465386</v>
      </c>
    </row>
    <row r="319" spans="1:10" x14ac:dyDescent="0.25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78">
        <f>'Resultater - Vestdanmark'!H319+'Resultater - Østdanmark'!H319</f>
        <v>5159.4843435562807</v>
      </c>
      <c r="I319" s="279">
        <f>'Resultater - Vestdanmark'!I319+'Resultater - Østdanmark'!I319</f>
        <v>4814.5122744166629</v>
      </c>
      <c r="J319" s="280">
        <f>'Resultater - Vestdanmark'!J319+'Resultater - Østdanmark'!J319</f>
        <v>0.15853869912575885</v>
      </c>
    </row>
    <row r="320" spans="1:10" x14ac:dyDescent="0.25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78">
        <f>'Resultater - Vestdanmark'!H320+'Resultater - Østdanmark'!H320</f>
        <v>452.51962609204435</v>
      </c>
      <c r="I320" s="279">
        <f>'Resultater - Vestdanmark'!I320+'Resultater - Østdanmark'!I320</f>
        <v>1.4842952308058197E-2</v>
      </c>
      <c r="J320" s="280">
        <f>'Resultater - Vestdanmark'!J320+'Resultater - Østdanmark'!J320</f>
        <v>1.9240864103038401E-2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78">
        <f>'Resultater - Vestdanmark'!H321+'Resultater - Østdanmark'!H321</f>
        <v>241.69299489389135</v>
      </c>
      <c r="I321" s="279">
        <f>'Resultater - Vestdanmark'!I321+'Resultater - Østdanmark'!I321</f>
        <v>1.0000300657178201E-2</v>
      </c>
      <c r="J321" s="280">
        <f>'Resultater - Vestdanmark'!J321+'Resultater - Østdanmark'!J321</f>
        <v>1.5992173428924641E-2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78">
        <f>'Resultater - Vestdanmark'!H322+'Resultater - Østdanmark'!H322</f>
        <v>-8448.0125000949847</v>
      </c>
      <c r="I322" s="279">
        <f>'Resultater - Vestdanmark'!I322+'Resultater - Østdanmark'!I322</f>
        <v>-0.25848933832663379</v>
      </c>
      <c r="J322" s="280">
        <f>'Resultater - Vestdanmark'!J322+'Resultater - Østdanmark'!J322</f>
        <v>-0.3350787719048956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78">
        <f>'Resultater - Vestdanmark'!H323+'Resultater - Østdanmark'!H323</f>
        <v>5469.7300540171764</v>
      </c>
      <c r="I323" s="279">
        <f>'Resultater - Vestdanmark'!I323+'Resultater - Østdanmark'!I323</f>
        <v>0.16736089138981577</v>
      </c>
      <c r="J323" s="280">
        <f>'Resultater - Vestdanmark'!J323+'Resultater - Østdanmark'!J323</f>
        <v>0.21694930365346488</v>
      </c>
    </row>
    <row r="324" spans="1:10" x14ac:dyDescent="0.25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78">
        <f>'Resultater - Vestdanmark'!H324+'Resultater - Østdanmark'!H324</f>
        <v>1244876.7164053498</v>
      </c>
      <c r="I324" s="279">
        <f>'Resultater - Vestdanmark'!I324+'Resultater - Østdanmark'!I324</f>
        <v>1150546.9356079018</v>
      </c>
      <c r="J324" s="280">
        <f>'Resultater - Vestdanmark'!J324+'Resultater - Østdanmark'!J324</f>
        <v>963035.62183623167</v>
      </c>
    </row>
    <row r="325" spans="1:10" x14ac:dyDescent="0.25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78">
        <f>'Resultater - Vestdanmark'!H325+'Resultater - Østdanmark'!H325</f>
        <v>206810.63376166133</v>
      </c>
      <c r="I325" s="279">
        <f>'Resultater - Vestdanmark'!I325+'Resultater - Østdanmark'!I325</f>
        <v>241110.97703599202</v>
      </c>
      <c r="J325" s="280">
        <f>'Resultater - Vestdanmark'!J325+'Resultater - Østdanmark'!J325</f>
        <v>248968.92721355736</v>
      </c>
    </row>
    <row r="326" spans="1:10" x14ac:dyDescent="0.25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78">
        <f>'Resultater - Vestdanmark'!H326+'Resultater - Østdanmark'!H326</f>
        <v>-13068327.181838907</v>
      </c>
      <c r="I326" s="279">
        <f>'Resultater - Vestdanmark'!I326+'Resultater - Østdanmark'!I326</f>
        <v>-11266868.08579402</v>
      </c>
      <c r="J326" s="280">
        <f>'Resultater - Vestdanmark'!J326+'Resultater - Østdanmark'!J326</f>
        <v>-9430641.1823317166</v>
      </c>
    </row>
    <row r="327" spans="1:10" x14ac:dyDescent="0.25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78">
        <f>'Resultater - Vestdanmark'!H327+'Resultater - Østdanmark'!H327</f>
        <v>198089.21270536177</v>
      </c>
      <c r="I327" s="279">
        <f>'Resultater - Vestdanmark'!I327+'Resultater - Østdanmark'!I327</f>
        <v>170782.76337247706</v>
      </c>
      <c r="J327" s="280">
        <f>'Resultater - Vestdanmark'!J327+'Resultater - Østdanmark'!J327</f>
        <v>142949.30492029365</v>
      </c>
    </row>
    <row r="328" spans="1:10" x14ac:dyDescent="0.25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78">
        <f>'Resultater - Vestdanmark'!H328+'Resultater - Østdanmark'!H328</f>
        <v>83193.972065214504</v>
      </c>
      <c r="I328" s="279">
        <f>'Resultater - Vestdanmark'!I328+'Resultater - Østdanmark'!I328</f>
        <v>68191.687435507061</v>
      </c>
      <c r="J328" s="280">
        <f>'Resultater - Vestdanmark'!J328+'Resultater - Østdanmark'!J328</f>
        <v>1.652144353147702</v>
      </c>
    </row>
    <row r="329" spans="1:10" x14ac:dyDescent="0.25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78">
        <f>'Resultater - Vestdanmark'!H329+'Resultater - Østdanmark'!H329</f>
        <v>13820.965450810663</v>
      </c>
      <c r="I329" s="279">
        <f>'Resultater - Vestdanmark'!I329+'Resultater - Østdanmark'!I329</f>
        <v>14290.38996537845</v>
      </c>
      <c r="J329" s="280">
        <f>'Resultater - Vestdanmark'!J329+'Resultater - Østdanmark'!J329</f>
        <v>0.42712086435684182</v>
      </c>
    </row>
    <row r="330" spans="1:10" x14ac:dyDescent="0.25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78">
        <f>'Resultater - Vestdanmark'!H330+'Resultater - Østdanmark'!H330</f>
        <v>-655008.26237096614</v>
      </c>
      <c r="I330" s="279">
        <f>'Resultater - Vestdanmark'!I330+'Resultater - Østdanmark'!I330</f>
        <v>-500831.42402027285</v>
      </c>
      <c r="J330" s="280">
        <f>'Resultater - Vestdanmark'!J330+'Resultater - Østdanmark'!J330</f>
        <v>-12.134115464683008</v>
      </c>
    </row>
    <row r="331" spans="1:10" x14ac:dyDescent="0.25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78">
        <f>'Resultater - Vestdanmark'!H331+'Resultater - Østdanmark'!H331</f>
        <v>77590.310666771984</v>
      </c>
      <c r="I331" s="279">
        <f>'Resultater - Vestdanmark'!I331+'Resultater - Østdanmark'!I331</f>
        <v>59326.985648627546</v>
      </c>
      <c r="J331" s="280">
        <f>'Resultater - Vestdanmark'!J331+'Resultater - Østdanmark'!J331</f>
        <v>1.43737085874807</v>
      </c>
    </row>
    <row r="332" spans="1:10" x14ac:dyDescent="0.25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78">
        <f>'Resultater - Vestdanmark'!H332+'Resultater - Østdanmark'!H332</f>
        <v>72418.22612376757</v>
      </c>
      <c r="I332" s="279">
        <f>'Resultater - Vestdanmark'!I332+'Resultater - Østdanmark'!I332</f>
        <v>1.9522353676562767</v>
      </c>
      <c r="J332" s="280">
        <f>'Resultater - Vestdanmark'!J332+'Resultater - Østdanmark'!J332</f>
        <v>1.8619585876490501</v>
      </c>
    </row>
    <row r="333" spans="1:10" x14ac:dyDescent="0.25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78">
        <f>'Resultater - Vestdanmark'!H333+'Resultater - Østdanmark'!H333</f>
        <v>12030.797140939529</v>
      </c>
      <c r="I333" s="279">
        <f>'Resultater - Vestdanmark'!I333+'Resultater - Østdanmark'!I333</f>
        <v>0.40911445012117009</v>
      </c>
      <c r="J333" s="280">
        <f>'Resultater - Vestdanmark'!J333+'Resultater - Østdanmark'!J333</f>
        <v>0.48136312050343499</v>
      </c>
    </row>
    <row r="334" spans="1:10" x14ac:dyDescent="0.25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78">
        <f>'Resultater - Vestdanmark'!H334+'Resultater - Østdanmark'!H334</f>
        <v>-434413.67575579346</v>
      </c>
      <c r="I334" s="279">
        <f>'Resultater - Vestdanmark'!I334+'Resultater - Østdanmark'!I334</f>
        <v>-10.924284382407746</v>
      </c>
      <c r="J334" s="280">
        <f>'Resultater - Vestdanmark'!J334+'Resultater - Østdanmark'!J334</f>
        <v>-10.419115162412011</v>
      </c>
    </row>
    <row r="335" spans="1:10" x14ac:dyDescent="0.25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78">
        <f>'Resultater - Vestdanmark'!H335+'Resultater - Østdanmark'!H335</f>
        <v>148249.80065505981</v>
      </c>
      <c r="I335" s="279">
        <f>'Resultater - Vestdanmark'!I335+'Resultater - Østdanmark'!I335</f>
        <v>3.7280662934321382</v>
      </c>
      <c r="J335" s="280">
        <f>'Resultater - Vestdanmark'!J335+'Resultater - Østdanmark'!J335</f>
        <v>3.5556701642560853</v>
      </c>
    </row>
    <row r="336" spans="1:10" x14ac:dyDescent="0.25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78">
        <f>'Resultater - Vestdanmark'!H336+'Resultater - Østdanmark'!H336</f>
        <v>90727.938572043873</v>
      </c>
      <c r="I336" s="279">
        <f>'Resultater - Vestdanmark'!I336+'Resultater - Østdanmark'!I336</f>
        <v>102352.12334685322</v>
      </c>
      <c r="J336" s="280">
        <f>'Resultater - Vestdanmark'!J336+'Resultater - Østdanmark'!J336</f>
        <v>116439.76154928983</v>
      </c>
    </row>
    <row r="337" spans="1:10" x14ac:dyDescent="0.25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78">
        <f>'Resultater - Vestdanmark'!H337+'Resultater - Østdanmark'!H337</f>
        <v>15072.578857570828</v>
      </c>
      <c r="I337" s="279">
        <f>'Resultater - Vestdanmark'!I337+'Resultater - Østdanmark'!I337</f>
        <v>21449.12102071628</v>
      </c>
      <c r="J337" s="280">
        <f>'Resultater - Vestdanmark'!J337+'Resultater - Østdanmark'!J337</f>
        <v>30102.606654002841</v>
      </c>
    </row>
    <row r="338" spans="1:10" x14ac:dyDescent="0.25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78">
        <f>'Resultater - Vestdanmark'!H338+'Resultater - Østdanmark'!H338</f>
        <v>-952433.57849676628</v>
      </c>
      <c r="I338" s="279">
        <f>'Resultater - Vestdanmark'!I338+'Resultater - Østdanmark'!I338</f>
        <v>-1002295.3747998261</v>
      </c>
      <c r="J338" s="280">
        <f>'Resultater - Vestdanmark'!J338+'Resultater - Østdanmark'!J338</f>
        <v>-1140250.252045562</v>
      </c>
    </row>
    <row r="339" spans="1:10" x14ac:dyDescent="0.25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78">
        <f>'Resultater - Vestdanmark'!H339+'Resultater - Østdanmark'!H339</f>
        <v>25327.986699790868</v>
      </c>
      <c r="I339" s="279">
        <f>'Resultater - Vestdanmark'!I339+'Resultater - Østdanmark'!I339</f>
        <v>26653.957289346123</v>
      </c>
      <c r="J339" s="280">
        <f>'Resultater - Vestdanmark'!J339+'Resultater - Østdanmark'!J339</f>
        <v>30322.579831577445</v>
      </c>
    </row>
    <row r="340" spans="1:10" x14ac:dyDescent="0.25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78">
        <f>'Resultater - Vestdanmark'!H340+'Resultater - Østdanmark'!H340</f>
        <v>6063.2651310986303</v>
      </c>
      <c r="I340" s="279">
        <f>'Resultater - Vestdanmark'!I340+'Resultater - Østdanmark'!I340</f>
        <v>6066.3009805344136</v>
      </c>
      <c r="J340" s="280">
        <f>'Resultater - Vestdanmark'!J340+'Resultater - Østdanmark'!J340</f>
        <v>0.19975927178967665</v>
      </c>
    </row>
    <row r="341" spans="1:10" x14ac:dyDescent="0.25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78">
        <f>'Resultater - Vestdanmark'!H341+'Resultater - Østdanmark'!H341</f>
        <v>1007.2866557006012</v>
      </c>
      <c r="I341" s="279">
        <f>'Resultater - Vestdanmark'!I341+'Resultater - Østdanmark'!I341</f>
        <v>1271.2664830472509</v>
      </c>
      <c r="J341" s="280">
        <f>'Resultater - Vestdanmark'!J341+'Resultater - Østdanmark'!J341</f>
        <v>5.1642795417690873E-2</v>
      </c>
    </row>
    <row r="342" spans="1:10" x14ac:dyDescent="0.25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78">
        <f>'Resultater - Vestdanmark'!H342+'Resultater - Østdanmark'!H342</f>
        <v>-47737.698528232206</v>
      </c>
      <c r="I342" s="279">
        <f>'Resultater - Vestdanmark'!I342+'Resultater - Østdanmark'!I342</f>
        <v>-44553.731882497101</v>
      </c>
      <c r="J342" s="280">
        <f>'Resultater - Vestdanmark'!J342+'Resultater - Østdanmark'!J342</f>
        <v>-1.4671248698207631</v>
      </c>
    </row>
    <row r="343" spans="1:10" x14ac:dyDescent="0.25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78">
        <f>'Resultater - Vestdanmark'!H343+'Resultater - Østdanmark'!H343</f>
        <v>9920.8146156029889</v>
      </c>
      <c r="I343" s="279">
        <f>'Resultater - Vestdanmark'!I343+'Resultater - Østdanmark'!I343</f>
        <v>9259.124927820485</v>
      </c>
      <c r="J343" s="280">
        <f>'Resultater - Vestdanmark'!J343+'Resultater - Østdanmark'!J343</f>
        <v>0.30489684882534812</v>
      </c>
    </row>
    <row r="344" spans="1:10" x14ac:dyDescent="0.25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78">
        <f>'Resultater - Vestdanmark'!H344+'Resultater - Østdanmark'!H344</f>
        <v>5277.9173107404822</v>
      </c>
      <c r="I344" s="279">
        <f>'Resultater - Vestdanmark'!I344+'Resultater - Østdanmark'!I344</f>
        <v>0.1736699555389023</v>
      </c>
      <c r="J344" s="280">
        <f>'Resultater - Vestdanmark'!J344+'Resultater - Østdanmark'!J344</f>
        <v>0.22512772014302154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78">
        <f>'Resultater - Vestdanmark'!H345+'Resultater - Østdanmark'!H345</f>
        <v>876.81728607450714</v>
      </c>
      <c r="I345" s="279">
        <f>'Resultater - Vestdanmark'!I345+'Resultater - Østdanmark'!I345</f>
        <v>3.6394632296906405E-2</v>
      </c>
      <c r="J345" s="280">
        <f>'Resultater - Vestdanmark'!J345+'Resultater - Østdanmark'!J345</f>
        <v>5.8201177297233508E-2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78">
        <f>'Resultater - Vestdanmark'!H346+'Resultater - Østdanmark'!H346</f>
        <v>-31660.530532401586</v>
      </c>
      <c r="I346" s="279">
        <f>'Resultater - Vestdanmark'!I346+'Resultater - Østdanmark'!I346</f>
        <v>-0.97181928696679309</v>
      </c>
      <c r="J346" s="280">
        <f>'Resultater - Vestdanmark'!J346+'Resultater - Østdanmark'!J346</f>
        <v>-1.2597657423643613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78">
        <f>'Resultater - Vestdanmark'!H347+'Resultater - Østdanmark'!H347</f>
        <v>18955.444004025605</v>
      </c>
      <c r="I347" s="279">
        <f>'Resultater - Vestdanmark'!I347+'Resultater - Østdanmark'!I347</f>
        <v>0.58183693596917774</v>
      </c>
      <c r="J347" s="280">
        <f>'Resultater - Vestdanmark'!J347+'Resultater - Østdanmark'!J347</f>
        <v>0.75423306514523047</v>
      </c>
    </row>
    <row r="348" spans="1:10" x14ac:dyDescent="0.25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78">
        <f>'Resultater - Vestdanmark'!H348+'Resultater - Østdanmark'!H348</f>
        <v>803523.26097451104</v>
      </c>
      <c r="I348" s="279">
        <f>'Resultater - Vestdanmark'!I348+'Resultater - Østdanmark'!I348</f>
        <v>756157.3633996686</v>
      </c>
      <c r="J348" s="280">
        <f>'Resultater - Vestdanmark'!J348+'Resultater - Østdanmark'!J348</f>
        <v>632922.00789956562</v>
      </c>
    </row>
    <row r="349" spans="1:10" x14ac:dyDescent="0.25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78">
        <f>'Resultater - Vestdanmark'!H349+'Resultater - Østdanmark'!H349</f>
        <v>-1767751.1741439244</v>
      </c>
      <c r="I349" s="279">
        <f>'Resultater - Vestdanmark'!I349+'Resultater - Østdanmark'!I349</f>
        <v>-1551815.4845888722</v>
      </c>
      <c r="J349" s="280">
        <f>'Resultater - Vestdanmark'!J349+'Resultater - Østdanmark'!J349</f>
        <v>-1298907.1057640337</v>
      </c>
    </row>
    <row r="350" spans="1:10" x14ac:dyDescent="0.25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78">
        <f>'Resultater - Vestdanmark'!H350+'Resultater - Østdanmark'!H350</f>
        <v>31589.622964822924</v>
      </c>
      <c r="I350" s="279">
        <f>'Resultater - Vestdanmark'!I350+'Resultater - Østdanmark'!I350</f>
        <v>27730.863249391514</v>
      </c>
      <c r="J350" s="280">
        <f>'Resultater - Vestdanmark'!J350+'Resultater - Østdanmark'!J350</f>
        <v>23211.403469883659</v>
      </c>
    </row>
    <row r="351" spans="1:10" x14ac:dyDescent="0.25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78">
        <f>'Resultater - Vestdanmark'!H351+'Resultater - Østdanmark'!H351</f>
        <v>27634.888548227009</v>
      </c>
      <c r="I351" s="279">
        <f>'Resultater - Vestdanmark'!I351+'Resultater - Østdanmark'!I351</f>
        <v>22644.539498947848</v>
      </c>
      <c r="J351" s="280">
        <f>'Resultater - Vestdanmark'!J351+'Resultater - Østdanmark'!J351</f>
        <v>0.54863062449001043</v>
      </c>
    </row>
    <row r="352" spans="1:10" x14ac:dyDescent="0.25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78">
        <f>'Resultater - Vestdanmark'!H352+'Resultater - Østdanmark'!H352</f>
        <v>-46058.147580378347</v>
      </c>
      <c r="I352" s="279">
        <f>'Resultater - Vestdanmark'!I352+'Resultater - Østdanmark'!I352</f>
        <v>-35206.062653836831</v>
      </c>
      <c r="J352" s="280">
        <f>'Resultater - Vestdanmark'!J352+'Resultater - Østdanmark'!J352</f>
        <v>-0.85297049827426985</v>
      </c>
    </row>
    <row r="353" spans="1:10" x14ac:dyDescent="0.25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78">
        <f>'Resultater - Vestdanmark'!H353+'Resultater - Østdanmark'!H353</f>
        <v>4910.5789263453398</v>
      </c>
      <c r="I353" s="279">
        <f>'Resultater - Vestdanmark'!I353+'Resultater - Østdanmark'!I353</f>
        <v>3753.5627989775235</v>
      </c>
      <c r="J353" s="280">
        <f>'Resultater - Vestdanmark'!J353+'Resultater - Østdanmark'!J353</f>
        <v>9.0941107570820495E-2</v>
      </c>
    </row>
    <row r="354" spans="1:10" x14ac:dyDescent="0.25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78">
        <f>'Resultater - Vestdanmark'!H354+'Resultater - Østdanmark'!H354</f>
        <v>18493.012942248984</v>
      </c>
      <c r="I354" s="279">
        <f>'Resultater - Vestdanmark'!I354+'Resultater - Østdanmark'!I354</f>
        <v>0.4957593907243395</v>
      </c>
      <c r="J354" s="280">
        <f>'Resultater - Vestdanmark'!J354+'Resultater - Østdanmark'!J354</f>
        <v>0.47283410097986134</v>
      </c>
    </row>
    <row r="355" spans="1:10" x14ac:dyDescent="0.25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8">
        <f>'Resultater - Vestdanmark'!H355+'Resultater - Østdanmark'!H355</f>
        <v>-23776.730925748692</v>
      </c>
      <c r="I355" s="279">
        <f>'Resultater - Vestdanmark'!I355+'Resultater - Østdanmark'!I355</f>
        <v>-0.59459415198814702</v>
      </c>
      <c r="J355" s="280">
        <f>'Resultater - Vestdanmark'!J355+'Resultater - Østdanmark'!J355</f>
        <v>-0.56709846865921532</v>
      </c>
    </row>
    <row r="356" spans="1:10" x14ac:dyDescent="0.25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8">
        <f>'Resultater - Vestdanmark'!H356+'Resultater - Østdanmark'!H356</f>
        <v>7529.7457544847666</v>
      </c>
      <c r="I356" s="279">
        <f>'Resultater - Vestdanmark'!I356+'Resultater - Østdanmark'!I356</f>
        <v>0.18829934214067076</v>
      </c>
      <c r="J356" s="280">
        <f>'Resultater - Vestdanmark'!J356+'Resultater - Østdanmark'!J356</f>
        <v>0.17959185811104433</v>
      </c>
    </row>
    <row r="357" spans="1:10" x14ac:dyDescent="0.25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78">
        <f>'Resultater - Vestdanmark'!H357+'Resultater - Østdanmark'!H357</f>
        <v>58561.6295189554</v>
      </c>
      <c r="I357" s="279">
        <f>'Resultater - Vestdanmark'!I357+'Resultater - Østdanmark'!I357</f>
        <v>67267.409379889606</v>
      </c>
      <c r="J357" s="280">
        <f>'Resultater - Vestdanmark'!J357+'Resultater - Østdanmark'!J357</f>
        <v>76526.024591492911</v>
      </c>
    </row>
    <row r="358" spans="1:10" x14ac:dyDescent="0.25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78">
        <f>'Resultater - Vestdanmark'!H358+'Resultater - Østdanmark'!H358</f>
        <v>-128835.58494170189</v>
      </c>
      <c r="I358" s="279">
        <f>'Resultater - Vestdanmark'!I358+'Resultater - Østdanmark'!I358</f>
        <v>-138048.78790648986</v>
      </c>
      <c r="J358" s="280">
        <f>'Resultater - Vestdanmark'!J358+'Resultater - Østdanmark'!J358</f>
        <v>-157049.67733328769</v>
      </c>
    </row>
    <row r="359" spans="1:10" x14ac:dyDescent="0.25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78">
        <f>'Resultater - Vestdanmark'!H359+'Resultater - Østdanmark'!H359</f>
        <v>4039.0970279361727</v>
      </c>
      <c r="I359" s="279">
        <f>'Resultater - Vestdanmark'!I359+'Resultater - Østdanmark'!I359</f>
        <v>4327.9381949917406</v>
      </c>
      <c r="J359" s="280">
        <f>'Resultater - Vestdanmark'!J359+'Resultater - Østdanmark'!J359</f>
        <v>4923.6310390662302</v>
      </c>
    </row>
    <row r="360" spans="1:10" x14ac:dyDescent="0.25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78">
        <f>'Resultater - Vestdanmark'!H360+'Resultater - Østdanmark'!H360</f>
        <v>2014.0600571988041</v>
      </c>
      <c r="I360" s="279">
        <f>'Resultater - Vestdanmark'!I360+'Resultater - Østdanmark'!I360</f>
        <v>2014.4477623630485</v>
      </c>
      <c r="J360" s="280">
        <f>'Resultater - Vestdanmark'!J360+'Resultater - Østdanmark'!J360</f>
        <v>6.6334430051973967E-2</v>
      </c>
    </row>
    <row r="361" spans="1:10" x14ac:dyDescent="0.25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78">
        <f>'Resultater - Vestdanmark'!H361+'Resultater - Østdanmark'!H361</f>
        <v>-3356.766761998007</v>
      </c>
      <c r="I361" s="279">
        <f>'Resultater - Vestdanmark'!I361+'Resultater - Østdanmark'!I361</f>
        <v>-3131.9150534251376</v>
      </c>
      <c r="J361" s="280">
        <f>'Resultater - Vestdanmark'!J361+'Resultater - Østdanmark'!J361</f>
        <v>-0.10313188751861622</v>
      </c>
    </row>
    <row r="362" spans="1:10" x14ac:dyDescent="0.25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78">
        <f>'Resultater - Vestdanmark'!H362+'Resultater - Østdanmark'!H362</f>
        <v>627.87405753257133</v>
      </c>
      <c r="I362" s="279">
        <f>'Resultater - Vestdanmark'!I362+'Resultater - Østdanmark'!I362</f>
        <v>585.81615937799506</v>
      </c>
      <c r="J362" s="280">
        <f>'Resultater - Vestdanmark'!J362+'Resultater - Østdanmark'!J362</f>
        <v>1.9290537969567985E-2</v>
      </c>
    </row>
    <row r="363" spans="1:10" x14ac:dyDescent="0.25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78">
        <f>'Resultater - Vestdanmark'!H363+'Resultater - Østdanmark'!H363</f>
        <v>1347.7904439254141</v>
      </c>
      <c r="I363" s="279">
        <f>'Resultater - Vestdanmark'!I363+'Resultater - Østdanmark'!I363</f>
        <v>4.4102526145939791E-2</v>
      </c>
      <c r="J363" s="280">
        <f>'Resultater - Vestdanmark'!J363+'Resultater - Østdanmark'!J363</f>
        <v>5.7169941300292335E-2</v>
      </c>
    </row>
    <row r="364" spans="1:10" x14ac:dyDescent="0.25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78">
        <f>'Resultater - Vestdanmark'!H364+'Resultater - Østdanmark'!H364</f>
        <v>-1732.8734279041039</v>
      </c>
      <c r="I364" s="279">
        <f>'Resultater - Vestdanmark'!I364+'Resultater - Østdanmark'!I364</f>
        <v>-5.2894820804032266E-2</v>
      </c>
      <c r="J364" s="280">
        <f>'Resultater - Vestdanmark'!J364+'Resultater - Østdanmark'!J364</f>
        <v>-6.85673603015233E-2</v>
      </c>
    </row>
    <row r="365" spans="1:10" x14ac:dyDescent="0.25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78">
        <f>'Resultater - Vestdanmark'!H365+'Resultater - Østdanmark'!H365</f>
        <v>962.76469434034368</v>
      </c>
      <c r="I365" s="279">
        <f>'Resultater - Vestdanmark'!I365+'Resultater - Østdanmark'!I365</f>
        <v>2.9387758599989076E-2</v>
      </c>
      <c r="J365" s="280">
        <f>'Resultater - Vestdanmark'!J365+'Resultater - Østdanmark'!J365</f>
        <v>3.8095242629615472E-2</v>
      </c>
    </row>
    <row r="366" spans="1:10" x14ac:dyDescent="0.25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78">
        <f>'Resultater - Vestdanmark'!H366+'Resultater - Østdanmark'!H366</f>
        <v>151119.96541178104</v>
      </c>
      <c r="I366" s="279">
        <f>'Resultater - Vestdanmark'!I366+'Resultater - Østdanmark'!I366</f>
        <v>141841.80153811892</v>
      </c>
      <c r="J366" s="280">
        <f>'Resultater - Vestdanmark'!J366+'Resultater - Østdanmark'!J366</f>
        <v>118725.01965724725</v>
      </c>
    </row>
    <row r="367" spans="1:10" x14ac:dyDescent="0.25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8">
        <f>'Resultater - Vestdanmark'!H367+'Resultater - Østdanmark'!H367</f>
        <v>-743510.2298259628</v>
      </c>
      <c r="I367" s="279">
        <f>'Resultater - Vestdanmark'!I367+'Resultater - Østdanmark'!I367</f>
        <v>-650990.35780554567</v>
      </c>
      <c r="J367" s="280">
        <f>'Resultater - Vestdanmark'!J367+'Resultater - Østdanmark'!J367</f>
        <v>-544894.67977020191</v>
      </c>
    </row>
    <row r="368" spans="1:10" x14ac:dyDescent="0.25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8">
        <f>'Resultater - Vestdanmark'!H368+'Resultater - Østdanmark'!H368</f>
        <v>12179.28225780596</v>
      </c>
      <c r="I368" s="279">
        <f>'Resultater - Vestdanmark'!I368+'Resultater - Østdanmark'!I368</f>
        <v>10663.733996880881</v>
      </c>
      <c r="J368" s="280">
        <f>'Resultater - Vestdanmark'!J368+'Resultater - Østdanmark'!J368</f>
        <v>8925.8033574756628</v>
      </c>
    </row>
    <row r="369" spans="1:10" x14ac:dyDescent="0.25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78">
        <f>'Resultater - Vestdanmark'!H369+'Resultater - Østdanmark'!H369</f>
        <v>22625.724932981873</v>
      </c>
      <c r="I369" s="279">
        <f>'Resultater - Vestdanmark'!I369+'Resultater - Østdanmark'!I369</f>
        <v>18540.644050201445</v>
      </c>
      <c r="J369" s="280">
        <f>'Resultater - Vestdanmark'!J369+'Resultater - Østdanmark'!J369</f>
        <v>0.44920167726012794</v>
      </c>
    </row>
    <row r="370" spans="1:10" x14ac:dyDescent="0.25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8">
        <f>'Resultater - Vestdanmark'!H370+'Resultater - Østdanmark'!H370</f>
        <v>-92765.472225225691</v>
      </c>
      <c r="I370" s="279">
        <f>'Resultater - Vestdanmark'!I370+'Resultater - Østdanmark'!I370</f>
        <v>-70911.045341255522</v>
      </c>
      <c r="J370" s="280">
        <f>'Resultater - Vestdanmark'!J370+'Resultater - Østdanmark'!J370</f>
        <v>-1.7180288029538475</v>
      </c>
    </row>
    <row r="371" spans="1:10" x14ac:dyDescent="0.25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8">
        <f>'Resultater - Vestdanmark'!H371+'Resultater - Østdanmark'!H371</f>
        <v>8241.9759393401473</v>
      </c>
      <c r="I371" s="279">
        <f>'Resultater - Vestdanmark'!I371+'Resultater - Østdanmark'!I371</f>
        <v>6300.265772561419</v>
      </c>
      <c r="J371" s="280">
        <f>'Resultater - Vestdanmark'!J371+'Resultater - Østdanmark'!J371</f>
        <v>0.15264248343025688</v>
      </c>
    </row>
    <row r="372" spans="1:10" x14ac:dyDescent="0.25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78">
        <f>'Resultater - Vestdanmark'!H372+'Resultater - Østdanmark'!H372</f>
        <v>21786.130098302907</v>
      </c>
      <c r="I372" s="279">
        <f>'Resultater - Vestdanmark'!I372+'Resultater - Østdanmark'!I372</f>
        <v>0.58444774419750334</v>
      </c>
      <c r="J372" s="280">
        <f>'Resultater - Vestdanmark'!J372+'Resultater - Østdanmark'!J372</f>
        <v>0.55742125891669392</v>
      </c>
    </row>
    <row r="373" spans="1:10" x14ac:dyDescent="0.25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8">
        <f>'Resultater - Vestdanmark'!H373+'Resultater - Østdanmark'!H373</f>
        <v>-76562.685774035956</v>
      </c>
      <c r="I373" s="279">
        <f>'Resultater - Vestdanmark'!I373+'Resultater - Østdanmark'!I373</f>
        <v>-1.9159667520333934</v>
      </c>
      <c r="J373" s="280">
        <f>'Resultater - Vestdanmark'!J373+'Resultater - Østdanmark'!J373</f>
        <v>-1.8273671334422537</v>
      </c>
    </row>
    <row r="374" spans="1:10" x14ac:dyDescent="0.25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8">
        <f>'Resultater - Vestdanmark'!H374+'Resultater - Østdanmark'!H374</f>
        <v>18184.718915711666</v>
      </c>
      <c r="I374" s="279">
        <f>'Resultater - Vestdanmark'!I374+'Resultater - Østdanmark'!I374</f>
        <v>0.45506915653932994</v>
      </c>
      <c r="J374" s="280">
        <f>'Resultater - Vestdanmark'!J374+'Resultater - Østdanmark'!J374</f>
        <v>0.43402549612132624</v>
      </c>
    </row>
    <row r="375" spans="1:10" x14ac:dyDescent="0.25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78">
        <f>'Resultater - Vestdanmark'!H375+'Resultater - Østdanmark'!H375</f>
        <v>11013.783741156445</v>
      </c>
      <c r="I375" s="279">
        <f>'Resultater - Vestdanmark'!I375+'Resultater - Østdanmark'!I375</f>
        <v>12618.181073246531</v>
      </c>
      <c r="J375" s="280">
        <f>'Resultater - Vestdanmark'!J375+'Resultater - Østdanmark'!J375</f>
        <v>14354.934194921711</v>
      </c>
    </row>
    <row r="376" spans="1:10" x14ac:dyDescent="0.25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8">
        <f>'Resultater - Vestdanmark'!H376+'Resultater - Østdanmark'!H376</f>
        <v>-54187.816006489709</v>
      </c>
      <c r="I376" s="279">
        <f>'Resultater - Vestdanmark'!I376+'Resultater - Østdanmark'!I376</f>
        <v>-57911.801194377731</v>
      </c>
      <c r="J376" s="280">
        <f>'Resultater - Vestdanmark'!J376+'Resultater - Østdanmark'!J376</f>
        <v>-65882.720372215306</v>
      </c>
    </row>
    <row r="377" spans="1:10" x14ac:dyDescent="0.25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8">
        <f>'Resultater - Vestdanmark'!H377+'Resultater - Østdanmark'!H377</f>
        <v>1557.2614723727386</v>
      </c>
      <c r="I377" s="279">
        <f>'Resultater - Vestdanmark'!I377+'Resultater - Østdanmark'!I377</f>
        <v>1664.2821844842995</v>
      </c>
      <c r="J377" s="280">
        <f>'Resultater - Vestdanmark'!J377+'Resultater - Østdanmark'!J377</f>
        <v>1893.3522273433225</v>
      </c>
    </row>
    <row r="378" spans="1:10" x14ac:dyDescent="0.25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78">
        <f>'Resultater - Vestdanmark'!H378+'Resultater - Østdanmark'!H378</f>
        <v>1648.986887468722</v>
      </c>
      <c r="I378" s="279">
        <f>'Resultater - Vestdanmark'!I378+'Resultater - Østdanmark'!I378</f>
        <v>1649.3671209976892</v>
      </c>
      <c r="J378" s="280">
        <f>'Resultater - Vestdanmark'!J378+'Resultater - Østdanmark'!J378</f>
        <v>5.4312566432360924E-2</v>
      </c>
    </row>
    <row r="379" spans="1:10" x14ac:dyDescent="0.25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8">
        <f>'Resultater - Vestdanmark'!H379+'Resultater - Østdanmark'!H379</f>
        <v>-6760.8462386217598</v>
      </c>
      <c r="I379" s="279">
        <f>'Resultater - Vestdanmark'!I379+'Resultater - Østdanmark'!I379</f>
        <v>-6308.2138023232519</v>
      </c>
      <c r="J379" s="280">
        <f>'Resultater - Vestdanmark'!J379+'Resultater - Østdanmark'!J379</f>
        <v>-0.20772530072078338</v>
      </c>
    </row>
    <row r="380" spans="1:10" x14ac:dyDescent="0.25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8">
        <f>'Resultater - Vestdanmark'!H380+'Resultater - Østdanmark'!H380</f>
        <v>1053.8315242945746</v>
      </c>
      <c r="I380" s="279">
        <f>'Resultater - Vestdanmark'!I380+'Resultater - Østdanmark'!I380</f>
        <v>983.27847317432554</v>
      </c>
      <c r="J380" s="280">
        <f>'Resultater - Vestdanmark'!J380+'Resultater - Østdanmark'!J380</f>
        <v>3.237870860641813E-2</v>
      </c>
    </row>
    <row r="381" spans="1:10" x14ac:dyDescent="0.25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78">
        <f>'Resultater - Vestdanmark'!H381+'Resultater - Østdanmark'!H381</f>
        <v>1587.7963233089895</v>
      </c>
      <c r="I381" s="279">
        <f>'Resultater - Vestdanmark'!I381+'Resultater - Østdanmark'!I381</f>
        <v>5.1992201058957084E-2</v>
      </c>
      <c r="J381" s="280">
        <f>'Resultater - Vestdanmark'!J381+'Resultater - Østdanmark'!J381</f>
        <v>6.7397297669018433E-2</v>
      </c>
    </row>
    <row r="382" spans="1:10" x14ac:dyDescent="0.25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8">
        <f>'Resultater - Vestdanmark'!H382+'Resultater - Østdanmark'!H382</f>
        <v>-5579.9699362001647</v>
      </c>
      <c r="I382" s="279">
        <f>'Resultater - Vestdanmark'!I382+'Resultater - Østdanmark'!I382</f>
        <v>-0.17044351626470475</v>
      </c>
      <c r="J382" s="280">
        <f>'Resultater - Vestdanmark'!J382+'Resultater - Østdanmark'!J382</f>
        <v>-0.22094529886165429</v>
      </c>
    </row>
    <row r="383" spans="1:10" x14ac:dyDescent="0.25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8">
        <f>'Resultater - Vestdanmark'!H383+'Resultater - Østdanmark'!H383</f>
        <v>2325.1256973879313</v>
      </c>
      <c r="I383" s="279">
        <f>'Resultater - Vestdanmark'!I383+'Resultater - Østdanmark'!I383</f>
        <v>7.1022353910762476E-2</v>
      </c>
      <c r="J383" s="280">
        <f>'Resultater - Vestdanmark'!J383+'Resultater - Østdanmark'!J383</f>
        <v>9.2066014328766155E-2</v>
      </c>
    </row>
    <row r="384" spans="1:10" x14ac:dyDescent="0.25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78">
        <f>'Resultater - Vestdanmark'!H384+'Resultater - Østdanmark'!H384</f>
        <v>2073397.5877193159</v>
      </c>
      <c r="I384" s="279">
        <f>'Resultater - Vestdanmark'!I384+'Resultater - Østdanmark'!I384</f>
        <v>1374390.3271201602</v>
      </c>
      <c r="J384" s="280">
        <f>'Resultater - Vestdanmark'!J384+'Resultater - Østdanmark'!J384</f>
        <v>2185756.1169259204</v>
      </c>
    </row>
    <row r="385" spans="1:10" x14ac:dyDescent="0.25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8">
        <f>'Resultater - Vestdanmark'!H385+'Resultater - Østdanmark'!H385</f>
        <v>-7517757.7509764899</v>
      </c>
      <c r="I385" s="279">
        <f>'Resultater - Vestdanmark'!I385+'Resultater - Østdanmark'!I385</f>
        <v>-4648587.8500000006</v>
      </c>
      <c r="J385" s="280">
        <f>'Resultater - Vestdanmark'!J385+'Resultater - Østdanmark'!J385</f>
        <v>-7392862.9500000002</v>
      </c>
    </row>
    <row r="386" spans="1:10" x14ac:dyDescent="0.25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8">
        <f>'Resultater - Vestdanmark'!H386+'Resultater - Østdanmark'!H386</f>
        <v>295552.28134429298</v>
      </c>
      <c r="I386" s="279">
        <f>'Resultater - Vestdanmark'!I386+'Resultater - Østdanmark'!I386</f>
        <v>182754.05907012697</v>
      </c>
      <c r="J386" s="280">
        <f>'Resultater - Vestdanmark'!J386+'Resultater - Østdanmark'!J386</f>
        <v>290642.18120813888</v>
      </c>
    </row>
    <row r="387" spans="1:10" x14ac:dyDescent="0.25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78">
        <f>'Resultater - Vestdanmark'!H387+'Resultater - Østdanmark'!H387</f>
        <v>362721.58612359717</v>
      </c>
      <c r="I387" s="279">
        <f>'Resultater - Vestdanmark'!I387+'Resultater - Østdanmark'!I387</f>
        <v>297008.3510339901</v>
      </c>
      <c r="J387" s="280">
        <f>'Resultater - Vestdanmark'!J387+'Resultater - Østdanmark'!J387</f>
        <v>7.1959015600262219</v>
      </c>
    </row>
    <row r="388" spans="1:10" x14ac:dyDescent="0.25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8">
        <f>'Resultater - Vestdanmark'!H388+'Resultater - Østdanmark'!H388</f>
        <v>-1095968.0508931505</v>
      </c>
      <c r="I388" s="279">
        <f>'Resultater - Vestdanmark'!I388+'Resultater - Østdanmark'!I388</f>
        <v>-837140.52740396897</v>
      </c>
      <c r="J388" s="280">
        <f>'Resultater - Vestdanmark'!J388+'Resultater - Østdanmark'!J388</f>
        <v>-20.282193433739515</v>
      </c>
    </row>
    <row r="389" spans="1:10" x14ac:dyDescent="0.25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8">
        <f>'Resultater - Vestdanmark'!H389+'Resultater - Østdanmark'!H389</f>
        <v>233697.52790303045</v>
      </c>
      <c r="I389" s="279">
        <f>'Resultater - Vestdanmark'!I389+'Resultater - Østdanmark'!I389</f>
        <v>178506.7289163341</v>
      </c>
      <c r="J389" s="280">
        <f>'Resultater - Vestdanmark'!J389+'Resultater - Østdanmark'!J389</f>
        <v>4.3248509498550236</v>
      </c>
    </row>
    <row r="390" spans="1:10" x14ac:dyDescent="0.25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78">
        <f>'Resultater - Vestdanmark'!H390+'Resultater - Østdanmark'!H390</f>
        <v>457088.33107391914</v>
      </c>
      <c r="I390" s="279">
        <f>'Resultater - Vestdanmark'!I390+'Resultater - Østdanmark'!I390</f>
        <v>12.146381411257909</v>
      </c>
      <c r="J390" s="280">
        <f>'Resultater - Vestdanmark'!J390+'Resultater - Østdanmark'!J390</f>
        <v>11.584699033858699</v>
      </c>
    </row>
    <row r="391" spans="1:10" x14ac:dyDescent="0.25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8">
        <f>'Resultater - Vestdanmark'!H391+'Resultater - Østdanmark'!H391</f>
        <v>-1183798.6405105125</v>
      </c>
      <c r="I391" s="279">
        <f>'Resultater - Vestdanmark'!I391+'Resultater - Østdanmark'!I391</f>
        <v>-29.344710646122667</v>
      </c>
      <c r="J391" s="280">
        <f>'Resultater - Vestdanmark'!J391+'Resultater - Østdanmark'!J391</f>
        <v>-27.98772980699561</v>
      </c>
    </row>
    <row r="392" spans="1:10" x14ac:dyDescent="0.25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8">
        <f>'Resultater - Vestdanmark'!H392+'Resultater - Østdanmark'!H392</f>
        <v>674805.3408895086</v>
      </c>
      <c r="I392" s="279">
        <f>'Resultater - Vestdanmark'!I392+'Resultater - Østdanmark'!I392</f>
        <v>16.727479482761705</v>
      </c>
      <c r="J392" s="280">
        <f>'Resultater - Vestdanmark'!J392+'Resultater - Østdanmark'!J392</f>
        <v>15.953954419975037</v>
      </c>
    </row>
    <row r="393" spans="1:10" x14ac:dyDescent="0.25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78">
        <f>'Resultater - Vestdanmark'!H393+'Resultater - Østdanmark'!H393</f>
        <v>265107.75527814421</v>
      </c>
      <c r="I393" s="279">
        <f>'Resultater - Vestdanmark'!I393+'Resultater - Østdanmark'!I393</f>
        <v>214500.22446384004</v>
      </c>
      <c r="J393" s="280">
        <f>'Resultater - Vestdanmark'!J393+'Resultater - Østdanmark'!J393</f>
        <v>463645.23692367994</v>
      </c>
    </row>
    <row r="394" spans="1:10" x14ac:dyDescent="0.25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8">
        <f>'Resultater - Vestdanmark'!H394+'Resultater - Østdanmark'!H394</f>
        <v>-961231.89005853585</v>
      </c>
      <c r="I394" s="279">
        <f>'Resultater - Vestdanmark'!I394+'Resultater - Østdanmark'!I394</f>
        <v>-725502.14999999991</v>
      </c>
      <c r="J394" s="280">
        <f>'Resultater - Vestdanmark'!J394+'Resultater - Østdanmark'!J394</f>
        <v>-1568183.0499999996</v>
      </c>
    </row>
    <row r="395" spans="1:10" x14ac:dyDescent="0.25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8">
        <f>'Resultater - Vestdanmark'!H395+'Resultater - Østdanmark'!H395</f>
        <v>37789.762242709345</v>
      </c>
      <c r="I395" s="279">
        <f>'Resultater - Vestdanmark'!I395+'Resultater - Østdanmark'!I395</f>
        <v>28522.309797071837</v>
      </c>
      <c r="J395" s="280">
        <f>'Resultater - Vestdanmark'!J395+'Resultater - Østdanmark'!J395</f>
        <v>61651.371771423394</v>
      </c>
    </row>
    <row r="396" spans="1:10" x14ac:dyDescent="0.25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78">
        <f>'Resultater - Vestdanmark'!H396+'Resultater - Østdanmark'!H396</f>
        <v>46378.13126518044</v>
      </c>
      <c r="I396" s="279">
        <f>'Resultater - Vestdanmark'!I396+'Resultater - Østdanmark'!I396</f>
        <v>46353.904496634292</v>
      </c>
      <c r="J396" s="280">
        <f>'Resultater - Vestdanmark'!J396+'Resultater - Østdanmark'!J396</f>
        <v>1.5264033612176835</v>
      </c>
    </row>
    <row r="397" spans="1:10" x14ac:dyDescent="0.25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8">
        <f>'Resultater - Vestdanmark'!H397+'Resultater - Østdanmark'!H397</f>
        <v>-140132.13459384954</v>
      </c>
      <c r="I397" s="279">
        <f>'Resultater - Vestdanmark'!I397+'Resultater - Østdanmark'!I397</f>
        <v>-130651.98982605297</v>
      </c>
      <c r="J397" s="280">
        <f>'Resultater - Vestdanmark'!J397+'Resultater - Østdanmark'!J397</f>
        <v>-4.3022834556417155</v>
      </c>
    </row>
    <row r="398" spans="1:10" x14ac:dyDescent="0.25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8">
        <f>'Resultater - Vestdanmark'!H398+'Resultater - Østdanmark'!H398</f>
        <v>29880.919802059198</v>
      </c>
      <c r="I398" s="279">
        <f>'Resultater - Vestdanmark'!I398+'Resultater - Østdanmark'!I398</f>
        <v>27859.431680583933</v>
      </c>
      <c r="J398" s="280">
        <f>'Resultater - Vestdanmark'!J398+'Resultater - Østdanmark'!J398</f>
        <v>0.91739262572682323</v>
      </c>
    </row>
    <row r="399" spans="1:10" x14ac:dyDescent="0.25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78">
        <f>'Resultater - Vestdanmark'!H399+'Resultater - Østdanmark'!H399</f>
        <v>58444.006172560563</v>
      </c>
      <c r="I399" s="279">
        <f>'Resultater - Vestdanmark'!I399+'Resultater - Østdanmark'!I399</f>
        <v>1.895678023722333</v>
      </c>
      <c r="J399" s="280">
        <f>'Resultater - Vestdanmark'!J399+'Resultater - Østdanmark'!J399</f>
        <v>2.4573604011215426</v>
      </c>
    </row>
    <row r="400" spans="1:10" x14ac:dyDescent="0.25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8">
        <f>'Resultater - Vestdanmark'!H400+'Resultater - Østdanmark'!H400</f>
        <v>-151362.28678276329</v>
      </c>
      <c r="I400" s="279">
        <f>'Resultater - Vestdanmark'!I400+'Resultater - Østdanmark'!I400</f>
        <v>-4.5798103320538273</v>
      </c>
      <c r="J400" s="280">
        <f>'Resultater - Vestdanmark'!J400+'Resultater - Østdanmark'!J400</f>
        <v>-5.9367911711808867</v>
      </c>
    </row>
    <row r="401" spans="1:10" x14ac:dyDescent="0.25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8">
        <f>'Resultater - Vestdanmark'!H401+'Resultater - Østdanmark'!H401</f>
        <v>86281.632732920101</v>
      </c>
      <c r="I401" s="279">
        <f>'Resultater - Vestdanmark'!I401+'Resultater - Østdanmark'!I401</f>
        <v>2.610647086905006</v>
      </c>
      <c r="J401" s="280">
        <f>'Resultater - Vestdanmark'!J401+'Resultater - Østdanmark'!J401</f>
        <v>3.3841721496916741</v>
      </c>
    </row>
    <row r="402" spans="1:10" x14ac:dyDescent="0.25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78">
        <f>'Resultater - Vestdanmark'!H402+'Resultater - Østdanmark'!H402</f>
        <v>827693.20492220437</v>
      </c>
      <c r="I402" s="279">
        <f>'Resultater - Vestdanmark'!I402+'Resultater - Østdanmark'!I402</f>
        <v>792049.6289698272</v>
      </c>
      <c r="J402" s="280">
        <f>'Resultater - Vestdanmark'!J402+'Resultater - Østdanmark'!J402</f>
        <v>870579.42418129975</v>
      </c>
    </row>
    <row r="403" spans="1:10" x14ac:dyDescent="0.25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78">
        <f>'Resultater - Vestdanmark'!H403+'Resultater - Østdanmark'!H403</f>
        <v>896667.6386657214</v>
      </c>
      <c r="I403" s="279">
        <f>'Resultater - Vestdanmark'!I403+'Resultater - Østdanmark'!I403</f>
        <v>858053.76471731288</v>
      </c>
      <c r="J403" s="280">
        <f>'Resultater - Vestdanmark'!J403+'Resultater - Østdanmark'!J403</f>
        <v>943127.70952974155</v>
      </c>
    </row>
    <row r="404" spans="1:10" x14ac:dyDescent="0.25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78">
        <f>'Resultater - Vestdanmark'!H404+'Resultater - Østdanmark'!H404</f>
        <v>3383628.2</v>
      </c>
      <c r="I404" s="279">
        <f>'Resultater - Vestdanmark'!I404+'Resultater - Østdanmark'!I404</f>
        <v>2679978.7351939101</v>
      </c>
      <c r="J404" s="280">
        <f>'Resultater - Vestdanmark'!J404+'Resultater - Østdanmark'!J404</f>
        <v>1643873.382664033</v>
      </c>
    </row>
    <row r="405" spans="1:10" x14ac:dyDescent="0.25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78">
        <f>'Resultater - Vestdanmark'!H405+'Resultater - Østdanmark'!H405</f>
        <v>131725</v>
      </c>
      <c r="I405" s="279">
        <f>'Resultater - Vestdanmark'!I405+'Resultater - Østdanmark'!I405</f>
        <v>104331.85268210551</v>
      </c>
      <c r="J405" s="280">
        <f>'Resultater - Vestdanmark'!J405+'Resultater - Østdanmark'!J405</f>
        <v>63996.162856019393</v>
      </c>
    </row>
    <row r="406" spans="1:10" s="171" customFormat="1" x14ac:dyDescent="0.25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78">
        <f>'Resultater - Vestdanmark'!H406+'Resultater - Østdanmark'!H406</f>
        <v>17308.665000000001</v>
      </c>
      <c r="I406" s="279">
        <f>'Resultater - Vestdanmark'!I406+'Resultater - Østdanmark'!I406</f>
        <v>13709.205442428665</v>
      </c>
      <c r="J406" s="280">
        <f>'Resultater - Vestdanmark'!J406+'Resultater - Østdanmark'!J406</f>
        <v>8409.095799280949</v>
      </c>
    </row>
    <row r="407" spans="1:10" x14ac:dyDescent="0.25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78">
        <f>'Resultater - Vestdanmark'!H407+'Resultater - Østdanmark'!H407</f>
        <v>1753646.8000000003</v>
      </c>
      <c r="I407" s="279">
        <f>'Resultater - Vestdanmark'!I407+'Resultater - Østdanmark'!I407</f>
        <v>1388963.5194082048</v>
      </c>
      <c r="J407" s="280">
        <f>'Resultater - Vestdanmark'!J407+'Resultater - Østdanmark'!J407</f>
        <v>851976.96872072341</v>
      </c>
    </row>
    <row r="408" spans="1:10" x14ac:dyDescent="0.25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78">
        <f>'Resultater - Vestdanmark'!H408+'Resultater - Østdanmark'!H408</f>
        <v>1601127.6966659406</v>
      </c>
      <c r="I408" s="279">
        <f>'Resultater - Vestdanmark'!I408+'Resultater - Østdanmark'!I408</f>
        <v>1262146.510248078</v>
      </c>
      <c r="J408" s="280">
        <f>'Resultater - Vestdanmark'!J408+'Resultater - Østdanmark'!J408</f>
        <v>767167.43523730396</v>
      </c>
    </row>
    <row r="409" spans="1:10" x14ac:dyDescent="0.25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78">
        <f>'Resultater - Vestdanmark'!H409+'Resultater - Østdanmark'!H409</f>
        <v>22728.326432774025</v>
      </c>
      <c r="I409" s="279">
        <f>'Resultater - Vestdanmark'!I409+'Resultater - Østdanmark'!I409</f>
        <v>24180.745341776219</v>
      </c>
      <c r="J409" s="280">
        <f>'Resultater - Vestdanmark'!J409+'Resultater - Østdanmark'!J409</f>
        <v>14697.723469782179</v>
      </c>
    </row>
    <row r="410" spans="1:10" x14ac:dyDescent="0.25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78">
        <f>'Resultater - Vestdanmark'!H410+'Resultater - Østdanmark'!H410</f>
        <v>142794.72651993899</v>
      </c>
      <c r="I410" s="279">
        <f>'Resultater - Vestdanmark'!I410+'Resultater - Østdanmark'!I410</f>
        <v>112563.08046776136</v>
      </c>
      <c r="J410" s="280">
        <f>'Resultater - Vestdanmark'!J410+'Resultater - Østdanmark'!J410</f>
        <v>68418.942685100425</v>
      </c>
    </row>
    <row r="411" spans="1:10" x14ac:dyDescent="0.25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78">
        <f>'Resultater - Vestdanmark'!H411+'Resultater - Østdanmark'!H411</f>
        <v>140895.61996077577</v>
      </c>
      <c r="I411" s="279">
        <f>'Resultater - Vestdanmark'!I411+'Resultater - Østdanmark'!I411</f>
        <v>111066.04139884243</v>
      </c>
      <c r="J411" s="280">
        <f>'Resultater - Vestdanmark'!J411+'Resultater - Østdanmark'!J411</f>
        <v>67509.001078775444</v>
      </c>
    </row>
    <row r="412" spans="1:10" x14ac:dyDescent="0.25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78">
        <f>'Resultater - Vestdanmark'!H412+'Resultater - Østdanmark'!H412</f>
        <v>115671.91919191919</v>
      </c>
      <c r="I412" s="279">
        <f>'Resultater - Vestdanmark'!I412+'Resultater - Østdanmark'!I412</f>
        <v>90971.147089593054</v>
      </c>
      <c r="J412" s="280">
        <f>'Resultater - Vestdanmark'!J412+'Resultater - Østdanmark'!J412</f>
        <v>55046.839642131599</v>
      </c>
    </row>
    <row r="413" spans="1:10" x14ac:dyDescent="0.25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78">
        <f>'Resultater - Vestdanmark'!H413+'Resultater - Østdanmark'!H413</f>
        <v>50006.545454545456</v>
      </c>
      <c r="I413" s="279">
        <f>'Resultater - Vestdanmark'!I413+'Resultater - Østdanmark'!I413</f>
        <v>44121.743543858545</v>
      </c>
      <c r="J413" s="280">
        <f>'Resultater - Vestdanmark'!J413+'Resultater - Østdanmark'!J413</f>
        <v>26698.163311033844</v>
      </c>
    </row>
    <row r="414" spans="1:10" x14ac:dyDescent="0.25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78">
        <f>'Resultater - Vestdanmark'!H414+'Resultater - Østdanmark'!H414</f>
        <v>7405.2525252525256</v>
      </c>
      <c r="I414" s="279">
        <f>'Resultater - Vestdanmark'!I414+'Resultater - Østdanmark'!I414</f>
        <v>5823.9227067081456</v>
      </c>
      <c r="J414" s="280">
        <f>'Resultater - Vestdanmark'!J414+'Resultater - Østdanmark'!J414</f>
        <v>3524.0683401364645</v>
      </c>
    </row>
    <row r="415" spans="1:10" x14ac:dyDescent="0.25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78">
        <f>'Resultater - Vestdanmark'!H415+'Resultater - Østdanmark'!H415</f>
        <v>76114.747474747448</v>
      </c>
      <c r="I415" s="279">
        <f>'Resultater - Vestdanmark'!I415+'Resultater - Østdanmark'!I415</f>
        <v>59861.078960088766</v>
      </c>
      <c r="J415" s="280">
        <f>'Resultater - Vestdanmark'!J415+'Resultater - Østdanmark'!J415</f>
        <v>36222.069521402635</v>
      </c>
    </row>
    <row r="416" spans="1:10" x14ac:dyDescent="0.25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78">
        <f>'Resultater - Vestdanmark'!H416+'Resultater - Østdanmark'!H416</f>
        <v>201545.30567673693</v>
      </c>
      <c r="I416" s="279">
        <f>'Resultater - Vestdanmark'!I416+'Resultater - Østdanmark'!I416</f>
        <v>196872.93522310784</v>
      </c>
      <c r="J416" s="280">
        <f>'Resultater - Vestdanmark'!J416+'Resultater - Østdanmark'!J416</f>
        <v>188233.86614274088</v>
      </c>
    </row>
    <row r="417" spans="1:10" ht="15.75" thickBot="1" x14ac:dyDescent="0.3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1">
        <f>'Resultater - Vestdanmark'!H417+'Resultater - Østdanmark'!H417</f>
        <v>550.81037157810442</v>
      </c>
      <c r="I417" s="282">
        <f>'Resultater - Vestdanmark'!I417+'Resultater - Østdanmark'!I417</f>
        <v>726.16257554479</v>
      </c>
      <c r="J417" s="283">
        <f>'Resultater - Vestdanmark'!J417+'Resultater - Østdanmark'!J417</f>
        <v>694.29751168215546</v>
      </c>
    </row>
    <row r="418" spans="1:10" x14ac:dyDescent="0.25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5">
        <f>'Resultater - Vestdanmark'!H418+'Resultater - Østdanmark'!H418</f>
        <v>5940049093.1121235</v>
      </c>
      <c r="I418" s="276">
        <f>'Resultater - Vestdanmark'!I418+'Resultater - Østdanmark'!I418</f>
        <v>4786774692.2687998</v>
      </c>
      <c r="J418" s="277">
        <f>'Resultater - Vestdanmark'!J418+'Resultater - Østdanmark'!J418</f>
        <v>3055656172.7999997</v>
      </c>
    </row>
    <row r="419" spans="1:10" x14ac:dyDescent="0.25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78">
        <f>'Resultater - Vestdanmark'!H419+'Resultater - Østdanmark'!H419</f>
        <v>164945487.85478973</v>
      </c>
      <c r="I419" s="279">
        <f>'Resultater - Vestdanmark'!I419+'Resultater - Østdanmark'!I419</f>
        <v>119669367.30672</v>
      </c>
      <c r="J419" s="280">
        <f>'Resultater - Vestdanmark'!J419+'Resultater - Østdanmark'!J419</f>
        <v>76391404.319999993</v>
      </c>
    </row>
    <row r="420" spans="1:10" x14ac:dyDescent="0.25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78">
        <f>'Resultater - Vestdanmark'!H420+'Resultater - Østdanmark'!H420</f>
        <v>0</v>
      </c>
      <c r="I420" s="279">
        <f>'Resultater - Vestdanmark'!I420+'Resultater - Østdanmark'!I420</f>
        <v>0</v>
      </c>
      <c r="J420" s="280">
        <f>'Resultater - Vestdanmark'!J420+'Resultater - Østdanmark'!J420</f>
        <v>0</v>
      </c>
    </row>
    <row r="421" spans="1:10" x14ac:dyDescent="0.25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78">
        <f>'Resultater - Vestdanmark'!H421+'Resultater - Østdanmark'!H421</f>
        <v>78449683.248009756</v>
      </c>
      <c r="I421" s="279">
        <f>'Resultater - Vestdanmark'!I421+'Resultater - Østdanmark'!I421</f>
        <v>59834683.653360002</v>
      </c>
      <c r="J421" s="280">
        <f>'Resultater - Vestdanmark'!J421+'Resultater - Østdanmark'!J421</f>
        <v>38195702.159999996</v>
      </c>
    </row>
    <row r="422" spans="1:10" x14ac:dyDescent="0.25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78">
        <f>'Resultater - Vestdanmark'!H422+'Resultater - Østdanmark'!H422</f>
        <v>143824419.28801787</v>
      </c>
      <c r="I422" s="279">
        <f>'Resultater - Vestdanmark'!I422+'Resultater - Østdanmark'!I422</f>
        <v>119669367.30671999</v>
      </c>
      <c r="J422" s="280">
        <f>'Resultater - Vestdanmark'!J422+'Resultater - Østdanmark'!J422</f>
        <v>76391404.319999993</v>
      </c>
    </row>
    <row r="423" spans="1:10" x14ac:dyDescent="0.25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78">
        <f>'Resultater - Vestdanmark'!H423+'Resultater - Østdanmark'!H423</f>
        <v>1682645129.1528244</v>
      </c>
      <c r="I423" s="279">
        <f>'Resultater - Vestdanmark'!I423+'Resultater - Østdanmark'!I423</f>
        <v>1376197724.0272803</v>
      </c>
      <c r="J423" s="280">
        <f>'Resultater - Vestdanmark'!J423+'Resultater - Østdanmark'!J423</f>
        <v>878501149.67999995</v>
      </c>
    </row>
    <row r="424" spans="1:10" x14ac:dyDescent="0.25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78">
        <f>'Resultater - Vestdanmark'!H424+'Resultater - Østdanmark'!H424</f>
        <v>242389405.93295321</v>
      </c>
      <c r="I424" s="279">
        <f>'Resultater - Vestdanmark'!I424+'Resultater - Østdanmark'!I424</f>
        <v>179504050.96007997</v>
      </c>
      <c r="J424" s="280">
        <f>'Resultater - Vestdanmark'!J424+'Resultater - Østdanmark'!J424</f>
        <v>114587106.47999999</v>
      </c>
    </row>
    <row r="425" spans="1:10" x14ac:dyDescent="0.25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78">
        <f>'Resultater - Vestdanmark'!H425+'Resultater - Østdanmark'!H425</f>
        <v>0</v>
      </c>
      <c r="I425" s="279">
        <f>'Resultater - Vestdanmark'!I425+'Resultater - Østdanmark'!I425</f>
        <v>0</v>
      </c>
      <c r="J425" s="280">
        <f>'Resultater - Vestdanmark'!J425+'Resultater - Østdanmark'!J425</f>
        <v>0</v>
      </c>
    </row>
    <row r="426" spans="1:10" x14ac:dyDescent="0.25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78">
        <f>'Resultater - Vestdanmark'!H426+'Resultater - Østdanmark'!H426</f>
        <v>0</v>
      </c>
      <c r="I426" s="279">
        <f>'Resultater - Vestdanmark'!I426+'Resultater - Østdanmark'!I426</f>
        <v>0</v>
      </c>
      <c r="J426" s="280">
        <f>'Resultater - Vestdanmark'!J426+'Resultater - Østdanmark'!J426</f>
        <v>0</v>
      </c>
    </row>
    <row r="427" spans="1:10" x14ac:dyDescent="0.25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78">
        <f>'Resultater - Vestdanmark'!H427+'Resultater - Østdanmark'!H427</f>
        <v>2285098465.8907456</v>
      </c>
      <c r="I427" s="279">
        <f>'Resultater - Vestdanmark'!I427+'Resultater - Østdanmark'!I427</f>
        <v>1854875193.2541599</v>
      </c>
      <c r="J427" s="280">
        <f>'Resultater - Vestdanmark'!J427+'Resultater - Østdanmark'!J427</f>
        <v>1184066766.9599998</v>
      </c>
    </row>
    <row r="428" spans="1:10" x14ac:dyDescent="0.25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78">
        <f>'Resultater - Vestdanmark'!H428+'Resultater - Østdanmark'!H428</f>
        <v>163939722.68494347</v>
      </c>
      <c r="I428" s="279">
        <f>'Resultater - Vestdanmark'!I428+'Resultater - Østdanmark'!I428</f>
        <v>119669367.30672</v>
      </c>
      <c r="J428" s="280">
        <f>'Resultater - Vestdanmark'!J428+'Resultater - Østdanmark'!J428</f>
        <v>76391404.319999993</v>
      </c>
    </row>
    <row r="429" spans="1:10" x14ac:dyDescent="0.25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78">
        <f>'Resultater - Vestdanmark'!H429+'Resultater - Østdanmark'!H429</f>
        <v>0</v>
      </c>
      <c r="I429" s="279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0">
        <f>'Resultater - Vestdanmark'!J429+'Resultater - Østdanmark'!J429</f>
        <v>389596162.03199995</v>
      </c>
    </row>
    <row r="430" spans="1:10" x14ac:dyDescent="0.25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78">
        <f>'Resultater - Vestdanmark'!H430+'Resultater - Østdanmark'!H430</f>
        <v>0</v>
      </c>
      <c r="I430" s="279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0">
        <f>'Resultater - Vestdanmark'!J430+'Resultater - Østdanmark'!J430</f>
        <v>1672971754.6079998</v>
      </c>
    </row>
    <row r="431" spans="1:10" x14ac:dyDescent="0.25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78">
        <f>'Resultater - Vestdanmark'!H431+'Resultater - Østdanmark'!H431</f>
        <v>121697585.55139975</v>
      </c>
      <c r="I431" s="279">
        <f>'Resultater - Vestdanmark'!I431+'Resultater - Østdanmark'!I431</f>
        <v>119669367.30672</v>
      </c>
      <c r="J431" s="280">
        <f>'Resultater - Vestdanmark'!J431+'Resultater - Østdanmark'!J431</f>
        <v>76391404.319999993</v>
      </c>
    </row>
    <row r="432" spans="1:10" x14ac:dyDescent="0.25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78">
        <f>'Resultater - Vestdanmark'!H432+'Resultater - Østdanmark'!H432</f>
        <v>4029095270.4041944</v>
      </c>
      <c r="I432" s="279">
        <f>'Resultater - Vestdanmark'!I432+'Resultater - Østdanmark'!I432</f>
        <v>0</v>
      </c>
      <c r="J432" s="280">
        <f>'Resultater - Vestdanmark'!J432+'Resultater - Østdanmark'!J432</f>
        <v>0</v>
      </c>
    </row>
    <row r="433" spans="1:10" x14ac:dyDescent="0.25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78">
        <f>'Resultater - Vestdanmark'!H433+'Resultater - Østdanmark'!H433</f>
        <v>12195000.399999999</v>
      </c>
      <c r="I433" s="279">
        <f>'Resultater - Vestdanmark'!I433+'Resultater - Østdanmark'!I433</f>
        <v>0</v>
      </c>
      <c r="J433" s="280">
        <f>'Resultater - Vestdanmark'!J433+'Resultater - Østdanmark'!J433</f>
        <v>0</v>
      </c>
    </row>
    <row r="434" spans="1:10" x14ac:dyDescent="0.25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78">
        <f>'Resultater - Vestdanmark'!H434+'Resultater - Østdanmark'!H434</f>
        <v>361184.39999999997</v>
      </c>
      <c r="I434" s="279">
        <f>'Resultater - Vestdanmark'!I434+'Resultater - Østdanmark'!I434</f>
        <v>0</v>
      </c>
      <c r="J434" s="280">
        <f>'Resultater - Vestdanmark'!J434+'Resultater - Østdanmark'!J434</f>
        <v>0</v>
      </c>
    </row>
    <row r="435" spans="1:10" x14ac:dyDescent="0.25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78">
        <f>'Resultater - Vestdanmark'!H435+'Resultater - Østdanmark'!H435</f>
        <v>4390946.2499999991</v>
      </c>
      <c r="I435" s="279">
        <f>'Resultater - Vestdanmark'!I435+'Resultater - Østdanmark'!I435</f>
        <v>0</v>
      </c>
      <c r="J435" s="280">
        <f>'Resultater - Vestdanmark'!J435+'Resultater - Østdanmark'!J435</f>
        <v>0</v>
      </c>
    </row>
    <row r="436" spans="1:10" x14ac:dyDescent="0.25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78">
        <f>'Resultater - Vestdanmark'!H436+'Resultater - Østdanmark'!H436</f>
        <v>34978432</v>
      </c>
      <c r="I436" s="279">
        <f>'Resultater - Vestdanmark'!I436+'Resultater - Østdanmark'!I436</f>
        <v>102726359.69887514</v>
      </c>
      <c r="J436" s="280">
        <f>'Resultater - Vestdanmark'!J436+'Resultater - Østdanmark'!J436</f>
        <v>79312748.204240799</v>
      </c>
    </row>
    <row r="437" spans="1:10" s="171" customFormat="1" x14ac:dyDescent="0.25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4">
        <f>'Resultater - Vestdanmark'!H437+'Resultater - Østdanmark'!H437</f>
        <v>-37099.291058504961</v>
      </c>
      <c r="I437" s="285">
        <f>'Resultater - Vestdanmark'!I437+'Resultater - Østdanmark'!I437</f>
        <v>-108955.00169502287</v>
      </c>
      <c r="J437" s="286">
        <f>'Resultater - Vestdanmark'!J437+'Resultater - Østdanmark'!J437</f>
        <v>-84121.744802026733</v>
      </c>
    </row>
    <row r="438" spans="1:10" x14ac:dyDescent="0.25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78">
        <f>'Resultater - Vestdanmark'!H438+'Resultater - Østdanmark'!H438</f>
        <v>61384486.300000004</v>
      </c>
      <c r="I438" s="279">
        <f>'Resultater - Vestdanmark'!I438+'Resultater - Østdanmark'!I438</f>
        <v>97255000.958356351</v>
      </c>
      <c r="J438" s="280">
        <f>'Resultater - Vestdanmark'!J438+'Resultater - Østdanmark'!J438</f>
        <v>76932774.808352262</v>
      </c>
    </row>
    <row r="439" spans="1:10" s="171" customFormat="1" x14ac:dyDescent="0.25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4">
        <f>'Resultater - Vestdanmark'!H439+'Resultater - Østdanmark'!H439</f>
        <v>-128107.91983655478</v>
      </c>
      <c r="I439" s="285">
        <f>'Resultater - Vestdanmark'!I439+'Resultater - Østdanmark'!I439</f>
        <v>-202968.80559668661</v>
      </c>
      <c r="J439" s="286">
        <f>'Resultater - Vestdanmark'!J439+'Resultater - Østdanmark'!J439</f>
        <v>-160556.81723530384</v>
      </c>
    </row>
    <row r="440" spans="1:10" x14ac:dyDescent="0.25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78">
        <f>'Resultater - Vestdanmark'!H440+'Resultater - Østdanmark'!H440</f>
        <v>58183.649999999994</v>
      </c>
      <c r="I440" s="279">
        <f>'Resultater - Vestdanmark'!I440+'Resultater - Østdanmark'!I440</f>
        <v>73446.661708991887</v>
      </c>
      <c r="J440" s="280">
        <f>'Resultater - Vestdanmark'!J440+'Resultater - Østdanmark'!J440</f>
        <v>97868.843656038211</v>
      </c>
    </row>
    <row r="441" spans="1:10" x14ac:dyDescent="0.25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78">
        <f>'Resultater - Vestdanmark'!H441+'Resultater - Østdanmark'!H441</f>
        <v>45425220.000000007</v>
      </c>
      <c r="I441" s="279">
        <f>'Resultater - Vestdanmark'!I441+'Resultater - Østdanmark'!I441</f>
        <v>90756679.698366761</v>
      </c>
      <c r="J441" s="280">
        <f>'Resultater - Vestdanmark'!J441+'Resultater - Østdanmark'!J441</f>
        <v>79318558.602534294</v>
      </c>
    </row>
    <row r="442" spans="1:10" x14ac:dyDescent="0.25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78">
        <f>'Resultater - Vestdanmark'!H442+'Resultater - Østdanmark'!H442</f>
        <v>33002599.999999996</v>
      </c>
      <c r="I442" s="279">
        <f>'Resultater - Vestdanmark'!I442+'Resultater - Østdanmark'!I442</f>
        <v>0</v>
      </c>
      <c r="J442" s="280">
        <f>'Resultater - Vestdanmark'!J442+'Resultater - Østdanmark'!J442</f>
        <v>75000000</v>
      </c>
    </row>
    <row r="443" spans="1:10" x14ac:dyDescent="0.25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78">
        <f>'Resultater - Vestdanmark'!H443+'Resultater - Østdanmark'!H443</f>
        <v>2165562</v>
      </c>
      <c r="I443" s="279">
        <f>'Resultater - Vestdanmark'!I443+'Resultater - Østdanmark'!I443</f>
        <v>0</v>
      </c>
      <c r="J443" s="280">
        <f>'Resultater - Vestdanmark'!J443+'Resultater - Østdanmark'!J443</f>
        <v>0</v>
      </c>
    </row>
    <row r="444" spans="1:10" x14ac:dyDescent="0.25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78">
        <f ca="1">'Resultater - Vestdanmark'!H444+'Resultater - Østdanmark'!H444</f>
        <v>69194816.600000009</v>
      </c>
      <c r="I444" s="279">
        <f ca="1">'Resultater - Vestdanmark'!I444+'Resultater - Østdanmark'!I444</f>
        <v>34543125.5</v>
      </c>
      <c r="J444" s="280">
        <f ca="1">'Resultater - Vestdanmark'!J444+'Resultater - Østdanmark'!J444</f>
        <v>35091837.300000004</v>
      </c>
    </row>
    <row r="445" spans="1:10" x14ac:dyDescent="0.25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78">
        <f>'Resultater - Vestdanmark'!H445+'Resultater - Østdanmark'!H445</f>
        <v>102149122.13</v>
      </c>
      <c r="I445" s="279">
        <f>'Resultater - Vestdanmark'!I445+'Resultater - Østdanmark'!I445</f>
        <v>61557000.000000007</v>
      </c>
      <c r="J445" s="280">
        <f>'Resultater - Vestdanmark'!J445+'Resultater - Østdanmark'!J445</f>
        <v>51297500.000000015</v>
      </c>
    </row>
    <row r="446" spans="1:10" x14ac:dyDescent="0.25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78">
        <f>'Resultater - Vestdanmark'!H446+'Resultater - Østdanmark'!H446</f>
        <v>0</v>
      </c>
      <c r="I446" s="279">
        <f>'Resultater - Vestdanmark'!I446+'Resultater - Østdanmark'!I446</f>
        <v>0</v>
      </c>
      <c r="J446" s="280">
        <f>'Resultater - Vestdanmark'!J446+'Resultater - Østdanmark'!J446</f>
        <v>0</v>
      </c>
    </row>
    <row r="447" spans="1:10" x14ac:dyDescent="0.25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78">
        <f>'Resultater - Vestdanmark'!H447+'Resultater - Østdanmark'!H447</f>
        <v>0</v>
      </c>
      <c r="I447" s="279">
        <f>'Resultater - Vestdanmark'!I447+'Resultater - Østdanmark'!I447</f>
        <v>0</v>
      </c>
      <c r="J447" s="280">
        <f>'Resultater - Vestdanmark'!J447+'Resultater - Østdanmark'!J447</f>
        <v>0</v>
      </c>
    </row>
    <row r="448" spans="1:10" x14ac:dyDescent="0.25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78">
        <f>'Resultater - Vestdanmark'!H448+'Resultater - Østdanmark'!H448</f>
        <v>3689.3999999999996</v>
      </c>
      <c r="I448" s="279">
        <f>'Resultater - Vestdanmark'!I448+'Resultater - Østdanmark'!I448</f>
        <v>37840000</v>
      </c>
      <c r="J448" s="280">
        <f>'Resultater - Vestdanmark'!J448+'Resultater - Østdanmark'!J448</f>
        <v>37840000</v>
      </c>
    </row>
    <row r="449" spans="1:13" x14ac:dyDescent="0.25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78">
        <f>'Resultater - Vestdanmark'!H449+'Resultater - Østdanmark'!H449</f>
        <v>0</v>
      </c>
      <c r="I449" s="279">
        <f>'Resultater - Vestdanmark'!I449+'Resultater - Østdanmark'!I449</f>
        <v>27327370.347160831</v>
      </c>
      <c r="J449" s="280">
        <f>'Resultater - Vestdanmark'!J449+'Resultater - Østdanmark'!J449</f>
        <v>22509074.516543999</v>
      </c>
    </row>
    <row r="450" spans="1:13" x14ac:dyDescent="0.25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78">
        <f>'Resultater - Vestdanmark'!H450+'Resultater - Østdanmark'!H450</f>
        <v>60431253.120000005</v>
      </c>
      <c r="I450" s="279">
        <f>'Resultater - Vestdanmark'!I450+'Resultater - Østdanmark'!I450</f>
        <v>60431253.120000005</v>
      </c>
      <c r="J450" s="280">
        <f>'Resultater - Vestdanmark'!J450+'Resultater - Østdanmark'!J450</f>
        <v>60431253.120000005</v>
      </c>
    </row>
    <row r="451" spans="1:13" x14ac:dyDescent="0.25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78">
        <f>'Resultater - Vestdanmark'!H451+'Resultater - Østdanmark'!H451</f>
        <v>37096792.599999994</v>
      </c>
      <c r="I451" s="279">
        <f>'Resultater - Vestdanmark'!I451+'Resultater - Østdanmark'!I451</f>
        <v>50678580.769433931</v>
      </c>
      <c r="J451" s="280">
        <f>'Resultater - Vestdanmark'!J451+'Resultater - Østdanmark'!J451</f>
        <v>84046271.345634252</v>
      </c>
      <c r="L451" s="98"/>
    </row>
    <row r="452" spans="1:13" x14ac:dyDescent="0.25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4">
        <f ca="1">'Resultater - Vestdanmark'!H452+'Resultater - Østdanmark'!H452</f>
        <v>12034020.807749998</v>
      </c>
      <c r="I452" s="285">
        <f ca="1">'Resultater - Vestdanmark'!I452+'Resultater - Østdanmark'!I452</f>
        <v>22298604.931097031</v>
      </c>
      <c r="J452" s="286">
        <f ca="1">'Resultater - Vestdanmark'!J452+'Resultater - Østdanmark'!J452</f>
        <v>21536150.946821947</v>
      </c>
    </row>
    <row r="453" spans="1:13" x14ac:dyDescent="0.25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4">
        <f>'Resultater - Vestdanmark'!H453+'Resultater - Østdanmark'!H453</f>
        <v>78133292.533333316</v>
      </c>
      <c r="I453" s="285">
        <f>'Resultater - Vestdanmark'!I453+'Resultater - Østdanmark'!I453</f>
        <v>27807915.112034213</v>
      </c>
      <c r="J453" s="286">
        <f>'Resultater - Vestdanmark'!J453+'Resultater - Østdanmark'!J453</f>
        <v>8757449.2808849178</v>
      </c>
    </row>
    <row r="454" spans="1:13" x14ac:dyDescent="0.25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4">
        <f>'Resultater - Vestdanmark'!H454+'Resultater - Østdanmark'!H454</f>
        <v>77571922.666666672</v>
      </c>
      <c r="I454" s="285">
        <f>'Resultater - Vestdanmark'!I454+'Resultater - Østdanmark'!I454</f>
        <v>33820087.269892849</v>
      </c>
      <c r="J454" s="286">
        <f>'Resultater - Vestdanmark'!J454+'Resultater - Østdanmark'!J454</f>
        <v>10912450.327425849</v>
      </c>
    </row>
    <row r="455" spans="1:13" x14ac:dyDescent="0.25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4">
        <f>'Resultater - Vestdanmark'!H455+'Resultater - Østdanmark'!H455</f>
        <v>31090.5</v>
      </c>
      <c r="I455" s="285">
        <f>'Resultater - Vestdanmark'!I455+'Resultater - Østdanmark'!I455</f>
        <v>24054.188641457578</v>
      </c>
      <c r="J455" s="286">
        <f>'Resultater - Vestdanmark'!J455+'Resultater - Østdanmark'!J455</f>
        <v>13074.082167791361</v>
      </c>
    </row>
    <row r="456" spans="1:13" x14ac:dyDescent="0.25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4">
        <f>'Resultater - Vestdanmark'!H456+'Resultater - Østdanmark'!H456</f>
        <v>11532709.900000002</v>
      </c>
      <c r="I456" s="285">
        <f>'Resultater - Vestdanmark'!I456+'Resultater - Østdanmark'!I456</f>
        <v>4913547.1213040501</v>
      </c>
      <c r="J456" s="286">
        <f>'Resultater - Vestdanmark'!J456+'Resultater - Østdanmark'!J456</f>
        <v>1751618.1691392988</v>
      </c>
    </row>
    <row r="457" spans="1:13" x14ac:dyDescent="0.25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4">
        <f ca="1">'Resultater - Vestdanmark'!H457+'Resultater - Østdanmark'!H457</f>
        <v>61624442.148559391</v>
      </c>
      <c r="I457" s="285">
        <f ca="1">'Resultater - Vestdanmark'!I457+'Resultater - Østdanmark'!I457</f>
        <v>126309604.31330259</v>
      </c>
      <c r="J457" s="286">
        <f ca="1">'Resultater - Vestdanmark'!J457+'Resultater - Østdanmark'!J457</f>
        <v>100446857.62428279</v>
      </c>
    </row>
    <row r="458" spans="1:13" x14ac:dyDescent="0.25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4">
        <f ca="1">'Resultater - Vestdanmark'!H458+'Resultater - Østdanmark'!H458</f>
        <v>151170414.18881321</v>
      </c>
      <c r="I458" s="285">
        <f ca="1">'Resultater - Vestdanmark'!I458+'Resultater - Østdanmark'!I458</f>
        <v>265602311.80466646</v>
      </c>
      <c r="J458" s="286">
        <f ca="1">'Resultater - Vestdanmark'!J458+'Resultater - Østdanmark'!J458</f>
        <v>258606068.9707602</v>
      </c>
    </row>
    <row r="459" spans="1:13" x14ac:dyDescent="0.25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88">
        <f>'Resultater - Vestdanmark'!H459+'Resultater - Østdanmark'!H459</f>
        <v>19.573590488557194</v>
      </c>
      <c r="I459" s="289">
        <f>'Resultater - Vestdanmark'!I459+'Resultater - Østdanmark'!I459</f>
        <v>11.201686953178191</v>
      </c>
      <c r="J459" s="290">
        <f>'Resultater - Vestdanmark'!J459+'Resultater - Østdanmark'!J459</f>
        <v>6.9781598449179008</v>
      </c>
      <c r="L459" s="170" t="s">
        <v>216</v>
      </c>
      <c r="M459" s="168">
        <v>17963.28</v>
      </c>
    </row>
    <row r="460" spans="1:13" x14ac:dyDescent="0.25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88">
        <f>'Resultater - Vestdanmark'!H460+'Resultater - Østdanmark'!H460</f>
        <v>3.951047127829578</v>
      </c>
      <c r="I460" s="289">
        <f>'Resultater - Vestdanmark'!I460+'Resultater - Østdanmark'!I460</f>
        <v>9.8390722963911195</v>
      </c>
      <c r="J460" s="290">
        <f>'Resultater - Vestdanmark'!J460+'Resultater - Østdanmark'!J460</f>
        <v>8.3550634809899407</v>
      </c>
      <c r="L460" s="170" t="s">
        <v>220</v>
      </c>
      <c r="M460" s="168">
        <v>14758.1</v>
      </c>
    </row>
    <row r="461" spans="1:13" x14ac:dyDescent="0.25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7">
        <f>'Resultater - Vestdanmark'!H461+'Resultater - Østdanmark'!H461</f>
        <v>3.8599959280679998</v>
      </c>
      <c r="I461" s="289">
        <f>'Resultater - Vestdanmark'!I461+'Resultater - Østdanmark'!I461</f>
        <v>3.2135715960941802</v>
      </c>
      <c r="J461" s="290">
        <f>'Resultater - Vestdanmark'!J461+'Resultater - Østdanmark'!J461</f>
        <v>2.4486919122034334</v>
      </c>
      <c r="L461" s="170" t="s">
        <v>217</v>
      </c>
      <c r="M461" s="168">
        <v>1988.19</v>
      </c>
    </row>
    <row r="462" spans="1:13" x14ac:dyDescent="0.25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7">
        <f>'Resultater - Vestdanmark'!H462+'Resultater - Østdanmark'!H462</f>
        <v>43.629098996273854</v>
      </c>
      <c r="I462" s="289">
        <f>'Resultater - Vestdanmark'!I462+'Resultater - Østdanmark'!I462</f>
        <v>41.66629223706866</v>
      </c>
      <c r="J462" s="290">
        <f>'Resultater - Vestdanmark'!J462+'Resultater - Østdanmark'!J462</f>
        <v>43.147834354519645</v>
      </c>
      <c r="L462" s="170" t="s">
        <v>218</v>
      </c>
      <c r="M462" s="168">
        <v>8944.93</v>
      </c>
    </row>
    <row r="463" spans="1:13" x14ac:dyDescent="0.25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7">
        <f>'Resultater - Vestdanmark'!H463+'Resultater - Østdanmark'!H463</f>
        <v>17.543930524502301</v>
      </c>
      <c r="I463" s="289">
        <f>'Resultater - Vestdanmark'!I463+'Resultater - Østdanmark'!I463</f>
        <v>3.2635465811638609</v>
      </c>
      <c r="J463" s="290">
        <f>'Resultater - Vestdanmark'!J463+'Resultater - Østdanmark'!J463</f>
        <v>3.2635465811638582</v>
      </c>
      <c r="L463" s="170" t="s">
        <v>219</v>
      </c>
      <c r="M463" s="168">
        <v>18651.71</v>
      </c>
    </row>
    <row r="464" spans="1:13" x14ac:dyDescent="0.25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7">
        <f ca="1">'Resultater - Vestdanmark'!H464+'Resultater - Østdanmark'!H464</f>
        <v>0</v>
      </c>
      <c r="I464" s="289">
        <f ca="1">'Resultater - Vestdanmark'!I464+'Resultater - Østdanmark'!I464</f>
        <v>0</v>
      </c>
      <c r="J464" s="290">
        <f ca="1">'Resultater - Vestdanmark'!J464+'Resultater - Østdanmark'!J464</f>
        <v>0</v>
      </c>
      <c r="L464" s="169" t="s">
        <v>110</v>
      </c>
      <c r="M464" s="168">
        <v>16604.849999999999</v>
      </c>
    </row>
    <row r="465" spans="1:13" s="171" customFormat="1" x14ac:dyDescent="0.25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7">
        <f>'Resultater - Vestdanmark'!H465+'Resultater - Østdanmark'!H465</f>
        <v>0</v>
      </c>
      <c r="I465" s="289">
        <f>'Resultater - Vestdanmark'!I465+'Resultater - Østdanmark'!I465</f>
        <v>6.8932480000000016</v>
      </c>
      <c r="J465" s="290">
        <f>'Resultater - Vestdanmark'!J465+'Resultater - Østdanmark'!J465</f>
        <v>11.643999999999997</v>
      </c>
      <c r="L465" s="169"/>
      <c r="M465" s="168"/>
    </row>
    <row r="466" spans="1:13" s="171" customFormat="1" x14ac:dyDescent="0.25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7">
        <f>'Resultater - Vestdanmark'!H466+'Resultater - Østdanmark'!H466</f>
        <v>0</v>
      </c>
      <c r="I466" s="289">
        <f>'Resultater - Vestdanmark'!I466+'Resultater - Østdanmark'!I466</f>
        <v>7.4272320000000018</v>
      </c>
      <c r="J466" s="290">
        <f>'Resultater - Vestdanmark'!J466+'Resultater - Østdanmark'!J466</f>
        <v>12.545999999999996</v>
      </c>
      <c r="L466" s="169"/>
      <c r="M466" s="168"/>
    </row>
    <row r="467" spans="1:13" x14ac:dyDescent="0.25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1">
        <f ca="1">'Resultater - Vestdanmark'!H467+'Resultater - Østdanmark'!H467</f>
        <v>16.609927730843868</v>
      </c>
      <c r="I467" s="292">
        <f ca="1">'Resultater - Vestdanmark'!I467+'Resultater - Østdanmark'!I467</f>
        <v>20.207280456783309</v>
      </c>
      <c r="J467" s="293">
        <f ca="1">'Resultater - Vestdanmark'!J467+'Resultater - Østdanmark'!J467</f>
        <v>21.598632173623386</v>
      </c>
    </row>
    <row r="468" spans="1:13" x14ac:dyDescent="0.25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4">
        <f>'Resultater - Vestdanmark'!H468+'Resultater - Østdanmark'!H468</f>
        <v>0</v>
      </c>
      <c r="I468" s="295">
        <f>'Resultater - Vestdanmark'!I468+'Resultater - Østdanmark'!I468</f>
        <v>953003.32509715192</v>
      </c>
      <c r="J468" s="296">
        <f>'Resultater - Vestdanmark'!J468+'Resultater - Østdanmark'!J468</f>
        <v>608353.36531200004</v>
      </c>
    </row>
    <row r="469" spans="1:13" x14ac:dyDescent="0.25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4">
        <f>'Resultater - Vestdanmark'!H469+'Resultater - Østdanmark'!H469</f>
        <v>0</v>
      </c>
      <c r="I469" s="295">
        <f>'Resultater - Vestdanmark'!I469+'Resultater - Østdanmark'!I469</f>
        <v>1962065.6693176657</v>
      </c>
      <c r="J469" s="296">
        <f>'Resultater - Vestdanmark'!J469+'Resultater - Østdanmark'!J469</f>
        <v>1252492.2227011765</v>
      </c>
    </row>
    <row r="470" spans="1:13" x14ac:dyDescent="0.25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4">
        <f>'Resultater - Vestdanmark'!H470+'Resultater - Østdanmark'!H470</f>
        <v>0</v>
      </c>
      <c r="I470" s="295">
        <f>'Resultater - Vestdanmark'!I470+'Resultater - Østdanmark'!I470</f>
        <v>2785687.066401328</v>
      </c>
      <c r="J470" s="296">
        <f>'Resultater - Vestdanmark'!J470+'Resultater - Østdanmark'!J470</f>
        <v>1778254.1329313826</v>
      </c>
    </row>
    <row r="471" spans="1:13" x14ac:dyDescent="0.25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4">
        <f>'Resultater - Vestdanmark'!H471+'Resultater - Østdanmark'!H471</f>
        <v>339203.90863921517</v>
      </c>
      <c r="I471" s="295">
        <f>'Resultater - Vestdanmark'!I471+'Resultater - Østdanmark'!I471</f>
        <v>439244.29894603218</v>
      </c>
      <c r="J471" s="296">
        <f>'Resultater - Vestdanmark'!J471+'Resultater - Østdanmark'!J471</f>
        <v>372993.90540133673</v>
      </c>
    </row>
    <row r="472" spans="1:13" x14ac:dyDescent="0.25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4">
        <f>'Resultater - Vestdanmark'!H472+'Resultater - Østdanmark'!H472</f>
        <v>217090.50152909773</v>
      </c>
      <c r="I472" s="295">
        <f>'Resultater - Vestdanmark'!I472+'Resultater - Østdanmark'!I472</f>
        <v>281116.35132546059</v>
      </c>
      <c r="J472" s="296">
        <f>'Resultater - Vestdanmark'!J472+'Resultater - Østdanmark'!J472</f>
        <v>238716.0994568555</v>
      </c>
    </row>
    <row r="473" spans="1:13" x14ac:dyDescent="0.25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4">
        <f>'Resultater - Vestdanmark'!H473+'Resultater - Østdanmark'!H473</f>
        <v>0</v>
      </c>
      <c r="I473" s="295">
        <f>'Resultater - Vestdanmark'!I473+'Resultater - Østdanmark'!I473</f>
        <v>-965946.66666666698</v>
      </c>
      <c r="J473" s="296">
        <f>'Resultater - Vestdanmark'!J473+'Resultater - Østdanmark'!J473</f>
        <v>-1631666.6666666665</v>
      </c>
    </row>
    <row r="474" spans="1:13" x14ac:dyDescent="0.25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4">
        <f>'Resultater - Vestdanmark'!H474+'Resultater - Østdanmark'!H474</f>
        <v>0</v>
      </c>
      <c r="I474" s="295">
        <f>'Resultater - Vestdanmark'!I474+'Resultater - Østdanmark'!I474</f>
        <v>207200.00000000012</v>
      </c>
      <c r="J474" s="296">
        <f>'Resultater - Vestdanmark'!J474+'Resultater - Østdanmark'!J474</f>
        <v>350000</v>
      </c>
    </row>
    <row r="475" spans="1:13" ht="15.75" thickBot="1" x14ac:dyDescent="0.3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7">
        <f>'Resultater - Vestdanmark'!H475+'Resultater - Østdanmark'!H475</f>
        <v>0</v>
      </c>
      <c r="I475" s="298">
        <f>'Resultater - Vestdanmark'!I475+'Resultater - Østdanmark'!I475</f>
        <v>828800.00000000047</v>
      </c>
      <c r="J475" s="299">
        <f>'Resultater - Vestdanmark'!J475+'Resultater - Østdanmark'!J475</f>
        <v>1400000</v>
      </c>
    </row>
    <row r="476" spans="1:13" x14ac:dyDescent="0.25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25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25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25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25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25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25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25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25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25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25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25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25">
      <c r="H488" s="97"/>
      <c r="I488" s="97"/>
      <c r="J488" s="97"/>
    </row>
    <row r="489" spans="1:10" x14ac:dyDescent="0.25">
      <c r="H489" s="97"/>
      <c r="I489" s="97"/>
      <c r="J489" s="97"/>
    </row>
  </sheetData>
  <autoFilter ref="A2:O475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 filterMode="1">
    <tabColor rgb="FFFF0000"/>
  </sheetPr>
  <dimension ref="A1:Z290"/>
  <sheetViews>
    <sheetView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N247" activeCellId="1" sqref="N103 N247"/>
    </sheetView>
  </sheetViews>
  <sheetFormatPr defaultColWidth="18" defaultRowHeight="15" x14ac:dyDescent="0.25"/>
  <cols>
    <col min="1" max="2" width="18.140625" style="190" bestFit="1" customWidth="1"/>
    <col min="3" max="3" width="8.140625" style="190" bestFit="1" customWidth="1"/>
    <col min="4" max="4" width="7.85546875" style="190" customWidth="1"/>
    <col min="5" max="5" width="11.140625" style="190" bestFit="1" customWidth="1"/>
    <col min="6" max="6" width="14.28515625" style="190" bestFit="1" customWidth="1"/>
    <col min="7" max="7" width="10.7109375" style="190" bestFit="1" customWidth="1"/>
    <col min="8" max="8" width="11.7109375" style="190" bestFit="1" customWidth="1"/>
    <col min="9" max="9" width="9" style="190" bestFit="1" customWidth="1"/>
    <col min="10" max="10" width="9.5703125" style="190" bestFit="1" customWidth="1"/>
    <col min="11" max="11" width="10.85546875" style="190" bestFit="1" customWidth="1"/>
    <col min="12" max="12" width="10.5703125" style="190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61" t="s">
        <v>253</v>
      </c>
      <c r="B1" s="361"/>
      <c r="C1" s="361"/>
      <c r="F1" s="362" t="s">
        <v>255</v>
      </c>
      <c r="G1" s="362"/>
      <c r="H1" s="362"/>
      <c r="I1" s="362"/>
      <c r="J1" s="362"/>
      <c r="K1" s="362"/>
      <c r="L1" s="362"/>
      <c r="M1" s="363"/>
      <c r="N1" s="364" t="s">
        <v>256</v>
      </c>
      <c r="O1" s="365"/>
      <c r="P1" s="366"/>
      <c r="Q1" s="358" t="s">
        <v>123</v>
      </c>
      <c r="R1" s="358"/>
      <c r="S1" s="358"/>
      <c r="T1" s="359"/>
      <c r="U1" s="360" t="s">
        <v>230</v>
      </c>
      <c r="V1" s="358"/>
      <c r="W1" s="358"/>
      <c r="X1" s="359"/>
    </row>
    <row r="2" spans="1:26" x14ac:dyDescent="0.25">
      <c r="A2" s="197" t="s">
        <v>129</v>
      </c>
      <c r="B2" s="197" t="s">
        <v>321</v>
      </c>
      <c r="C2" s="197" t="s">
        <v>130</v>
      </c>
      <c r="D2" s="197" t="s">
        <v>58</v>
      </c>
      <c r="E2" s="197" t="s">
        <v>64</v>
      </c>
      <c r="F2" s="197" t="s">
        <v>133</v>
      </c>
      <c r="G2" s="197" t="s">
        <v>113</v>
      </c>
      <c r="H2" s="197" t="s">
        <v>125</v>
      </c>
      <c r="I2" s="197" t="s">
        <v>128</v>
      </c>
      <c r="J2" s="197" t="s">
        <v>110</v>
      </c>
      <c r="K2" s="197" t="s">
        <v>115</v>
      </c>
      <c r="L2" s="197" t="s">
        <v>121</v>
      </c>
      <c r="M2" s="188" t="s">
        <v>224</v>
      </c>
      <c r="N2" s="200" t="s">
        <v>254</v>
      </c>
      <c r="O2" s="197" t="s">
        <v>131</v>
      </c>
      <c r="P2" s="201" t="s">
        <v>191</v>
      </c>
      <c r="Q2" s="197" t="s">
        <v>132</v>
      </c>
      <c r="R2" s="197" t="s">
        <v>233</v>
      </c>
      <c r="S2" s="197" t="s">
        <v>234</v>
      </c>
      <c r="T2" s="199" t="s">
        <v>293</v>
      </c>
      <c r="U2" s="198" t="s">
        <v>236</v>
      </c>
      <c r="V2" s="197" t="s">
        <v>235</v>
      </c>
      <c r="W2" s="197" t="s">
        <v>237</v>
      </c>
      <c r="X2" s="199" t="s">
        <v>292</v>
      </c>
      <c r="Y2" s="95" t="s">
        <v>287</v>
      </c>
      <c r="Z2" s="197" t="s">
        <v>309</v>
      </c>
    </row>
    <row r="3" spans="1:26" hidden="1" x14ac:dyDescent="0.25">
      <c r="A3" s="192" t="s">
        <v>15</v>
      </c>
      <c r="B3" s="192"/>
      <c r="C3" s="192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2">
        <f t="shared" ref="D3:D15" si="0">År1</f>
        <v>2019</v>
      </c>
      <c r="E3" s="190" t="s">
        <v>23</v>
      </c>
      <c r="F3" s="193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216549.9929685164</v>
      </c>
      <c r="G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0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3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2">
        <f>F3-SUM(G3:M3)</f>
        <v>185027.43463784308</v>
      </c>
      <c r="O3" s="193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3">
        <f>SUM(J3,L3)</f>
        <v>0</v>
      </c>
      <c r="Q3" s="190">
        <f>IFERROR(VLOOKUP(A3,[1]Energiindhold!$A$2:$C$11,3,FALSE),IFERROR(VLOOKUP(A3,[1]Biogasudbytte!$A$2:$B$18,2,FALSE)*[1]Energiindhold!$C$10,0))*O3</f>
        <v>0</v>
      </c>
      <c r="R3" s="190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0">
        <f>IFERROR(VLOOKUP(A3,[1]Biogasudbytte!$A$2:$B$18,2,FALSE)*[1]Energiindhold!$C$10,0)*J3*IFERROR(VLOOKUP(A3,Biogasanlæg!$F$3:$G$8,2,FALSE),1)</f>
        <v>0</v>
      </c>
      <c r="T3" s="191">
        <f>R3-S3</f>
        <v>0</v>
      </c>
      <c r="U3" s="189">
        <f>O3*IFERROR(VLOOKUP(A3,[1]Tørstofindhold!A$2:B$24,2,FALSE),0)</f>
        <v>0</v>
      </c>
      <c r="V3" s="190">
        <f>IF(D3=År1,P3,SUM(O3,P3))*IFERROR(VLOOKUP(A3,[1]Tørstofindhold!A$2:B$24,2,FALSE),0)</f>
        <v>0</v>
      </c>
      <c r="W3" s="190">
        <f>J3*IFERROR(VLOOKUP(A3,[1]Tørstofindhold!A$2:B$24,2,FALSE),0)</f>
        <v>0</v>
      </c>
      <c r="X3" s="191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hidden="1" x14ac:dyDescent="0.25">
      <c r="A4" s="192" t="s">
        <v>49</v>
      </c>
      <c r="B4" s="192"/>
      <c r="C4" s="192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2">
        <f t="shared" si="0"/>
        <v>2019</v>
      </c>
      <c r="E4" s="190" t="s">
        <v>23</v>
      </c>
      <c r="F4" s="193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258086.32953598633</v>
      </c>
      <c r="G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0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3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2">
        <f t="shared" ref="N4:N15" si="4">F4-SUM(G4:M4)</f>
        <v>193587.85406079434</v>
      </c>
      <c r="O4" s="193">
        <f t="shared" si="1"/>
        <v>0</v>
      </c>
      <c r="P4" s="203">
        <f t="shared" ref="P4:P15" si="5">SUM(J4,L4)</f>
        <v>0</v>
      </c>
      <c r="Q4" s="190">
        <f>IFERROR(VLOOKUP(A4,[1]Energiindhold!$A$2:$C$11,3,FALSE),IFERROR(VLOOKUP(A4,[1]Biogasudbytte!$A$2:$B$18,2,FALSE)*[1]Energiindhold!$C$10,0))*O4</f>
        <v>0</v>
      </c>
      <c r="R4" s="190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0">
        <f>IFERROR(VLOOKUP(A4,[1]Biogasudbytte!$A$2:$B$18,2,FALSE)*[1]Energiindhold!$C$10,0)*J4*IFERROR(VLOOKUP(A4,Biogasanlæg!$F$3:$G$8,2,FALSE),1)</f>
        <v>0</v>
      </c>
      <c r="T4" s="191">
        <f t="shared" ref="T4:T15" si="6">R4-S4</f>
        <v>0</v>
      </c>
      <c r="U4" s="189">
        <f>O4*IFERROR(VLOOKUP(A4,[1]Tørstofindhold!A$2:B$24,2,FALSE),0)</f>
        <v>0</v>
      </c>
      <c r="V4" s="190">
        <f>IF(D4=År1,P4,SUM(O4,P4))*IFERROR(VLOOKUP(A4,[1]Tørstofindhold!A$2:B$24,2,FALSE),0)</f>
        <v>0</v>
      </c>
      <c r="W4" s="190">
        <f>J4*IFERROR(VLOOKUP(A4,[1]Tørstofindhold!A$2:B$24,2,FALSE),0)</f>
        <v>0</v>
      </c>
      <c r="X4" s="191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hidden="1" x14ac:dyDescent="0.25">
      <c r="A5" s="192" t="s">
        <v>103</v>
      </c>
      <c r="B5" s="192" t="s">
        <v>231</v>
      </c>
      <c r="C5" s="192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2">
        <f t="shared" si="0"/>
        <v>2019</v>
      </c>
      <c r="E5" s="190" t="s">
        <v>23</v>
      </c>
      <c r="F5" s="193">
        <f ca="1"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193591.30306616417</v>
      </c>
      <c r="G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0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3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3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2">
        <f t="shared" ca="1" si="4"/>
        <v>-199952.34120163022</v>
      </c>
      <c r="O5" s="193">
        <f t="shared" ca="1" si="1"/>
        <v>0</v>
      </c>
      <c r="P5" s="203">
        <f t="shared" ca="1" si="5"/>
        <v>393543.64426779439</v>
      </c>
      <c r="Q5" s="190">
        <f ca="1">IFERROR(VLOOKUP(A5,[1]Energiindhold!$A$2:$C$11,3,FALSE),IFERROR(VLOOKUP(A5,[1]Biogasudbytte!$A$2:$B$18,2,FALSE)*[1]Energiindhold!$C$10,0))*O5</f>
        <v>0</v>
      </c>
      <c r="R5" s="190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0">
        <f ca="1">IFERROR(VLOOKUP(A5,[1]Biogasudbytte!$A$2:$B$18,2,FALSE)*[1]Energiindhold!$C$10,0)*J5*IFERROR(VLOOKUP(A5,Biogasanlæg!$F$3:$G$8,2,FALSE),1)</f>
        <v>1.3407677770923916</v>
      </c>
      <c r="T5" s="191">
        <f t="shared" ca="1" si="6"/>
        <v>0</v>
      </c>
      <c r="U5" s="189">
        <f ca="1">O5*IFERROR(VLOOKUP(A5,[1]Tørstofindhold!A$2:B$24,2,FALSE),0)</f>
        <v>0</v>
      </c>
      <c r="V5" s="190">
        <f ca="1">IF(D5=År1,P5,SUM(O5,P5))*IFERROR(VLOOKUP(A5,[1]Tørstofindhold!A$2:B$24,2,FALSE),0)</f>
        <v>110192.22039498243</v>
      </c>
      <c r="W5" s="190">
        <f ca="1">J5*IFERROR(VLOOKUP(A5,[1]Tørstofindhold!A$2:B$24,2,FALSE),0)</f>
        <v>110192.22039498243</v>
      </c>
      <c r="X5" s="191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hidden="1" x14ac:dyDescent="0.25">
      <c r="A6" s="192" t="s">
        <v>110</v>
      </c>
      <c r="B6" s="192"/>
      <c r="C6" s="192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2">
        <f t="shared" si="0"/>
        <v>2019</v>
      </c>
      <c r="E6" s="190" t="s">
        <v>23</v>
      </c>
      <c r="F6" s="193">
        <f ca="1"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352020257.59705466</v>
      </c>
      <c r="G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0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3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2">
        <f t="shared" ca="1" si="4"/>
        <v>0</v>
      </c>
      <c r="O6" s="193">
        <f t="shared" ca="1" si="1"/>
        <v>0</v>
      </c>
      <c r="P6" s="203">
        <f t="shared" ca="1" si="5"/>
        <v>352020257.59705466</v>
      </c>
      <c r="Q6" s="190">
        <f ca="1">IFERROR(VLOOKUP(A6,[1]Energiindhold!$A$2:$C$11,3,FALSE),IFERROR(VLOOKUP(A6,[1]Biogasudbytte!$A$2:$B$18,2,FALSE)*[1]Energiindhold!$C$10,0))*O6</f>
        <v>0</v>
      </c>
      <c r="R6" s="190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0">
        <f>IFERROR(VLOOKUP(A6,[1]Biogasudbytte!$A$2:$B$18,2,FALSE)*[1]Energiindhold!$C$10,0)*J6*IFERROR(VLOOKUP(A6,Biogasanlæg!$F$3:$G$8,2,FALSE),1)</f>
        <v>0</v>
      </c>
      <c r="T6" s="191">
        <f t="shared" si="6"/>
        <v>0</v>
      </c>
      <c r="U6" s="189">
        <f ca="1">O6*IFERROR(VLOOKUP(A6,[1]Tørstofindhold!A$2:B$24,2,FALSE),0)</f>
        <v>0</v>
      </c>
      <c r="V6" s="190">
        <f ca="1">IF(D6=År1,P6,SUM(O6,P6))*IFERROR(VLOOKUP(A6,[1]Tørstofindhold!A$2:B$24,2,FALSE),0)</f>
        <v>0</v>
      </c>
      <c r="W6" s="190">
        <f>J6*IFERROR(VLOOKUP(A6,[1]Tørstofindhold!A$2:B$24,2,FALSE),0)</f>
        <v>0</v>
      </c>
      <c r="X6" s="191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hidden="1" x14ac:dyDescent="0.25">
      <c r="A7" s="192" t="s">
        <v>111</v>
      </c>
      <c r="B7" s="192"/>
      <c r="C7" s="192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2">
        <f t="shared" si="0"/>
        <v>2019</v>
      </c>
      <c r="E7" s="190" t="s">
        <v>23</v>
      </c>
      <c r="F7" s="193">
        <f ca="1"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9571125.1585832145</v>
      </c>
      <c r="G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0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3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3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2">
        <f t="shared" ca="1" si="4"/>
        <v>2569365.51571796</v>
      </c>
      <c r="O7" s="193">
        <f t="shared" si="1"/>
        <v>0</v>
      </c>
      <c r="P7" s="203">
        <f t="shared" si="5"/>
        <v>0</v>
      </c>
      <c r="Q7" s="190">
        <f>IFERROR(VLOOKUP(A7,[1]Energiindhold!$A$2:$C$11,3,FALSE),IFERROR(VLOOKUP(A7,[1]Biogasudbytte!$A$2:$B$18,2,FALSE)*[1]Energiindhold!$C$10,0))*O7</f>
        <v>0</v>
      </c>
      <c r="R7" s="190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0">
        <f>IFERROR(VLOOKUP(A7,[1]Biogasudbytte!$A$2:$B$18,2,FALSE)*[1]Energiindhold!$C$10,0)*J7*IFERROR(VLOOKUP(A7,Biogasanlæg!$F$3:$G$8,2,FALSE),1)</f>
        <v>0</v>
      </c>
      <c r="T7" s="191">
        <f t="shared" si="6"/>
        <v>0</v>
      </c>
      <c r="U7" s="189">
        <f>O7*IFERROR(VLOOKUP(A7,[1]Tørstofindhold!A$2:B$24,2,FALSE),0)</f>
        <v>0</v>
      </c>
      <c r="V7" s="190">
        <f>IF(D7=År1,P7,SUM(O7,P7))*IFERROR(VLOOKUP(A7,[1]Tørstofindhold!A$2:B$24,2,FALSE),0)</f>
        <v>0</v>
      </c>
      <c r="W7" s="190">
        <f>J7*IFERROR(VLOOKUP(A7,[1]Tørstofindhold!A$2:B$24,2,FALSE),0)</f>
        <v>0</v>
      </c>
      <c r="X7" s="191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hidden="1" x14ac:dyDescent="0.25">
      <c r="A8" s="192" t="s">
        <v>209</v>
      </c>
      <c r="B8" s="192" t="s">
        <v>231</v>
      </c>
      <c r="C8" s="192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2">
        <f t="shared" si="0"/>
        <v>2019</v>
      </c>
      <c r="E8" s="190" t="s">
        <v>23</v>
      </c>
      <c r="F8" s="193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0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3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2">
        <f t="shared" si="4"/>
        <v>0</v>
      </c>
      <c r="O8" s="193">
        <f t="shared" si="1"/>
        <v>0</v>
      </c>
      <c r="P8" s="203">
        <f t="shared" si="5"/>
        <v>0</v>
      </c>
      <c r="Q8" s="190">
        <f>IFERROR(VLOOKUP(A8,[1]Energiindhold!$A$2:$C$11,3,FALSE),IFERROR(VLOOKUP(A8,[1]Biogasudbytte!$A$2:$B$18,2,FALSE)*[1]Energiindhold!$C$10,0))*O8</f>
        <v>0</v>
      </c>
      <c r="R8" s="190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0">
        <f>IFERROR(VLOOKUP(A8,[1]Biogasudbytte!$A$2:$B$18,2,FALSE)*[1]Energiindhold!$C$10,0)*J8*IFERROR(VLOOKUP(A8,Biogasanlæg!$F$3:$G$8,2,FALSE),1)</f>
        <v>0</v>
      </c>
      <c r="T8" s="191">
        <f t="shared" si="6"/>
        <v>0</v>
      </c>
      <c r="U8" s="189">
        <f>O8*IFERROR(VLOOKUP(A8,[1]Tørstofindhold!A$2:B$24,2,FALSE),0)</f>
        <v>0</v>
      </c>
      <c r="V8" s="190">
        <f>IF(D8=År1,P8,SUM(O8,P8))*IFERROR(VLOOKUP(A8,[1]Tørstofindhold!A$2:B$24,2,FALSE),0)</f>
        <v>0</v>
      </c>
      <c r="W8" s="190">
        <f>J8*IFERROR(VLOOKUP(A8,[1]Tørstofindhold!A$2:B$24,2,FALSE),0)</f>
        <v>0</v>
      </c>
      <c r="X8" s="191">
        <f t="shared" si="7"/>
        <v>0</v>
      </c>
      <c r="Y8" s="171">
        <f t="shared" si="2"/>
        <v>0</v>
      </c>
      <c r="Z8" s="103">
        <f t="shared" si="3"/>
        <v>0</v>
      </c>
    </row>
    <row r="9" spans="1:26" hidden="1" x14ac:dyDescent="0.25">
      <c r="A9" s="190" t="s">
        <v>102</v>
      </c>
      <c r="B9" s="192" t="s">
        <v>223</v>
      </c>
      <c r="C9" s="192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2">
        <f t="shared" si="0"/>
        <v>2019</v>
      </c>
      <c r="E9" s="190" t="s">
        <v>23</v>
      </c>
      <c r="F9" s="193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2600310.0770241949</v>
      </c>
      <c r="G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0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3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2">
        <f t="shared" si="4"/>
        <v>1198807.4305444965</v>
      </c>
      <c r="O9" s="193">
        <f t="shared" si="1"/>
        <v>1198807.4305444965</v>
      </c>
      <c r="P9" s="203">
        <f>SUM(J9,L9)</f>
        <v>671194.67155029252</v>
      </c>
      <c r="Q9" s="190">
        <f>IFERROR(VLOOKUP(A9,[1]Energiindhold!$A$2:$C$11,3,FALSE),IFERROR(VLOOKUP(A9,[1]Biogasudbytte!$A$2:$B$18,2,FALSE)*[1]Energiindhold!$C$10,0))*O9</f>
        <v>2.5822312053928456</v>
      </c>
      <c r="R9" s="190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0">
        <f>IFERROR(VLOOKUP(A9,[1]Biogasudbytte!$A$2:$B$18,2,FALSE)*[1]Energiindhold!$C$10,0)*J9*IFERROR(VLOOKUP(A9,Biogasanlæg!$F$3:$G$8,2,FALSE),1)</f>
        <v>1.4457533225193302</v>
      </c>
      <c r="T9" s="191">
        <f t="shared" si="6"/>
        <v>0</v>
      </c>
      <c r="U9" s="189">
        <f>O9*IFERROR(VLOOKUP(A9,[1]Tørstofindhold!A$2:B$24,2,FALSE),0)</f>
        <v>359642.22916334897</v>
      </c>
      <c r="V9" s="190">
        <f>IF(D9=År1,P9,SUM(O9,P9))*IFERROR(VLOOKUP(A9,[1]Tørstofindhold!A$2:B$24,2,FALSE),0)</f>
        <v>201358.40146508775</v>
      </c>
      <c r="W9" s="190">
        <f>J9*IFERROR(VLOOKUP(A9,[1]Tørstofindhold!A$2:B$24,2,FALSE),0)</f>
        <v>201358.40146508775</v>
      </c>
      <c r="X9" s="191">
        <f t="shared" si="7"/>
        <v>0</v>
      </c>
      <c r="Y9" s="171">
        <f t="shared" si="2"/>
        <v>0</v>
      </c>
      <c r="Z9" s="103">
        <f t="shared" si="3"/>
        <v>1</v>
      </c>
    </row>
    <row r="10" spans="1:26" hidden="1" x14ac:dyDescent="0.25">
      <c r="A10" s="190" t="s">
        <v>205</v>
      </c>
      <c r="B10" s="192"/>
      <c r="C10" s="192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2">
        <f t="shared" si="0"/>
        <v>2019</v>
      </c>
      <c r="E10" s="190" t="s">
        <v>23</v>
      </c>
      <c r="F10" s="193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0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3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2">
        <f t="shared" si="4"/>
        <v>0</v>
      </c>
      <c r="O10" s="193">
        <f t="shared" si="1"/>
        <v>0</v>
      </c>
      <c r="P10" s="203">
        <f t="shared" si="5"/>
        <v>0</v>
      </c>
      <c r="Q10" s="190">
        <f>IFERROR(VLOOKUP(A10,[1]Energiindhold!$A$2:$C$11,3,FALSE),IFERROR(VLOOKUP(A10,[1]Biogasudbytte!$A$2:$B$18,2,FALSE)*[1]Energiindhold!$C$10,0))*O10</f>
        <v>0</v>
      </c>
      <c r="R10" s="190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0">
        <f>IFERROR(VLOOKUP(A10,[1]Biogasudbytte!$A$2:$B$18,2,FALSE)*[1]Energiindhold!$C$10,0)*J10*IFERROR(VLOOKUP(A10,Biogasanlæg!$F$3:$G$8,2,FALSE),1)</f>
        <v>0</v>
      </c>
      <c r="T10" s="191">
        <f t="shared" si="6"/>
        <v>0</v>
      </c>
      <c r="U10" s="189">
        <f>O10*IFERROR(VLOOKUP(A10,[1]Tørstofindhold!A$2:B$24,2,FALSE),0)</f>
        <v>0</v>
      </c>
      <c r="V10" s="190">
        <f>IF(D10=År1,P10,SUM(O10,P10))*IFERROR(VLOOKUP(A10,[1]Tørstofindhold!A$2:B$24,2,FALSE),0)</f>
        <v>0</v>
      </c>
      <c r="W10" s="190">
        <f>J10*IFERROR(VLOOKUP(A10,[1]Tørstofindhold!A$2:B$24,2,FALSE),0)</f>
        <v>0</v>
      </c>
      <c r="X10" s="191">
        <f t="shared" si="7"/>
        <v>0</v>
      </c>
      <c r="Y10" s="171">
        <f t="shared" si="2"/>
        <v>0</v>
      </c>
      <c r="Z10" s="103">
        <f t="shared" si="3"/>
        <v>0</v>
      </c>
    </row>
    <row r="11" spans="1:26" hidden="1" x14ac:dyDescent="0.25">
      <c r="A11" s="190" t="s">
        <v>138</v>
      </c>
      <c r="B11" s="192" t="s">
        <v>223</v>
      </c>
      <c r="C11" s="192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2">
        <f t="shared" si="0"/>
        <v>2019</v>
      </c>
      <c r="E11" s="190" t="s">
        <v>23</v>
      </c>
      <c r="F11" s="193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8207.6123560951182</v>
      </c>
      <c r="G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0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3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2">
        <f t="shared" si="4"/>
        <v>0</v>
      </c>
      <c r="O11" s="193">
        <f t="shared" si="1"/>
        <v>0</v>
      </c>
      <c r="P11" s="203">
        <f t="shared" si="5"/>
        <v>4103.8061780475591</v>
      </c>
      <c r="Q11" s="190">
        <f>IFERROR(VLOOKUP(A11,[1]Energiindhold!$A$2:$C$11,3,FALSE),IFERROR(VLOOKUP(A11,[1]Biogasudbytte!$A$2:$B$18,2,FALSE)*[1]Energiindhold!$C$10,0))*O11</f>
        <v>0</v>
      </c>
      <c r="R11" s="190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0">
        <f>IFERROR(VLOOKUP(A11,[1]Biogasudbytte!$A$2:$B$18,2,FALSE)*[1]Energiindhold!$C$10,0)*J11*IFERROR(VLOOKUP(A11,Biogasanlæg!$F$3:$G$8,2,FALSE),1)</f>
        <v>1.9299790074739866E-3</v>
      </c>
      <c r="T11" s="191">
        <f t="shared" si="6"/>
        <v>0</v>
      </c>
      <c r="U11" s="189">
        <f>O11*IFERROR(VLOOKUP(A11,[1]Tørstofindhold!A$2:B$24,2,FALSE),0)</f>
        <v>0</v>
      </c>
      <c r="V11" s="190">
        <f>IF(D11=År1,P11,SUM(O11,P11))*IFERROR(VLOOKUP(A11,[1]Tørstofindhold!A$2:B$24,2,FALSE),0)</f>
        <v>258.53978921699621</v>
      </c>
      <c r="W11" s="190">
        <f>J11*IFERROR(VLOOKUP(A11,[1]Tørstofindhold!A$2:B$24,2,FALSE),0)</f>
        <v>258.53978921699621</v>
      </c>
      <c r="X11" s="191">
        <f t="shared" si="7"/>
        <v>0</v>
      </c>
      <c r="Y11" s="171">
        <f t="shared" si="2"/>
        <v>0</v>
      </c>
      <c r="Z11" s="103">
        <f t="shared" si="3"/>
        <v>0</v>
      </c>
    </row>
    <row r="12" spans="1:26" hidden="1" x14ac:dyDescent="0.25">
      <c r="A12" s="190" t="s">
        <v>97</v>
      </c>
      <c r="B12" s="192"/>
      <c r="C12" s="192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2">
        <f t="shared" si="0"/>
        <v>2019</v>
      </c>
      <c r="E12" s="190" t="s">
        <v>23</v>
      </c>
      <c r="F12" s="193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185576.29959415729</v>
      </c>
      <c r="G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0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3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2">
        <f t="shared" si="4"/>
        <v>151426.86140259454</v>
      </c>
      <c r="O12" s="193">
        <f t="shared" si="1"/>
        <v>0</v>
      </c>
      <c r="P12" s="203">
        <f t="shared" si="5"/>
        <v>0</v>
      </c>
      <c r="Q12" s="190">
        <f>IFERROR(VLOOKUP(A12,[1]Energiindhold!$A$2:$C$11,3,FALSE),IFERROR(VLOOKUP(A12,[1]Biogasudbytte!$A$2:$B$18,2,FALSE)*[1]Energiindhold!$C$10,0))*O12</f>
        <v>0</v>
      </c>
      <c r="R12" s="190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0">
        <f>IFERROR(VLOOKUP(A12,[1]Biogasudbytte!$A$2:$B$18,2,FALSE)*[1]Energiindhold!$C$10,0)*J12*IFERROR(VLOOKUP(A12,Biogasanlæg!$F$3:$G$8,2,FALSE),1)</f>
        <v>0</v>
      </c>
      <c r="T12" s="191">
        <f t="shared" si="6"/>
        <v>0</v>
      </c>
      <c r="U12" s="189">
        <f>O12*IFERROR(VLOOKUP(A12,[1]Tørstofindhold!A$2:B$24,2,FALSE),0)</f>
        <v>0</v>
      </c>
      <c r="V12" s="190">
        <f>IF(D12=År1,P12,SUM(O12,P12))*IFERROR(VLOOKUP(A12,[1]Tørstofindhold!A$2:B$24,2,FALSE),0)</f>
        <v>0</v>
      </c>
      <c r="W12" s="190">
        <f>J12*IFERROR(VLOOKUP(A12,[1]Tørstofindhold!A$2:B$24,2,FALSE),0)</f>
        <v>0</v>
      </c>
      <c r="X12" s="191">
        <f t="shared" si="7"/>
        <v>0</v>
      </c>
      <c r="Y12" s="171">
        <f t="shared" si="2"/>
        <v>0</v>
      </c>
      <c r="Z12" s="103">
        <f t="shared" si="3"/>
        <v>1</v>
      </c>
    </row>
    <row r="13" spans="1:26" hidden="1" x14ac:dyDescent="0.25">
      <c r="A13" s="190" t="s">
        <v>114</v>
      </c>
      <c r="B13" s="192"/>
      <c r="C13" s="192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2">
        <f t="shared" si="0"/>
        <v>2019</v>
      </c>
      <c r="E13" s="190" t="s">
        <v>23</v>
      </c>
      <c r="F13" s="193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890042.58416558511</v>
      </c>
      <c r="G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0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3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2">
        <f t="shared" si="4"/>
        <v>890042.58416558511</v>
      </c>
      <c r="O13" s="193">
        <f t="shared" si="1"/>
        <v>0</v>
      </c>
      <c r="P13" s="203">
        <f t="shared" si="5"/>
        <v>0</v>
      </c>
      <c r="Q13" s="190">
        <f>IFERROR(VLOOKUP(A13,[1]Energiindhold!$A$2:$C$11,3,FALSE),IFERROR(VLOOKUP(A13,[1]Biogasudbytte!$A$2:$B$18,2,FALSE)*[1]Energiindhold!$C$10,0))*O13</f>
        <v>0</v>
      </c>
      <c r="R13" s="190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0">
        <f>IFERROR(VLOOKUP(A13,[1]Biogasudbytte!$A$2:$B$18,2,FALSE)*[1]Energiindhold!$C$10,0)*J13*IFERROR(VLOOKUP(A13,Biogasanlæg!$F$3:$G$8,2,FALSE),1)</f>
        <v>0</v>
      </c>
      <c r="T13" s="191">
        <f t="shared" si="6"/>
        <v>0</v>
      </c>
      <c r="U13" s="189">
        <f>O13*IFERROR(VLOOKUP(A13,[1]Tørstofindhold!A$2:B$24,2,FALSE),0)</f>
        <v>0</v>
      </c>
      <c r="V13" s="190">
        <f>IF(D13=År1,P13,SUM(O13,P13))*IFERROR(VLOOKUP(A13,[1]Tørstofindhold!A$2:B$24,2,FALSE),0)</f>
        <v>0</v>
      </c>
      <c r="W13" s="190">
        <f>J13*IFERROR(VLOOKUP(A13,[1]Tørstofindhold!A$2:B$24,2,FALSE),0)</f>
        <v>0</v>
      </c>
      <c r="X13" s="191">
        <f t="shared" si="7"/>
        <v>0</v>
      </c>
      <c r="Y13" s="171">
        <f t="shared" si="2"/>
        <v>0</v>
      </c>
      <c r="Z13" s="103">
        <f t="shared" si="3"/>
        <v>1</v>
      </c>
    </row>
    <row r="14" spans="1:26" hidden="1" x14ac:dyDescent="0.25">
      <c r="A14" s="190" t="s">
        <v>54</v>
      </c>
      <c r="B14" s="192"/>
      <c r="C14" s="192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2">
        <f t="shared" si="0"/>
        <v>2019</v>
      </c>
      <c r="E14" s="190" t="s">
        <v>23</v>
      </c>
      <c r="F14" s="193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25923.363510878662</v>
      </c>
      <c r="G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0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3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2">
        <f t="shared" si="4"/>
        <v>-223630.22327361835</v>
      </c>
      <c r="O14" s="193">
        <f t="shared" si="1"/>
        <v>0</v>
      </c>
      <c r="P14" s="203">
        <f t="shared" si="5"/>
        <v>0</v>
      </c>
      <c r="Q14" s="190">
        <f>IFERROR(VLOOKUP(A14,[1]Energiindhold!$A$2:$C$11,3,FALSE),IFERROR(VLOOKUP(A14,[1]Biogasudbytte!$A$2:$B$18,2,FALSE)*[1]Energiindhold!$C$10,0))*O14</f>
        <v>0</v>
      </c>
      <c r="R14" s="190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0">
        <f>IFERROR(VLOOKUP(A14,[1]Biogasudbytte!$A$2:$B$18,2,FALSE)*[1]Energiindhold!$C$10,0)*J14*IFERROR(VLOOKUP(A14,Biogasanlæg!$F$3:$G$8,2,FALSE),1)</f>
        <v>0</v>
      </c>
      <c r="T14" s="191">
        <f t="shared" si="6"/>
        <v>0</v>
      </c>
      <c r="U14" s="189">
        <f>O14*IFERROR(VLOOKUP(A14,[1]Tørstofindhold!A$2:B$24,2,FALSE),0)</f>
        <v>0</v>
      </c>
      <c r="V14" s="190">
        <f>IF(D14=År1,P14,SUM(O14,P14))*IFERROR(VLOOKUP(A14,[1]Tørstofindhold!A$2:B$24,2,FALSE),0)</f>
        <v>0</v>
      </c>
      <c r="W14" s="190">
        <f>J14*IFERROR(VLOOKUP(A14,[1]Tørstofindhold!A$2:B$24,2,FALSE),0)</f>
        <v>0</v>
      </c>
      <c r="X14" s="191">
        <f t="shared" si="7"/>
        <v>0</v>
      </c>
      <c r="Y14" s="171">
        <f t="shared" si="2"/>
        <v>1</v>
      </c>
      <c r="Z14" s="103">
        <f t="shared" si="3"/>
        <v>0</v>
      </c>
    </row>
    <row r="15" spans="1:26" hidden="1" x14ac:dyDescent="0.25">
      <c r="A15" s="192" t="s">
        <v>159</v>
      </c>
      <c r="B15" s="192" t="s">
        <v>159</v>
      </c>
      <c r="C15" s="192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2">
        <f t="shared" si="0"/>
        <v>2019</v>
      </c>
      <c r="E15" s="190" t="s">
        <v>23</v>
      </c>
      <c r="F15" s="193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0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3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2">
        <f t="shared" si="4"/>
        <v>-114193.60000000001</v>
      </c>
      <c r="O15" s="193">
        <f t="shared" si="1"/>
        <v>0</v>
      </c>
      <c r="P15" s="203">
        <f t="shared" si="5"/>
        <v>114193.60000000001</v>
      </c>
      <c r="Q15" s="190">
        <f>IFERROR(VLOOKUP(A15,[1]Energiindhold!$A$2:$C$11,3,FALSE),IFERROR(VLOOKUP(A15,[1]Biogasudbytte!$A$2:$B$18,2,FALSE)*[1]Energiindhold!$C$10,0))*O15</f>
        <v>0</v>
      </c>
      <c r="R15" s="190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0">
        <f>IFERROR(VLOOKUP(A15,[1]Biogasudbytte!$A$2:$B$18,2,FALSE)*[1]Energiindhold!$C$10,0)*J15*IFERROR(VLOOKUP(A15,Biogasanlæg!$F$3:$G$8,2,FALSE),1)</f>
        <v>1.7355855896064003</v>
      </c>
      <c r="T15" s="191">
        <f t="shared" si="6"/>
        <v>0</v>
      </c>
      <c r="U15" s="189">
        <f>O15*IFERROR(VLOOKUP(A15,[1]Tørstofindhold!A$2:B$24,2,FALSE),0)</f>
        <v>0</v>
      </c>
      <c r="V15" s="190">
        <f>IF(D15=År1,P15,SUM(O15,P15))*IFERROR(VLOOKUP(A15,[1]Tørstofindhold!A$2:B$24,2,FALSE),0)</f>
        <v>102774.24</v>
      </c>
      <c r="W15" s="190">
        <f>J15*IFERROR(VLOOKUP(A15,[1]Tørstofindhold!A$2:B$24,2,FALSE),0)</f>
        <v>102774.24</v>
      </c>
      <c r="X15" s="191">
        <f t="shared" si="7"/>
        <v>0</v>
      </c>
      <c r="Y15" s="171">
        <f t="shared" si="2"/>
        <v>1</v>
      </c>
      <c r="Z15" s="103">
        <f t="shared" si="3"/>
        <v>0</v>
      </c>
    </row>
    <row r="16" spans="1:26" hidden="1" x14ac:dyDescent="0.25">
      <c r="A16" s="192" t="s">
        <v>51</v>
      </c>
      <c r="B16" s="192" t="s">
        <v>225</v>
      </c>
      <c r="C16" s="192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2">
        <f t="shared" ref="D16:D50" si="8">År1</f>
        <v>2019</v>
      </c>
      <c r="E16" s="190" t="s">
        <v>23</v>
      </c>
      <c r="F16" s="193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15863611.568544758</v>
      </c>
      <c r="G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0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3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2">
        <f t="shared" ref="N16:N81" si="9">F16-SUM(G16:M16)</f>
        <v>3550175.4953867961</v>
      </c>
      <c r="O16" s="193">
        <f t="shared" si="1"/>
        <v>3550175.4953867961</v>
      </c>
      <c r="P16" s="203">
        <f t="shared" ref="P16:P81" si="10">SUM(J16,L16)</f>
        <v>75746.163899662715</v>
      </c>
      <c r="Q16" s="190">
        <f>IFERROR(VLOOKUP(A16,[1]Energiindhold!$A$2:$C$11,3,FALSE),IFERROR(VLOOKUP(A16,[1]Biogasudbytte!$A$2:$B$18,2,FALSE)*[1]Energiindhold!$C$10,0))*O16</f>
        <v>6.5318791395747819</v>
      </c>
      <c r="R16" s="190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0">
        <f>IFERROR(VLOOKUP(A16,[1]Biogasudbytte!$A$2:$B$18,2,FALSE)*[1]Energiindhold!$C$10,0)*J16*IFERROR(VLOOKUP(A16,Biogasanlæg!$F$3:$G$8,2,FALSE),1)</f>
        <v>0.13936347330489193</v>
      </c>
      <c r="T16" s="191">
        <f t="shared" ref="T16:T81" si="11">R16-S16</f>
        <v>0</v>
      </c>
      <c r="U16" s="189">
        <f>O16*IFERROR(VLOOKUP(A16,[1]Tørstofindhold!A$2:B$24,2,FALSE),0)</f>
        <v>994049.13870830298</v>
      </c>
      <c r="V16" s="190">
        <f>IF(D16=År1,P16,SUM(O16,P16))*IFERROR(VLOOKUP(A16,[1]Tørstofindhold!A$2:B$24,2,FALSE),0)</f>
        <v>21208.925891905561</v>
      </c>
      <c r="W16" s="190">
        <f>J16*IFERROR(VLOOKUP(A16,[1]Tørstofindhold!A$2:B$24,2,FALSE),0)</f>
        <v>21208.925891905561</v>
      </c>
      <c r="X16" s="191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hidden="1" x14ac:dyDescent="0.25">
      <c r="A17" s="192" t="s">
        <v>204</v>
      </c>
      <c r="B17" s="192"/>
      <c r="C17" s="192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2">
        <f t="shared" si="8"/>
        <v>2019</v>
      </c>
      <c r="E17" s="190" t="s">
        <v>23</v>
      </c>
      <c r="F17" s="193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0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3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2">
        <f t="shared" si="9"/>
        <v>0</v>
      </c>
      <c r="O17" s="193">
        <f t="shared" si="1"/>
        <v>0</v>
      </c>
      <c r="P17" s="203">
        <f t="shared" si="10"/>
        <v>0</v>
      </c>
      <c r="Q17" s="190">
        <f>IFERROR(VLOOKUP(A17,[1]Energiindhold!$A$2:$C$11,3,FALSE),IFERROR(VLOOKUP(A17,[1]Biogasudbytte!$A$2:$B$18,2,FALSE)*[1]Energiindhold!$C$10,0))*O17</f>
        <v>0</v>
      </c>
      <c r="R17" s="190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0">
        <f>IFERROR(VLOOKUP(A17,[1]Biogasudbytte!$A$2:$B$18,2,FALSE)*[1]Energiindhold!$C$10,0)*J17*IFERROR(VLOOKUP(A17,Biogasanlæg!$F$3:$G$8,2,FALSE),1)</f>
        <v>0</v>
      </c>
      <c r="T17" s="191">
        <f t="shared" si="11"/>
        <v>0</v>
      </c>
      <c r="U17" s="189">
        <f>O17*IFERROR(VLOOKUP(A17,[1]Tørstofindhold!A$2:B$24,2,FALSE),0)</f>
        <v>0</v>
      </c>
      <c r="V17" s="190">
        <f>IF(D17=År1,P17,SUM(O17,P17))*IFERROR(VLOOKUP(A17,[1]Tørstofindhold!A$2:B$24,2,FALSE),0)</f>
        <v>0</v>
      </c>
      <c r="W17" s="190">
        <f>J17*IFERROR(VLOOKUP(A17,[1]Tørstofindhold!A$2:B$24,2,FALSE),0)</f>
        <v>0</v>
      </c>
      <c r="X17" s="191">
        <f t="shared" si="12"/>
        <v>0</v>
      </c>
      <c r="Y17" s="171">
        <f t="shared" si="2"/>
        <v>0</v>
      </c>
      <c r="Z17" s="103">
        <f t="shared" si="3"/>
        <v>0</v>
      </c>
    </row>
    <row r="18" spans="1:26" hidden="1" x14ac:dyDescent="0.25">
      <c r="A18" s="192" t="s">
        <v>6</v>
      </c>
      <c r="B18" s="192"/>
      <c r="C18" s="192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2">
        <f t="shared" si="8"/>
        <v>2019</v>
      </c>
      <c r="E18" s="190" t="s">
        <v>23</v>
      </c>
      <c r="F18" s="193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184529.62070571107</v>
      </c>
      <c r="G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0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3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2">
        <f t="shared" si="9"/>
        <v>-76844.925452788419</v>
      </c>
      <c r="O18" s="193">
        <f t="shared" si="1"/>
        <v>0</v>
      </c>
      <c r="P18" s="203">
        <f t="shared" si="10"/>
        <v>0</v>
      </c>
      <c r="Q18" s="190">
        <f>IFERROR(VLOOKUP(A18,[1]Energiindhold!$A$2:$C$11,3,FALSE),IFERROR(VLOOKUP(A18,[1]Biogasudbytte!$A$2:$B$18,2,FALSE)*[1]Energiindhold!$C$10,0))*O18</f>
        <v>0</v>
      </c>
      <c r="R18" s="190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0">
        <f>IFERROR(VLOOKUP(A18,[1]Biogasudbytte!$A$2:$B$18,2,FALSE)*[1]Energiindhold!$C$10,0)*J18*IFERROR(VLOOKUP(A18,Biogasanlæg!$F$3:$G$8,2,FALSE),1)</f>
        <v>0</v>
      </c>
      <c r="T18" s="191">
        <f t="shared" si="11"/>
        <v>0</v>
      </c>
      <c r="U18" s="189">
        <f>O18*IFERROR(VLOOKUP(A18,[1]Tørstofindhold!A$2:B$24,2,FALSE),0)</f>
        <v>0</v>
      </c>
      <c r="V18" s="190">
        <f>IF(D18=År1,P18,SUM(O18,P18))*IFERROR(VLOOKUP(A18,[1]Tørstofindhold!A$2:B$24,2,FALSE),0)</f>
        <v>0</v>
      </c>
      <c r="W18" s="190">
        <f>J18*IFERROR(VLOOKUP(A18,[1]Tørstofindhold!A$2:B$24,2,FALSE),0)</f>
        <v>0</v>
      </c>
      <c r="X18" s="191">
        <f t="shared" si="12"/>
        <v>0</v>
      </c>
      <c r="Y18" s="171">
        <f t="shared" si="2"/>
        <v>1</v>
      </c>
      <c r="Z18" s="103">
        <f t="shared" si="3"/>
        <v>0</v>
      </c>
    </row>
    <row r="19" spans="1:26" hidden="1" x14ac:dyDescent="0.25">
      <c r="A19" s="192" t="s">
        <v>68</v>
      </c>
      <c r="B19" s="192" t="s">
        <v>228</v>
      </c>
      <c r="C19" s="192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2">
        <f t="shared" si="8"/>
        <v>2019</v>
      </c>
      <c r="E19" s="190" t="s">
        <v>23</v>
      </c>
      <c r="F19" s="193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2714031.9406148358</v>
      </c>
      <c r="G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0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728216.84089200001</v>
      </c>
      <c r="I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3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2">
        <f t="shared" si="9"/>
        <v>0</v>
      </c>
      <c r="O19" s="193">
        <f t="shared" si="1"/>
        <v>0</v>
      </c>
      <c r="P19" s="203">
        <f t="shared" si="10"/>
        <v>1212729.2061799087</v>
      </c>
      <c r="Q19" s="190">
        <f>IFERROR(VLOOKUP(A19,[1]Energiindhold!$A$2:$C$11,3,FALSE),IFERROR(VLOOKUP(A19,[1]Biogasudbytte!$A$2:$B$18,2,FALSE)*[1]Energiindhold!$C$10,0))*O19</f>
        <v>0</v>
      </c>
      <c r="R19" s="190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0">
        <f>IFERROR(VLOOKUP(A19,[1]Biogasudbytte!$A$2:$B$18,2,FALSE)*[1]Energiindhold!$C$10,0)*J19*IFERROR(VLOOKUP(A19,Biogasanlæg!$F$3:$G$8,2,FALSE),1)</f>
        <v>0.3063744116894675</v>
      </c>
      <c r="T19" s="191">
        <f t="shared" si="11"/>
        <v>11.985300912376998</v>
      </c>
      <c r="U19" s="189">
        <f>O19*IFERROR(VLOOKUP(A19,[1]Tørstofindhold!A$2:B$24,2,FALSE),0)</f>
        <v>0</v>
      </c>
      <c r="V19" s="190">
        <f>IF(D19=År1,P19,SUM(O19,P19))*IFERROR(VLOOKUP(A19,[1]Tørstofindhold!A$2:B$24,2,FALSE),0)</f>
        <v>1030819.8252529224</v>
      </c>
      <c r="W19" s="190">
        <f>J19*IFERROR(VLOOKUP(A19,[1]Tørstofindhold!A$2:B$24,2,FALSE),0)</f>
        <v>45168.058835086973</v>
      </c>
      <c r="X19" s="191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hidden="1" x14ac:dyDescent="0.25">
      <c r="A20" s="192" t="s">
        <v>163</v>
      </c>
      <c r="B20" s="192" t="s">
        <v>231</v>
      </c>
      <c r="C20" s="192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2">
        <f t="shared" si="8"/>
        <v>2019</v>
      </c>
      <c r="E20" s="190" t="s">
        <v>23</v>
      </c>
      <c r="F20" s="193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530462.48766233202</v>
      </c>
      <c r="G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0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3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2">
        <f t="shared" si="9"/>
        <v>0</v>
      </c>
      <c r="O20" s="193">
        <f t="shared" si="1"/>
        <v>0</v>
      </c>
      <c r="P20" s="203">
        <f t="shared" si="10"/>
        <v>530462.48766233202</v>
      </c>
      <c r="Q20" s="190">
        <f>IFERROR(VLOOKUP(A20,[1]Energiindhold!$A$2:$C$11,3,FALSE),IFERROR(VLOOKUP(A20,[1]Biogasudbytte!$A$2:$B$18,2,FALSE)*[1]Energiindhold!$C$10,0))*O20</f>
        <v>0</v>
      </c>
      <c r="R20" s="190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0">
        <f>IFERROR(VLOOKUP(A20,[1]Biogasudbytte!$A$2:$B$18,2,FALSE)*[1]Energiindhold!$C$10,0)*J20*IFERROR(VLOOKUP(A20,Biogasanlæg!$F$3:$G$8,2,FALSE),1)</f>
        <v>7.148842760000421E-5</v>
      </c>
      <c r="T20" s="191">
        <f t="shared" si="11"/>
        <v>9.4691817325671721</v>
      </c>
      <c r="U20" s="189">
        <f>O20*IFERROR(VLOOKUP(A20,[1]Tørstofindhold!A$2:B$24,2,FALSE),0)</f>
        <v>0</v>
      </c>
      <c r="V20" s="190">
        <f>IF(D20=År1,P20,SUM(O20,P20))*IFERROR(VLOOKUP(A20,[1]Tørstofindhold!A$2:B$24,2,FALSE),0)</f>
        <v>159138.74629869961</v>
      </c>
      <c r="W20" s="190">
        <f>J20*IFERROR(VLOOKUP(A20,[1]Tørstofindhold!A$2:B$24,2,FALSE),0)</f>
        <v>12.629943571231609</v>
      </c>
      <c r="X20" s="191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hidden="1" x14ac:dyDescent="0.25">
      <c r="A21" s="190" t="s">
        <v>160</v>
      </c>
      <c r="B21" s="192"/>
      <c r="C21" s="192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2">
        <f t="shared" si="8"/>
        <v>2019</v>
      </c>
      <c r="E21" s="190" t="s">
        <v>23</v>
      </c>
      <c r="F21" s="193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0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3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2">
        <f t="shared" si="9"/>
        <v>-4828427.5390456235</v>
      </c>
      <c r="O21" s="193">
        <f t="shared" si="1"/>
        <v>0</v>
      </c>
      <c r="P21" s="203">
        <f t="shared" si="10"/>
        <v>0</v>
      </c>
      <c r="Q21" s="190">
        <f>IFERROR(VLOOKUP(A21,[1]Energiindhold!$A$2:$C$11,3,FALSE),IFERROR(VLOOKUP(A21,[1]Biogasudbytte!$A$2:$B$18,2,FALSE)*[1]Energiindhold!$C$10,0))*O21</f>
        <v>0</v>
      </c>
      <c r="R21" s="190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0">
        <f>IFERROR(VLOOKUP(A21,[1]Biogasudbytte!$A$2:$B$18,2,FALSE)*[1]Energiindhold!$C$10,0)*J21*IFERROR(VLOOKUP(A21,Biogasanlæg!$F$3:$G$8,2,FALSE),1)</f>
        <v>0</v>
      </c>
      <c r="T21" s="191">
        <f t="shared" si="11"/>
        <v>0</v>
      </c>
      <c r="U21" s="189">
        <f>O21*IFERROR(VLOOKUP(A21,[1]Tørstofindhold!A$2:B$24,2,FALSE),0)</f>
        <v>0</v>
      </c>
      <c r="V21" s="190">
        <f>IF(D21=År1,P21,SUM(O21,P21))*IFERROR(VLOOKUP(A21,[1]Tørstofindhold!A$2:B$24,2,FALSE),0)</f>
        <v>0</v>
      </c>
      <c r="W21" s="190">
        <f>J21*IFERROR(VLOOKUP(A21,[1]Tørstofindhold!A$2:B$24,2,FALSE),0)</f>
        <v>0</v>
      </c>
      <c r="X21" s="191">
        <f t="shared" si="12"/>
        <v>0</v>
      </c>
      <c r="Y21" s="171">
        <f t="shared" si="2"/>
        <v>1</v>
      </c>
      <c r="Z21" s="103">
        <f t="shared" si="3"/>
        <v>0</v>
      </c>
    </row>
    <row r="22" spans="1:26" hidden="1" x14ac:dyDescent="0.25">
      <c r="A22" s="192" t="s">
        <v>104</v>
      </c>
      <c r="B22" s="192" t="s">
        <v>231</v>
      </c>
      <c r="C22" s="192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2">
        <f t="shared" si="8"/>
        <v>2019</v>
      </c>
      <c r="E22" s="190" t="s">
        <v>23</v>
      </c>
      <c r="F22" s="193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513042.22037196398</v>
      </c>
      <c r="G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0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3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2">
        <f t="shared" si="9"/>
        <v>-203061.53166372905</v>
      </c>
      <c r="O22" s="193">
        <f t="shared" si="1"/>
        <v>0</v>
      </c>
      <c r="P22" s="203">
        <f t="shared" si="10"/>
        <v>716103.75203569303</v>
      </c>
      <c r="Q22" s="190">
        <f>IFERROR(VLOOKUP(A22,[1]Energiindhold!$A$2:$C$11,3,FALSE),IFERROR(VLOOKUP(A22,[1]Biogasudbytte!$A$2:$B$18,2,FALSE)*[1]Energiindhold!$C$10,0))*O22</f>
        <v>0</v>
      </c>
      <c r="R22" s="190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0">
        <f>IFERROR(VLOOKUP(A22,[1]Biogasudbytte!$A$2:$B$18,2,FALSE)*[1]Energiindhold!$C$10,0)*J22*IFERROR(VLOOKUP(A22,Biogasanlæg!$F$3:$G$8,2,FALSE),1)</f>
        <v>2.637525053399659</v>
      </c>
      <c r="T22" s="191">
        <f t="shared" si="11"/>
        <v>0</v>
      </c>
      <c r="U22" s="189">
        <f>O22*IFERROR(VLOOKUP(A22,[1]Tørstofindhold!A$2:B$24,2,FALSE),0)</f>
        <v>0</v>
      </c>
      <c r="V22" s="190">
        <f>IF(D22=År1,P22,SUM(O22,P22))*IFERROR(VLOOKUP(A22,[1]Tørstofindhold!A$2:B$24,2,FALSE),0)</f>
        <v>300763.57585499104</v>
      </c>
      <c r="W22" s="190">
        <f>J22*IFERROR(VLOOKUP(A22,[1]Tørstofindhold!A$2:B$24,2,FALSE),0)</f>
        <v>300763.57585499104</v>
      </c>
      <c r="X22" s="191">
        <f t="shared" si="12"/>
        <v>0</v>
      </c>
      <c r="Y22" s="171">
        <f t="shared" si="2"/>
        <v>1</v>
      </c>
      <c r="Z22" s="103">
        <f t="shared" si="3"/>
        <v>0</v>
      </c>
    </row>
    <row r="23" spans="1:26" hidden="1" x14ac:dyDescent="0.25">
      <c r="A23" s="192" t="s">
        <v>56</v>
      </c>
      <c r="B23" s="192"/>
      <c r="C23" s="192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2">
        <f t="shared" si="8"/>
        <v>2019</v>
      </c>
      <c r="E23" s="190" t="s">
        <v>23</v>
      </c>
      <c r="F23" s="193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765723.03528474667</v>
      </c>
      <c r="G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0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3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2">
        <f t="shared" si="9"/>
        <v>765723.03528474667</v>
      </c>
      <c r="O23" s="193">
        <f t="shared" si="1"/>
        <v>0</v>
      </c>
      <c r="P23" s="203">
        <f t="shared" si="10"/>
        <v>0</v>
      </c>
      <c r="Q23" s="190">
        <f>IFERROR(VLOOKUP(A23,[1]Energiindhold!$A$2:$C$11,3,FALSE),IFERROR(VLOOKUP(A23,[1]Biogasudbytte!$A$2:$B$18,2,FALSE)*[1]Energiindhold!$C$10,0))*O23</f>
        <v>0</v>
      </c>
      <c r="R23" s="190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0">
        <f>IFERROR(VLOOKUP(A23,[1]Biogasudbytte!$A$2:$B$18,2,FALSE)*[1]Energiindhold!$C$10,0)*J23*IFERROR(VLOOKUP(A23,Biogasanlæg!$F$3:$G$8,2,FALSE),1)</f>
        <v>0</v>
      </c>
      <c r="T23" s="191">
        <f t="shared" si="11"/>
        <v>0</v>
      </c>
      <c r="U23" s="189">
        <f>O23*IFERROR(VLOOKUP(A23,[1]Tørstofindhold!A$2:B$24,2,FALSE),0)</f>
        <v>0</v>
      </c>
      <c r="V23" s="190">
        <f>IF(D23=År1,P23,SUM(O23,P23))*IFERROR(VLOOKUP(A23,[1]Tørstofindhold!A$2:B$24,2,FALSE),0)</f>
        <v>0</v>
      </c>
      <c r="W23" s="190">
        <f>J23*IFERROR(VLOOKUP(A23,[1]Tørstofindhold!A$2:B$24,2,FALSE),0)</f>
        <v>0</v>
      </c>
      <c r="X23" s="191">
        <f t="shared" si="12"/>
        <v>0</v>
      </c>
      <c r="Y23" s="171">
        <f t="shared" si="2"/>
        <v>0</v>
      </c>
      <c r="Z23" s="103">
        <f t="shared" si="3"/>
        <v>1</v>
      </c>
    </row>
    <row r="24" spans="1:26" hidden="1" x14ac:dyDescent="0.25">
      <c r="A24" s="192" t="s">
        <v>12</v>
      </c>
      <c r="B24" s="192"/>
      <c r="C24" s="192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2">
        <f t="shared" si="8"/>
        <v>2019</v>
      </c>
      <c r="E24" s="190" t="s">
        <v>23</v>
      </c>
      <c r="F24" s="193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2145904.0489790672</v>
      </c>
      <c r="G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0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3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2">
        <f t="shared" si="9"/>
        <v>2026381.0153085976</v>
      </c>
      <c r="O24" s="193">
        <f t="shared" si="1"/>
        <v>0</v>
      </c>
      <c r="P24" s="203">
        <f t="shared" si="10"/>
        <v>0</v>
      </c>
      <c r="Q24" s="190">
        <f>IFERROR(VLOOKUP(A24,[1]Energiindhold!$A$2:$C$11,3,FALSE),IFERROR(VLOOKUP(A24,[1]Biogasudbytte!$A$2:$B$18,2,FALSE)*[1]Energiindhold!$C$10,0))*O24</f>
        <v>0</v>
      </c>
      <c r="R24" s="190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0">
        <f>IFERROR(VLOOKUP(A24,[1]Biogasudbytte!$A$2:$B$18,2,FALSE)*[1]Energiindhold!$C$10,0)*J24*IFERROR(VLOOKUP(A24,Biogasanlæg!$F$3:$G$8,2,FALSE),1)</f>
        <v>0</v>
      </c>
      <c r="T24" s="191">
        <f t="shared" si="11"/>
        <v>0</v>
      </c>
      <c r="U24" s="189">
        <f>O24*IFERROR(VLOOKUP(A24,[1]Tørstofindhold!A$2:B$24,2,FALSE),0)</f>
        <v>0</v>
      </c>
      <c r="V24" s="190">
        <f>IF(D24=År1,P24,SUM(O24,P24))*IFERROR(VLOOKUP(A24,[1]Tørstofindhold!A$2:B$24,2,FALSE),0)</f>
        <v>0</v>
      </c>
      <c r="W24" s="190">
        <f>J24*IFERROR(VLOOKUP(A24,[1]Tørstofindhold!A$2:B$24,2,FALSE),0)</f>
        <v>0</v>
      </c>
      <c r="X24" s="191">
        <f t="shared" si="12"/>
        <v>0</v>
      </c>
      <c r="Y24" s="171">
        <f t="shared" si="2"/>
        <v>0</v>
      </c>
      <c r="Z24" s="103">
        <f t="shared" si="3"/>
        <v>1</v>
      </c>
    </row>
    <row r="25" spans="1:26" hidden="1" x14ac:dyDescent="0.25">
      <c r="A25" s="192" t="s">
        <v>48</v>
      </c>
      <c r="B25" s="192" t="s">
        <v>228</v>
      </c>
      <c r="C25" s="192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2">
        <f t="shared" si="8"/>
        <v>2019</v>
      </c>
      <c r="E25" s="190" t="s">
        <v>23</v>
      </c>
      <c r="F25" s="193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6833990.0005322779</v>
      </c>
      <c r="G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0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3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2">
        <f t="shared" si="9"/>
        <v>665604.70837060641</v>
      </c>
      <c r="O25" s="193">
        <f t="shared" si="1"/>
        <v>665604.70837060641</v>
      </c>
      <c r="P25" s="203">
        <f t="shared" si="10"/>
        <v>2840.1853290986264</v>
      </c>
      <c r="Q25" s="190">
        <f>IFERROR(VLOOKUP(A25,[1]Energiindhold!$A$2:$C$11,3,FALSE),IFERROR(VLOOKUP(A25,[1]Biogasudbytte!$A$2:$B$18,2,FALSE)*[1]Energiindhold!$C$10,0))*O25</f>
        <v>2.2796029415101553</v>
      </c>
      <c r="R25" s="190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0">
        <f>IFERROR(VLOOKUP(A25,[1]Biogasudbytte!$A$2:$B$18,2,FALSE)*[1]Energiindhold!$C$10,0)*J25*IFERROR(VLOOKUP(A25,Biogasanlæg!$F$3:$G$8,2,FALSE),1)</f>
        <v>9.7272371262167243E-3</v>
      </c>
      <c r="T25" s="191">
        <f t="shared" si="11"/>
        <v>0</v>
      </c>
      <c r="U25" s="189">
        <f>O25*IFERROR(VLOOKUP(A25,[1]Tørstofindhold!A$2:B$24,2,FALSE),0)</f>
        <v>206337.459594888</v>
      </c>
      <c r="V25" s="190">
        <f>IF(D25=År1,P25,SUM(O25,P25))*IFERROR(VLOOKUP(A25,[1]Tørstofindhold!A$2:B$24,2,FALSE),0)</f>
        <v>880.45745202057424</v>
      </c>
      <c r="W25" s="190">
        <f>J25*IFERROR(VLOOKUP(A25,[1]Tørstofindhold!A$2:B$24,2,FALSE),0)</f>
        <v>880.45745202057424</v>
      </c>
      <c r="X25" s="191">
        <f t="shared" si="12"/>
        <v>0</v>
      </c>
      <c r="Y25" s="171">
        <f t="shared" si="2"/>
        <v>0</v>
      </c>
      <c r="Z25" s="103">
        <f t="shared" si="3"/>
        <v>1</v>
      </c>
    </row>
    <row r="26" spans="1:26" hidden="1" x14ac:dyDescent="0.25">
      <c r="A26" s="192" t="s">
        <v>116</v>
      </c>
      <c r="B26" s="192"/>
      <c r="C26" s="192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2">
        <f t="shared" si="8"/>
        <v>2019</v>
      </c>
      <c r="E26" s="190" t="s">
        <v>23</v>
      </c>
      <c r="F26" s="193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0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3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3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2">
        <f t="shared" ca="1" si="9"/>
        <v>-567745.18896312197</v>
      </c>
      <c r="O26" s="193">
        <f t="shared" si="1"/>
        <v>0</v>
      </c>
      <c r="P26" s="203">
        <f t="shared" si="10"/>
        <v>0</v>
      </c>
      <c r="Q26" s="190">
        <f>IFERROR(VLOOKUP(A26,[1]Energiindhold!$A$2:$C$11,3,FALSE),IFERROR(VLOOKUP(A26,[1]Biogasudbytte!$A$2:$B$18,2,FALSE)*[1]Energiindhold!$C$10,0))*O26</f>
        <v>0</v>
      </c>
      <c r="R26" s="190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0">
        <f>IFERROR(VLOOKUP(A26,[1]Biogasudbytte!$A$2:$B$18,2,FALSE)*[1]Energiindhold!$C$10,0)*J26*IFERROR(VLOOKUP(A26,Biogasanlæg!$F$3:$G$8,2,FALSE),1)</f>
        <v>0</v>
      </c>
      <c r="T26" s="191">
        <f t="shared" si="11"/>
        <v>0</v>
      </c>
      <c r="U26" s="189">
        <f>O26*IFERROR(VLOOKUP(A26,[1]Tørstofindhold!A$2:B$24,2,FALSE),0)</f>
        <v>0</v>
      </c>
      <c r="V26" s="190">
        <f>IF(D26=År1,P26,SUM(O26,P26))*IFERROR(VLOOKUP(A26,[1]Tørstofindhold!A$2:B$24,2,FALSE),0)</f>
        <v>0</v>
      </c>
      <c r="W26" s="190">
        <f>J26*IFERROR(VLOOKUP(A26,[1]Tørstofindhold!A$2:B$24,2,FALSE),0)</f>
        <v>0</v>
      </c>
      <c r="X26" s="191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hidden="1" x14ac:dyDescent="0.25">
      <c r="A27" s="192" t="s">
        <v>137</v>
      </c>
      <c r="B27" s="192" t="s">
        <v>223</v>
      </c>
      <c r="C27" s="192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2">
        <f t="shared" si="8"/>
        <v>2019</v>
      </c>
      <c r="E27" s="190" t="s">
        <v>23</v>
      </c>
      <c r="F27" s="193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13124915.780770566</v>
      </c>
      <c r="G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0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3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2">
        <f t="shared" si="9"/>
        <v>0</v>
      </c>
      <c r="O27" s="193">
        <f t="shared" si="1"/>
        <v>0</v>
      </c>
      <c r="P27" s="203">
        <f t="shared" si="10"/>
        <v>4066864.6068164087</v>
      </c>
      <c r="Q27" s="190">
        <f>IFERROR(VLOOKUP(A27,[1]Energiindhold!$A$2:$C$11,3,FALSE),IFERROR(VLOOKUP(A27,[1]Biogasudbytte!$A$2:$B$18,2,FALSE)*[1]Energiindhold!$C$10,0))*O27</f>
        <v>0</v>
      </c>
      <c r="R27" s="190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0">
        <f>IFERROR(VLOOKUP(A27,[1]Biogasudbytte!$A$2:$B$18,2,FALSE)*[1]Energiindhold!$C$10,0)*J27*IFERROR(VLOOKUP(A27,Biogasanlæg!$F$3:$G$8,2,FALSE),1)</f>
        <v>2.0586061953243981</v>
      </c>
      <c r="T27" s="191">
        <f t="shared" si="11"/>
        <v>0</v>
      </c>
      <c r="U27" s="189">
        <f>O27*IFERROR(VLOOKUP(A27,[1]Tørstofindhold!A$2:B$24,2,FALSE),0)</f>
        <v>0</v>
      </c>
      <c r="V27" s="190">
        <f>IF(D27=År1,P27,SUM(O27,P27))*IFERROR(VLOOKUP(A27,[1]Tørstofindhold!A$2:B$24,2,FALSE),0)</f>
        <v>309081.71011804708</v>
      </c>
      <c r="W27" s="190">
        <f>J27*IFERROR(VLOOKUP(A27,[1]Tørstofindhold!A$2:B$24,2,FALSE),0)</f>
        <v>309081.71011804708</v>
      </c>
      <c r="X27" s="191">
        <f t="shared" si="12"/>
        <v>0</v>
      </c>
      <c r="Y27" s="171">
        <f t="shared" si="2"/>
        <v>0</v>
      </c>
      <c r="Z27" s="103">
        <f t="shared" si="3"/>
        <v>0</v>
      </c>
    </row>
    <row r="28" spans="1:26" hidden="1" x14ac:dyDescent="0.25">
      <c r="A28" s="192" t="s">
        <v>109</v>
      </c>
      <c r="B28" s="192"/>
      <c r="C28" s="192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2">
        <f t="shared" si="8"/>
        <v>2019</v>
      </c>
      <c r="E28" s="190" t="s">
        <v>23</v>
      </c>
      <c r="F28" s="193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1638157.7192038004</v>
      </c>
      <c r="G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0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3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2">
        <f t="shared" si="9"/>
        <v>122443.54553678865</v>
      </c>
      <c r="O28" s="193">
        <f t="shared" si="1"/>
        <v>0</v>
      </c>
      <c r="P28" s="203">
        <f t="shared" si="10"/>
        <v>0</v>
      </c>
      <c r="Q28" s="190">
        <f>IFERROR(VLOOKUP(A28,[1]Energiindhold!$A$2:$C$11,3,FALSE),IFERROR(VLOOKUP(A28,[1]Biogasudbytte!$A$2:$B$18,2,FALSE)*[1]Energiindhold!$C$10,0))*O28</f>
        <v>0</v>
      </c>
      <c r="R28" s="190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0">
        <f>IFERROR(VLOOKUP(A28,[1]Biogasudbytte!$A$2:$B$18,2,FALSE)*[1]Energiindhold!$C$10,0)*J28*IFERROR(VLOOKUP(A28,Biogasanlæg!$F$3:$G$8,2,FALSE),1)</f>
        <v>0</v>
      </c>
      <c r="T28" s="191">
        <f t="shared" si="11"/>
        <v>0</v>
      </c>
      <c r="U28" s="189">
        <f>O28*IFERROR(VLOOKUP(A28,[1]Tørstofindhold!A$2:B$24,2,FALSE),0)</f>
        <v>0</v>
      </c>
      <c r="V28" s="190">
        <f>IF(D28=År1,P28,SUM(O28,P28))*IFERROR(VLOOKUP(A28,[1]Tørstofindhold!A$2:B$24,2,FALSE),0)</f>
        <v>0</v>
      </c>
      <c r="W28" s="190">
        <f>J28*IFERROR(VLOOKUP(A28,[1]Tørstofindhold!A$2:B$24,2,FALSE),0)</f>
        <v>0</v>
      </c>
      <c r="X28" s="191">
        <f t="shared" si="12"/>
        <v>0</v>
      </c>
      <c r="Y28" s="171">
        <f t="shared" si="2"/>
        <v>0</v>
      </c>
      <c r="Z28" s="103">
        <f t="shared" si="3"/>
        <v>1</v>
      </c>
    </row>
    <row r="29" spans="1:26" hidden="1" x14ac:dyDescent="0.25">
      <c r="A29" s="190" t="s">
        <v>53</v>
      </c>
      <c r="B29" s="192" t="s">
        <v>225</v>
      </c>
      <c r="C29" s="192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2">
        <f t="shared" si="8"/>
        <v>2019</v>
      </c>
      <c r="E29" s="190" t="s">
        <v>23</v>
      </c>
      <c r="F29" s="193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7581538.5357748987</v>
      </c>
      <c r="G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0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3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2">
        <f t="shared" si="9"/>
        <v>1609663.314373374</v>
      </c>
      <c r="O29" s="193">
        <f t="shared" si="1"/>
        <v>1266262.2462674922</v>
      </c>
      <c r="P29" s="203">
        <f t="shared" si="10"/>
        <v>314821.43493156106</v>
      </c>
      <c r="Q29" s="190">
        <f>IFERROR(VLOOKUP(A29,[1]Energiindhold!$A$2:$C$11,3,FALSE),IFERROR(VLOOKUP(A29,[1]Biogasudbytte!$A$2:$B$18,2,FALSE)*[1]Energiindhold!$C$10,0))*O29</f>
        <v>4.5458814641002974</v>
      </c>
      <c r="R29" s="190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0">
        <f>IFERROR(VLOOKUP(A29,[1]Biogasudbytte!$A$2:$B$18,2,FALSE)*[1]Energiindhold!$C$10,0)*J29*IFERROR(VLOOKUP(A29,Biogasanlæg!$F$3:$G$8,2,FALSE),1)</f>
        <v>1.1302089514043043</v>
      </c>
      <c r="T29" s="191">
        <f t="shared" si="11"/>
        <v>0</v>
      </c>
      <c r="U29" s="189">
        <f>O29*IFERROR(VLOOKUP(A29,[1]Tørstofindhold!A$2:B$24,2,FALSE),0)</f>
        <v>379878.67388024763</v>
      </c>
      <c r="V29" s="190">
        <f>IF(D29=År1,P29,SUM(O29,P29))*IFERROR(VLOOKUP(A29,[1]Tørstofindhold!A$2:B$24,2,FALSE),0)</f>
        <v>94446.430479468312</v>
      </c>
      <c r="W29" s="190">
        <f>J29*IFERROR(VLOOKUP(A29,[1]Tørstofindhold!A$2:B$24,2,FALSE),0)</f>
        <v>94446.430479468312</v>
      </c>
      <c r="X29" s="191">
        <f t="shared" si="12"/>
        <v>0</v>
      </c>
      <c r="Y29" s="171">
        <f t="shared" si="2"/>
        <v>0</v>
      </c>
      <c r="Z29" s="103">
        <f t="shared" si="3"/>
        <v>1</v>
      </c>
    </row>
    <row r="30" spans="1:26" hidden="1" x14ac:dyDescent="0.25">
      <c r="A30" s="192" t="s">
        <v>117</v>
      </c>
      <c r="B30" s="192"/>
      <c r="C30" s="192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2">
        <f t="shared" si="8"/>
        <v>2019</v>
      </c>
      <c r="E30" s="190" t="s">
        <v>23</v>
      </c>
      <c r="F30" s="193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3160794.2116654618</v>
      </c>
      <c r="G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0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3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2">
        <f t="shared" si="9"/>
        <v>2703717.1158706988</v>
      </c>
      <c r="O30" s="193">
        <f t="shared" si="1"/>
        <v>0</v>
      </c>
      <c r="P30" s="203">
        <f t="shared" si="10"/>
        <v>0</v>
      </c>
      <c r="Q30" s="190">
        <f>IFERROR(VLOOKUP(A30,[1]Energiindhold!$A$2:$C$11,3,FALSE),IFERROR(VLOOKUP(A30,[1]Biogasudbytte!$A$2:$B$18,2,FALSE)*[1]Energiindhold!$C$10,0))*O30</f>
        <v>0</v>
      </c>
      <c r="R30" s="190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0">
        <f>IFERROR(VLOOKUP(A30,[1]Biogasudbytte!$A$2:$B$18,2,FALSE)*[1]Energiindhold!$C$10,0)*J30*IFERROR(VLOOKUP(A30,Biogasanlæg!$F$3:$G$8,2,FALSE),1)</f>
        <v>0</v>
      </c>
      <c r="T30" s="191">
        <f t="shared" si="11"/>
        <v>0</v>
      </c>
      <c r="U30" s="189">
        <f>O30*IFERROR(VLOOKUP(A30,[1]Tørstofindhold!A$2:B$24,2,FALSE),0)</f>
        <v>0</v>
      </c>
      <c r="V30" s="190">
        <f>IF(D30=År1,P30,SUM(O30,P30))*IFERROR(VLOOKUP(A30,[1]Tørstofindhold!A$2:B$24,2,FALSE),0)</f>
        <v>0</v>
      </c>
      <c r="W30" s="190">
        <f>J30*IFERROR(VLOOKUP(A30,[1]Tørstofindhold!A$2:B$24,2,FALSE),0)</f>
        <v>0</v>
      </c>
      <c r="X30" s="191">
        <f t="shared" si="12"/>
        <v>0</v>
      </c>
      <c r="Y30" s="171">
        <f t="shared" si="2"/>
        <v>0</v>
      </c>
      <c r="Z30" s="103">
        <f t="shared" si="3"/>
        <v>1</v>
      </c>
    </row>
    <row r="31" spans="1:26" hidden="1" x14ac:dyDescent="0.25">
      <c r="A31" s="192" t="s">
        <v>107</v>
      </c>
      <c r="B31" s="192" t="s">
        <v>227</v>
      </c>
      <c r="C31" s="192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2">
        <f t="shared" si="8"/>
        <v>2019</v>
      </c>
      <c r="E31" s="190" t="s">
        <v>23</v>
      </c>
      <c r="F31" s="193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878.90231344976178</v>
      </c>
      <c r="G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0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3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2">
        <f t="shared" si="9"/>
        <v>878.90231344976178</v>
      </c>
      <c r="O31" s="193">
        <f t="shared" si="1"/>
        <v>878.90231344976178</v>
      </c>
      <c r="P31" s="203">
        <f t="shared" si="10"/>
        <v>0</v>
      </c>
      <c r="Q31" s="190">
        <f>IFERROR(VLOOKUP(A31,[1]Energiindhold!$A$2:$C$11,3,FALSE),IFERROR(VLOOKUP(A31,[1]Biogasudbytte!$A$2:$B$18,2,FALSE)*[1]Energiindhold!$C$10,0))*O31</f>
        <v>7.8881482632116122E-4</v>
      </c>
      <c r="R31" s="190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0">
        <f>IFERROR(VLOOKUP(A31,[1]Biogasudbytte!$A$2:$B$18,2,FALSE)*[1]Energiindhold!$C$10,0)*J31*IFERROR(VLOOKUP(A31,Biogasanlæg!$F$3:$G$8,2,FALSE),1)</f>
        <v>0</v>
      </c>
      <c r="T31" s="191">
        <f t="shared" si="11"/>
        <v>0</v>
      </c>
      <c r="U31" s="189">
        <f>O31*IFERROR(VLOOKUP(A31,[1]Tørstofindhold!A$2:B$24,2,FALSE),0)</f>
        <v>131.83534701746427</v>
      </c>
      <c r="V31" s="190">
        <f>IF(D31=År1,P31,SUM(O31,P31))*IFERROR(VLOOKUP(A31,[1]Tørstofindhold!A$2:B$24,2,FALSE),0)</f>
        <v>0</v>
      </c>
      <c r="W31" s="190">
        <f>J31*IFERROR(VLOOKUP(A31,[1]Tørstofindhold!A$2:B$24,2,FALSE),0)</f>
        <v>0</v>
      </c>
      <c r="X31" s="191">
        <f t="shared" si="12"/>
        <v>0</v>
      </c>
      <c r="Y31" s="171">
        <f t="shared" si="2"/>
        <v>0</v>
      </c>
      <c r="Z31" s="103">
        <f t="shared" si="3"/>
        <v>1</v>
      </c>
    </row>
    <row r="32" spans="1:26" hidden="1" x14ac:dyDescent="0.25">
      <c r="A32" s="192" t="s">
        <v>14</v>
      </c>
      <c r="B32" s="192"/>
      <c r="C32" s="192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2">
        <f t="shared" si="8"/>
        <v>2019</v>
      </c>
      <c r="E32" s="190" t="s">
        <v>23</v>
      </c>
      <c r="F32" s="193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108094.85577035608</v>
      </c>
      <c r="G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0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3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2">
        <f t="shared" si="9"/>
        <v>50014.542046090508</v>
      </c>
      <c r="O32" s="193">
        <f t="shared" si="1"/>
        <v>0</v>
      </c>
      <c r="P32" s="203">
        <f t="shared" si="10"/>
        <v>0</v>
      </c>
      <c r="Q32" s="190">
        <f>IFERROR(VLOOKUP(A32,[1]Energiindhold!$A$2:$C$11,3,FALSE),IFERROR(VLOOKUP(A32,[1]Biogasudbytte!$A$2:$B$18,2,FALSE)*[1]Energiindhold!$C$10,0))*O32</f>
        <v>0</v>
      </c>
      <c r="R32" s="190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0">
        <f>IFERROR(VLOOKUP(A32,[1]Biogasudbytte!$A$2:$B$18,2,FALSE)*[1]Energiindhold!$C$10,0)*J32*IFERROR(VLOOKUP(A32,Biogasanlæg!$F$3:$G$8,2,FALSE),1)</f>
        <v>0</v>
      </c>
      <c r="T32" s="191">
        <f t="shared" si="11"/>
        <v>0</v>
      </c>
      <c r="U32" s="189">
        <f>O32*IFERROR(VLOOKUP(A32,[1]Tørstofindhold!A$2:B$24,2,FALSE),0)</f>
        <v>0</v>
      </c>
      <c r="V32" s="190">
        <f>IF(D32=År1,P32,SUM(O32,P32))*IFERROR(VLOOKUP(A32,[1]Tørstofindhold!A$2:B$24,2,FALSE),0)</f>
        <v>0</v>
      </c>
      <c r="W32" s="190">
        <f>J32*IFERROR(VLOOKUP(A32,[1]Tørstofindhold!A$2:B$24,2,FALSE),0)</f>
        <v>0</v>
      </c>
      <c r="X32" s="191">
        <f t="shared" si="12"/>
        <v>0</v>
      </c>
      <c r="Y32" s="171">
        <f t="shared" si="2"/>
        <v>0</v>
      </c>
      <c r="Z32" s="103">
        <f t="shared" si="3"/>
        <v>1</v>
      </c>
    </row>
    <row r="33" spans="1:26" hidden="1" x14ac:dyDescent="0.25">
      <c r="A33" s="192" t="s">
        <v>55</v>
      </c>
      <c r="B33" s="192"/>
      <c r="C33" s="192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2">
        <f t="shared" si="8"/>
        <v>2019</v>
      </c>
      <c r="E33" s="190" t="s">
        <v>23</v>
      </c>
      <c r="F33" s="193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1609044.2994914718</v>
      </c>
      <c r="G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0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3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2">
        <f t="shared" si="9"/>
        <v>1609044.2994914718</v>
      </c>
      <c r="O33" s="193">
        <f t="shared" si="1"/>
        <v>0</v>
      </c>
      <c r="P33" s="203">
        <f t="shared" si="10"/>
        <v>0</v>
      </c>
      <c r="Q33" s="190">
        <f>IFERROR(VLOOKUP(A33,[1]Energiindhold!$A$2:$C$11,3,FALSE),IFERROR(VLOOKUP(A33,[1]Biogasudbytte!$A$2:$B$18,2,FALSE)*[1]Energiindhold!$C$10,0))*O33</f>
        <v>0</v>
      </c>
      <c r="R33" s="190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0">
        <f>IFERROR(VLOOKUP(A33,[1]Biogasudbytte!$A$2:$B$18,2,FALSE)*[1]Energiindhold!$C$10,0)*J33*IFERROR(VLOOKUP(A33,Biogasanlæg!$F$3:$G$8,2,FALSE),1)</f>
        <v>0</v>
      </c>
      <c r="T33" s="191">
        <f t="shared" si="11"/>
        <v>0</v>
      </c>
      <c r="U33" s="189">
        <f>O33*IFERROR(VLOOKUP(A33,[1]Tørstofindhold!A$2:B$24,2,FALSE),0)</f>
        <v>0</v>
      </c>
      <c r="V33" s="190">
        <f>IF(D33=År1,P33,SUM(O33,P33))*IFERROR(VLOOKUP(A33,[1]Tørstofindhold!A$2:B$24,2,FALSE),0)</f>
        <v>0</v>
      </c>
      <c r="W33" s="190">
        <f>J33*IFERROR(VLOOKUP(A33,[1]Tørstofindhold!A$2:B$24,2,FALSE),0)</f>
        <v>0</v>
      </c>
      <c r="X33" s="191">
        <f t="shared" si="12"/>
        <v>0</v>
      </c>
      <c r="Y33" s="171">
        <f t="shared" si="2"/>
        <v>0</v>
      </c>
      <c r="Z33" s="103">
        <f t="shared" si="3"/>
        <v>1</v>
      </c>
    </row>
    <row r="34" spans="1:26" hidden="1" x14ac:dyDescent="0.25">
      <c r="A34" s="192" t="s">
        <v>96</v>
      </c>
      <c r="B34" s="192" t="s">
        <v>226</v>
      </c>
      <c r="C34" s="192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2">
        <f t="shared" si="8"/>
        <v>2019</v>
      </c>
      <c r="E34" s="190" t="s">
        <v>23</v>
      </c>
      <c r="F34" s="193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172205.06744997756</v>
      </c>
      <c r="G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0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3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2">
        <f t="shared" si="9"/>
        <v>0</v>
      </c>
      <c r="O34" s="193">
        <f t="shared" si="1"/>
        <v>0</v>
      </c>
      <c r="P34" s="203">
        <f t="shared" si="10"/>
        <v>172205.06744997756</v>
      </c>
      <c r="Q34" s="190">
        <f>IFERROR(VLOOKUP(A34,[1]Energiindhold!$A$2:$C$11,3,FALSE),IFERROR(VLOOKUP(A34,[1]Biogasudbytte!$A$2:$B$18,2,FALSE)*[1]Energiindhold!$C$10,0))*O34</f>
        <v>0</v>
      </c>
      <c r="R34" s="190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0">
        <f>IFERROR(VLOOKUP(A34,[1]Biogasudbytte!$A$2:$B$18,2,FALSE)*[1]Energiindhold!$C$10,0)*J34*IFERROR(VLOOKUP(A34,Biogasanlæg!$F$3:$G$8,2,FALSE),1)</f>
        <v>0</v>
      </c>
      <c r="T34" s="191">
        <f t="shared" si="11"/>
        <v>3.1685732410795864</v>
      </c>
      <c r="U34" s="189">
        <f>O34*IFERROR(VLOOKUP(A34,[1]Tørstofindhold!A$2:B$24,2,FALSE),0)</f>
        <v>0</v>
      </c>
      <c r="V34" s="190">
        <f>IF(D34=År1,P34,SUM(O34,P34))*IFERROR(VLOOKUP(A34,[1]Tørstofindhold!A$2:B$24,2,FALSE),0)</f>
        <v>71465.1029917407</v>
      </c>
      <c r="W34" s="190">
        <f>J34*IFERROR(VLOOKUP(A34,[1]Tørstofindhold!A$2:B$24,2,FALSE),0)</f>
        <v>0</v>
      </c>
      <c r="X34" s="191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hidden="1" x14ac:dyDescent="0.25">
      <c r="A35" s="192" t="s">
        <v>316</v>
      </c>
      <c r="B35" s="192" t="s">
        <v>322</v>
      </c>
      <c r="C35" s="192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2">
        <f t="shared" si="8"/>
        <v>2019</v>
      </c>
      <c r="E35" s="190" t="s">
        <v>23</v>
      </c>
      <c r="F35" s="193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0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3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2">
        <f t="shared" ref="N35:N36" si="13">F35-SUM(G35:M35)</f>
        <v>0</v>
      </c>
      <c r="O35" s="193">
        <f t="shared" si="1"/>
        <v>0</v>
      </c>
      <c r="P35" s="203">
        <f t="shared" ref="P35:P36" si="14">SUM(J35,L35)</f>
        <v>0</v>
      </c>
      <c r="Q35" s="190">
        <f>IFERROR(VLOOKUP(A35,[1]Energiindhold!$A$2:$C$11,3,FALSE),IFERROR(VLOOKUP(A35,[1]Biogasudbytte!$A$2:$B$18,2,FALSE)*[1]Energiindhold!$C$10,0))*O35</f>
        <v>0</v>
      </c>
      <c r="R35" s="190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0">
        <f>IFERROR(VLOOKUP(A35,[1]Biogasudbytte!$A$2:$B$18,2,FALSE)*[1]Energiindhold!$C$10,0)*J35*IFERROR(VLOOKUP(A35,Biogasanlæg!$F$3:$G$8,2,FALSE),1)</f>
        <v>0</v>
      </c>
      <c r="T35" s="191">
        <f t="shared" ref="T35:T36" si="15">R35-S35</f>
        <v>0</v>
      </c>
      <c r="U35" s="189">
        <f>O35*IFERROR(VLOOKUP(A35,[1]Tørstofindhold!A$2:B$24,2,FALSE),0)</f>
        <v>0</v>
      </c>
      <c r="V35" s="190">
        <f>IF(D35=År1,P35,SUM(O35,P35))*IFERROR(VLOOKUP(A35,[1]Tørstofindhold!A$2:B$24,2,FALSE),0)</f>
        <v>0</v>
      </c>
      <c r="W35" s="190">
        <f>J35*IFERROR(VLOOKUP(A35,[1]Tørstofindhold!A$2:B$24,2,FALSE),0)</f>
        <v>0</v>
      </c>
      <c r="X35" s="191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hidden="1" x14ac:dyDescent="0.25">
      <c r="A36" s="192" t="s">
        <v>317</v>
      </c>
      <c r="B36" s="192" t="s">
        <v>322</v>
      </c>
      <c r="C36" s="192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2">
        <f t="shared" si="8"/>
        <v>2019</v>
      </c>
      <c r="E36" s="190" t="s">
        <v>23</v>
      </c>
      <c r="F36" s="193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0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3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2">
        <f t="shared" si="13"/>
        <v>0</v>
      </c>
      <c r="O36" s="193">
        <f t="shared" si="1"/>
        <v>0</v>
      </c>
      <c r="P36" s="203">
        <f t="shared" si="14"/>
        <v>0</v>
      </c>
      <c r="Q36" s="190">
        <f>IFERROR(VLOOKUP(A36,[1]Energiindhold!$A$2:$C$11,3,FALSE),IFERROR(VLOOKUP(A36,[1]Biogasudbytte!$A$2:$B$18,2,FALSE)*[1]Energiindhold!$C$10,0))*O36</f>
        <v>0</v>
      </c>
      <c r="R36" s="190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0">
        <f>IFERROR(VLOOKUP(A36,[1]Biogasudbytte!$A$2:$B$18,2,FALSE)*[1]Energiindhold!$C$10,0)*J36*IFERROR(VLOOKUP(A36,Biogasanlæg!$F$3:$G$8,2,FALSE),1)</f>
        <v>0</v>
      </c>
      <c r="T36" s="191">
        <f t="shared" si="15"/>
        <v>0</v>
      </c>
      <c r="U36" s="189">
        <f>O36*IFERROR(VLOOKUP(A36,[1]Tørstofindhold!A$2:B$24,2,FALSE),0)</f>
        <v>0</v>
      </c>
      <c r="V36" s="190">
        <f>IF(D36=År1,P36,SUM(O36,P36))*IFERROR(VLOOKUP(A36,[1]Tørstofindhold!A$2:B$24,2,FALSE),0)</f>
        <v>0</v>
      </c>
      <c r="W36" s="190">
        <f>J36*IFERROR(VLOOKUP(A36,[1]Tørstofindhold!A$2:B$24,2,FALSE),0)</f>
        <v>0</v>
      </c>
      <c r="X36" s="191">
        <f t="shared" si="16"/>
        <v>0</v>
      </c>
      <c r="Y36" s="171">
        <f t="shared" si="2"/>
        <v>0</v>
      </c>
      <c r="Z36" s="103">
        <f t="shared" si="3"/>
        <v>0</v>
      </c>
    </row>
    <row r="37" spans="1:26" hidden="1" x14ac:dyDescent="0.25">
      <c r="A37" s="192" t="s">
        <v>118</v>
      </c>
      <c r="B37" s="192"/>
      <c r="C37" s="192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2">
        <f t="shared" si="8"/>
        <v>2019</v>
      </c>
      <c r="E37" s="190" t="s">
        <v>23</v>
      </c>
      <c r="F37" s="193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4922001.9803787302</v>
      </c>
      <c r="G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0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3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2">
        <f t="shared" si="9"/>
        <v>4922001.9803787302</v>
      </c>
      <c r="O37" s="193">
        <f t="shared" si="1"/>
        <v>0</v>
      </c>
      <c r="P37" s="203">
        <f t="shared" si="10"/>
        <v>0</v>
      </c>
      <c r="Q37" s="190">
        <f>IFERROR(VLOOKUP(A37,[1]Energiindhold!$A$2:$C$11,3,FALSE),IFERROR(VLOOKUP(A37,[1]Biogasudbytte!$A$2:$B$18,2,FALSE)*[1]Energiindhold!$C$10,0))*O37</f>
        <v>0</v>
      </c>
      <c r="R37" s="190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0">
        <f>IFERROR(VLOOKUP(A37,[1]Biogasudbytte!$A$2:$B$18,2,FALSE)*[1]Energiindhold!$C$10,0)*J37*IFERROR(VLOOKUP(A37,Biogasanlæg!$F$3:$G$8,2,FALSE),1)</f>
        <v>0</v>
      </c>
      <c r="T37" s="191">
        <f t="shared" si="11"/>
        <v>0</v>
      </c>
      <c r="U37" s="189">
        <f>O37*IFERROR(VLOOKUP(A37,[1]Tørstofindhold!A$2:B$24,2,FALSE),0)</f>
        <v>0</v>
      </c>
      <c r="V37" s="190">
        <f>IF(D37=År1,P37,SUM(O37,P37))*IFERROR(VLOOKUP(A37,[1]Tørstofindhold!A$2:B$24,2,FALSE),0)</f>
        <v>0</v>
      </c>
      <c r="W37" s="190">
        <f>J37*IFERROR(VLOOKUP(A37,[1]Tørstofindhold!A$2:B$24,2,FALSE),0)</f>
        <v>0</v>
      </c>
      <c r="X37" s="191">
        <f t="shared" si="12"/>
        <v>0</v>
      </c>
      <c r="Y37" s="171">
        <f t="shared" si="2"/>
        <v>0</v>
      </c>
      <c r="Z37" s="103">
        <f t="shared" si="3"/>
        <v>1</v>
      </c>
    </row>
    <row r="38" spans="1:26" hidden="1" x14ac:dyDescent="0.25">
      <c r="A38" s="190" t="s">
        <v>50</v>
      </c>
      <c r="B38" s="192"/>
      <c r="C38" s="192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2">
        <f t="shared" si="8"/>
        <v>2019</v>
      </c>
      <c r="E38" s="190" t="s">
        <v>23</v>
      </c>
      <c r="F38" s="193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484833.6848947219</v>
      </c>
      <c r="G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0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3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2">
        <f t="shared" si="9"/>
        <v>0</v>
      </c>
      <c r="O38" s="193">
        <f t="shared" si="1"/>
        <v>0</v>
      </c>
      <c r="P38" s="203">
        <f t="shared" si="10"/>
        <v>0</v>
      </c>
      <c r="Q38" s="190">
        <f>IFERROR(VLOOKUP(A38,[1]Energiindhold!$A$2:$C$11,3,FALSE),IFERROR(VLOOKUP(A38,[1]Biogasudbytte!$A$2:$B$18,2,FALSE)*[1]Energiindhold!$C$10,0))*O38</f>
        <v>0</v>
      </c>
      <c r="R38" s="190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0">
        <f>IFERROR(VLOOKUP(A38,[1]Biogasudbytte!$A$2:$B$18,2,FALSE)*[1]Energiindhold!$C$10,0)*J38*IFERROR(VLOOKUP(A38,Biogasanlæg!$F$3:$G$8,2,FALSE),1)</f>
        <v>0</v>
      </c>
      <c r="T38" s="191">
        <f t="shared" si="11"/>
        <v>0</v>
      </c>
      <c r="U38" s="189">
        <f>O38*IFERROR(VLOOKUP(A38,[1]Tørstofindhold!A$2:B$24,2,FALSE),0)</f>
        <v>0</v>
      </c>
      <c r="V38" s="190">
        <f>IF(D38=År1,P38,SUM(O38,P38))*IFERROR(VLOOKUP(A38,[1]Tørstofindhold!A$2:B$24,2,FALSE),0)</f>
        <v>0</v>
      </c>
      <c r="W38" s="190">
        <f>J38*IFERROR(VLOOKUP(A38,[1]Tørstofindhold!A$2:B$24,2,FALSE),0)</f>
        <v>0</v>
      </c>
      <c r="X38" s="191">
        <f t="shared" si="12"/>
        <v>0</v>
      </c>
      <c r="Y38" s="171">
        <f t="shared" si="2"/>
        <v>0</v>
      </c>
      <c r="Z38" s="103">
        <f t="shared" si="3"/>
        <v>0</v>
      </c>
    </row>
    <row r="39" spans="1:26" hidden="1" x14ac:dyDescent="0.25">
      <c r="A39" s="190" t="s">
        <v>239</v>
      </c>
      <c r="B39" s="192"/>
      <c r="C39" s="192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2">
        <f t="shared" si="8"/>
        <v>2019</v>
      </c>
      <c r="E39" s="190" t="s">
        <v>23</v>
      </c>
      <c r="F39" s="193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242416.84244736095</v>
      </c>
      <c r="G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0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3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2">
        <f t="shared" si="9"/>
        <v>28317.736356098671</v>
      </c>
      <c r="O39" s="193">
        <f t="shared" si="1"/>
        <v>0</v>
      </c>
      <c r="P39" s="203">
        <f t="shared" si="10"/>
        <v>0</v>
      </c>
      <c r="Q39" s="190">
        <f>IFERROR(VLOOKUP(A39,[1]Energiindhold!$A$2:$C$11,3,FALSE),IFERROR(VLOOKUP(A39,[1]Biogasudbytte!$A$2:$B$18,2,FALSE)*[1]Energiindhold!$C$10,0))*O39</f>
        <v>0</v>
      </c>
      <c r="R39" s="190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0">
        <f>IFERROR(VLOOKUP(A39,[1]Biogasudbytte!$A$2:$B$18,2,FALSE)*[1]Energiindhold!$C$10,0)*J39*IFERROR(VLOOKUP(A39,Biogasanlæg!$F$3:$G$8,2,FALSE),1)</f>
        <v>0</v>
      </c>
      <c r="T39" s="191">
        <f t="shared" si="11"/>
        <v>0</v>
      </c>
      <c r="U39" s="189">
        <f>O39*IFERROR(VLOOKUP(A39,[1]Tørstofindhold!A$2:B$24,2,FALSE),0)</f>
        <v>0</v>
      </c>
      <c r="V39" s="190">
        <f>IF(D39=År1,P39,SUM(O39,P39))*IFERROR(VLOOKUP(A39,[1]Tørstofindhold!A$2:B$24,2,FALSE),0)</f>
        <v>0</v>
      </c>
      <c r="W39" s="190">
        <f>J39*IFERROR(VLOOKUP(A39,[1]Tørstofindhold!A$2:B$24,2,FALSE),0)</f>
        <v>0</v>
      </c>
      <c r="X39" s="191">
        <f t="shared" si="12"/>
        <v>0</v>
      </c>
      <c r="Y39" s="171">
        <f t="shared" si="2"/>
        <v>0</v>
      </c>
      <c r="Z39" s="103">
        <f t="shared" si="3"/>
        <v>1</v>
      </c>
    </row>
    <row r="40" spans="1:26" hidden="1" x14ac:dyDescent="0.25">
      <c r="A40" s="190" t="s">
        <v>232</v>
      </c>
      <c r="B40" s="192" t="s">
        <v>232</v>
      </c>
      <c r="C40" s="192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2">
        <f t="shared" si="8"/>
        <v>2019</v>
      </c>
      <c r="E40" s="190" t="s">
        <v>23</v>
      </c>
      <c r="F40" s="193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155146.779166311</v>
      </c>
      <c r="G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0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3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2">
        <f t="shared" si="9"/>
        <v>0</v>
      </c>
      <c r="O40" s="193">
        <f t="shared" si="1"/>
        <v>0</v>
      </c>
      <c r="P40" s="203">
        <f t="shared" si="10"/>
        <v>80676.325166481722</v>
      </c>
      <c r="Q40" s="190">
        <f>IFERROR(VLOOKUP(A40,[1]Energiindhold!$A$2:$C$11,3,FALSE),IFERROR(VLOOKUP(A40,[1]Biogasudbytte!$A$2:$B$18,2,FALSE)*[1]Energiindhold!$C$10,0))*O40</f>
        <v>0</v>
      </c>
      <c r="R40" s="190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90">
        <f>IFERROR(VLOOKUP(A40,[1]Biogasudbytte!$A$2:$B$18,2,FALSE)*[1]Energiindhold!$C$10,0)*J40*IFERROR(VLOOKUP(A40,Biogasanlæg!$F$3:$G$8,2,FALSE),1)</f>
        <v>0</v>
      </c>
      <c r="T40" s="191">
        <f t="shared" si="11"/>
        <v>2.8236713808268599</v>
      </c>
      <c r="U40" s="189">
        <f>O40*IFERROR(VLOOKUP(A40,[1]Tørstofindhold!A$2:B$24,2,FALSE),0)</f>
        <v>0</v>
      </c>
      <c r="V40" s="190">
        <f>IF(D40=År1,P40,SUM(O40,P40))*IFERROR(VLOOKUP(A40,[1]Tørstofindhold!A$2:B$24,2,FALSE),0)</f>
        <v>0</v>
      </c>
      <c r="W40" s="190">
        <f>J40*IFERROR(VLOOKUP(A40,[1]Tørstofindhold!A$2:B$24,2,FALSE),0)</f>
        <v>0</v>
      </c>
      <c r="X40" s="191">
        <f t="shared" si="12"/>
        <v>0</v>
      </c>
      <c r="Y40" s="171">
        <f t="shared" si="2"/>
        <v>0</v>
      </c>
      <c r="Z40" s="103">
        <f t="shared" si="3"/>
        <v>0</v>
      </c>
    </row>
    <row r="41" spans="1:26" hidden="1" x14ac:dyDescent="0.25">
      <c r="A41" s="190" t="s">
        <v>52</v>
      </c>
      <c r="B41" s="192" t="s">
        <v>225</v>
      </c>
      <c r="C41" s="192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2">
        <f t="shared" si="8"/>
        <v>2019</v>
      </c>
      <c r="E41" s="190" t="s">
        <v>23</v>
      </c>
      <c r="F41" s="193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376449.39511597221</v>
      </c>
      <c r="G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0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3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2">
        <f t="shared" si="9"/>
        <v>-468819.27146385383</v>
      </c>
      <c r="O41" s="193">
        <f t="shared" si="1"/>
        <v>0</v>
      </c>
      <c r="P41" s="203">
        <f t="shared" si="10"/>
        <v>4101.0489241972273</v>
      </c>
      <c r="Q41" s="190">
        <f>IFERROR(VLOOKUP(A41,[1]Energiindhold!$A$2:$C$11,3,FALSE),IFERROR(VLOOKUP(A41,[1]Biogasudbytte!$A$2:$B$18,2,FALSE)*[1]Energiindhold!$C$10,0))*O41</f>
        <v>0</v>
      </c>
      <c r="R41" s="190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0">
        <f>IFERROR(VLOOKUP(A41,[1]Biogasudbytte!$A$2:$B$18,2,FALSE)*[1]Energiindhold!$C$10,0)*J41*IFERROR(VLOOKUP(A41,Biogasanlæg!$F$3:$G$8,2,FALSE),1)</f>
        <v>1.1130410822228242E-2</v>
      </c>
      <c r="T41" s="191">
        <f t="shared" si="11"/>
        <v>0</v>
      </c>
      <c r="U41" s="189">
        <f>O41*IFERROR(VLOOKUP(A41,[1]Tørstofindhold!A$2:B$24,2,FALSE),0)</f>
        <v>0</v>
      </c>
      <c r="V41" s="190">
        <f>IF(D41=År1,P41,SUM(O41,P41))*IFERROR(VLOOKUP(A41,[1]Tørstofindhold!A$2:B$24,2,FALSE),0)</f>
        <v>820.20978483944555</v>
      </c>
      <c r="W41" s="190">
        <f>J41*IFERROR(VLOOKUP(A41,[1]Tørstofindhold!A$2:B$24,2,FALSE),0)</f>
        <v>820.20978483944555</v>
      </c>
      <c r="X41" s="191">
        <f t="shared" si="12"/>
        <v>0</v>
      </c>
      <c r="Y41" s="171">
        <f t="shared" si="2"/>
        <v>0</v>
      </c>
      <c r="Z41" s="103">
        <f t="shared" si="3"/>
        <v>1</v>
      </c>
    </row>
    <row r="42" spans="1:26" hidden="1" x14ac:dyDescent="0.25">
      <c r="A42" s="190" t="s">
        <v>122</v>
      </c>
      <c r="B42" s="192"/>
      <c r="C42" s="192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2">
        <f t="shared" si="8"/>
        <v>2019</v>
      </c>
      <c r="E42" s="190" t="s">
        <v>23</v>
      </c>
      <c r="F42" s="193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193830.89221723122</v>
      </c>
      <c r="G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0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3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2">
        <f t="shared" si="9"/>
        <v>193830.89221723122</v>
      </c>
      <c r="O42" s="193">
        <f t="shared" si="1"/>
        <v>0</v>
      </c>
      <c r="P42" s="203">
        <f t="shared" si="10"/>
        <v>0</v>
      </c>
      <c r="Q42" s="190">
        <f>IFERROR(VLOOKUP(A42,[1]Energiindhold!$A$2:$C$11,3,FALSE),IFERROR(VLOOKUP(A42,[1]Biogasudbytte!$A$2:$B$18,2,FALSE)*[1]Energiindhold!$C$10,0))*O42</f>
        <v>0</v>
      </c>
      <c r="R42" s="190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0">
        <f>IFERROR(VLOOKUP(A42,[1]Biogasudbytte!$A$2:$B$18,2,FALSE)*[1]Energiindhold!$C$10,0)*J42*IFERROR(VLOOKUP(A42,Biogasanlæg!$F$3:$G$8,2,FALSE),1)</f>
        <v>0</v>
      </c>
      <c r="T42" s="191">
        <f t="shared" si="11"/>
        <v>0</v>
      </c>
      <c r="U42" s="189">
        <f>O42*IFERROR(VLOOKUP(A42,[1]Tørstofindhold!A$2:B$24,2,FALSE),0)</f>
        <v>0</v>
      </c>
      <c r="V42" s="190">
        <f>IF(D42=År1,P42,SUM(O42,P42))*IFERROR(VLOOKUP(A42,[1]Tørstofindhold!A$2:B$24,2,FALSE),0)</f>
        <v>0</v>
      </c>
      <c r="W42" s="190">
        <f>J42*IFERROR(VLOOKUP(A42,[1]Tørstofindhold!A$2:B$24,2,FALSE),0)</f>
        <v>0</v>
      </c>
      <c r="X42" s="191">
        <f t="shared" si="12"/>
        <v>0</v>
      </c>
      <c r="Y42" s="171">
        <f t="shared" si="2"/>
        <v>0</v>
      </c>
      <c r="Z42" s="103">
        <f t="shared" si="3"/>
        <v>1</v>
      </c>
    </row>
    <row r="43" spans="1:26" hidden="1" x14ac:dyDescent="0.25">
      <c r="A43" s="190" t="s">
        <v>108</v>
      </c>
      <c r="B43" s="192"/>
      <c r="C43" s="192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2">
        <f t="shared" si="8"/>
        <v>2019</v>
      </c>
      <c r="E43" s="190" t="s">
        <v>23</v>
      </c>
      <c r="F43" s="193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131276.07587880219</v>
      </c>
      <c r="G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0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3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2">
        <f t="shared" si="9"/>
        <v>91860.340866184866</v>
      </c>
      <c r="O43" s="193">
        <f t="shared" si="1"/>
        <v>0</v>
      </c>
      <c r="P43" s="203">
        <f t="shared" si="10"/>
        <v>0</v>
      </c>
      <c r="Q43" s="190">
        <f>IFERROR(VLOOKUP(A43,[1]Energiindhold!$A$2:$C$11,3,FALSE),IFERROR(VLOOKUP(A43,[1]Biogasudbytte!$A$2:$B$18,2,FALSE)*[1]Energiindhold!$C$10,0))*O43</f>
        <v>0</v>
      </c>
      <c r="R43" s="190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0">
        <f>IFERROR(VLOOKUP(A43,[1]Biogasudbytte!$A$2:$B$18,2,FALSE)*[1]Energiindhold!$C$10,0)*J43*IFERROR(VLOOKUP(A43,Biogasanlæg!$F$3:$G$8,2,FALSE),1)</f>
        <v>0</v>
      </c>
      <c r="T43" s="191">
        <f t="shared" si="11"/>
        <v>0</v>
      </c>
      <c r="U43" s="189">
        <f>O43*IFERROR(VLOOKUP(A43,[1]Tørstofindhold!A$2:B$24,2,FALSE),0)</f>
        <v>0</v>
      </c>
      <c r="V43" s="190">
        <f>IF(D43=År1,P43,SUM(O43,P43))*IFERROR(VLOOKUP(A43,[1]Tørstofindhold!A$2:B$24,2,FALSE),0)</f>
        <v>0</v>
      </c>
      <c r="W43" s="190">
        <f>J43*IFERROR(VLOOKUP(A43,[1]Tørstofindhold!A$2:B$24,2,FALSE),0)</f>
        <v>0</v>
      </c>
      <c r="X43" s="191">
        <f t="shared" si="12"/>
        <v>0</v>
      </c>
      <c r="Y43" s="171">
        <f t="shared" si="2"/>
        <v>0</v>
      </c>
      <c r="Z43" s="103">
        <f t="shared" si="3"/>
        <v>1</v>
      </c>
    </row>
    <row r="44" spans="1:26" hidden="1" x14ac:dyDescent="0.25">
      <c r="A44" s="192" t="s">
        <v>141</v>
      </c>
      <c r="B44" s="192" t="s">
        <v>231</v>
      </c>
      <c r="C44" s="192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2">
        <f t="shared" si="8"/>
        <v>2019</v>
      </c>
      <c r="E44" s="190" t="s">
        <v>23</v>
      </c>
      <c r="F44" s="193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3850196.5402414175</v>
      </c>
      <c r="G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0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3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2">
        <f t="shared" si="9"/>
        <v>2390013.9527756004</v>
      </c>
      <c r="O44" s="193">
        <f t="shared" si="1"/>
        <v>2390013.9527756004</v>
      </c>
      <c r="P44" s="203">
        <f t="shared" si="10"/>
        <v>1460182.5874658169</v>
      </c>
      <c r="Q44" s="190">
        <f>IFERROR(VLOOKUP(A44,[1]Energiindhold!$A$2:$C$11,3,FALSE),IFERROR(VLOOKUP(A44,[1]Biogasudbytte!$A$2:$B$18,2,FALSE)*[1]Energiindhold!$C$10,0))*O44</f>
        <v>1.1926408625745526</v>
      </c>
      <c r="R44" s="190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0">
        <f>IFERROR(VLOOKUP(A44,[1]Biogasudbytte!$A$2:$B$18,2,FALSE)*[1]Energiindhold!$C$10,0)*J44*IFERROR(VLOOKUP(A44,Biogasanlæg!$F$3:$G$8,2,FALSE),1)</f>
        <v>0.72864571297131742</v>
      </c>
      <c r="T44" s="191">
        <f t="shared" si="11"/>
        <v>0</v>
      </c>
      <c r="U44" s="189">
        <f>O44*IFERROR(VLOOKUP(A44,[1]Tørstofindhold!A$2:B$24,2,FALSE),0)</f>
        <v>143400.83716653602</v>
      </c>
      <c r="V44" s="190">
        <f>IF(D44=År1,P44,SUM(O44,P44))*IFERROR(VLOOKUP(A44,[1]Tørstofindhold!A$2:B$24,2,FALSE),0)</f>
        <v>87610.955247949008</v>
      </c>
      <c r="W44" s="190">
        <f>J44*IFERROR(VLOOKUP(A44,[1]Tørstofindhold!A$2:B$24,2,FALSE),0)</f>
        <v>87610.955247949008</v>
      </c>
      <c r="X44" s="191">
        <f t="shared" si="12"/>
        <v>0</v>
      </c>
      <c r="Y44" s="171">
        <f t="shared" si="2"/>
        <v>0</v>
      </c>
      <c r="Z44" s="103">
        <f t="shared" si="3"/>
        <v>1</v>
      </c>
    </row>
    <row r="45" spans="1:26" hidden="1" x14ac:dyDescent="0.25">
      <c r="A45" s="192" t="s">
        <v>136</v>
      </c>
      <c r="B45" s="192" t="s">
        <v>223</v>
      </c>
      <c r="C45" s="192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2">
        <f t="shared" si="8"/>
        <v>2019</v>
      </c>
      <c r="E45" s="190" t="s">
        <v>23</v>
      </c>
      <c r="F45" s="193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15352538.506892066</v>
      </c>
      <c r="G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0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3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2">
        <f t="shared" si="9"/>
        <v>0</v>
      </c>
      <c r="O45" s="193">
        <f t="shared" si="1"/>
        <v>0</v>
      </c>
      <c r="P45" s="203">
        <f t="shared" si="10"/>
        <v>2534442.072977222</v>
      </c>
      <c r="Q45" s="190">
        <f>IFERROR(VLOOKUP(A45,[1]Energiindhold!$A$2:$C$11,3,FALSE),IFERROR(VLOOKUP(A45,[1]Biogasudbytte!$A$2:$B$18,2,FALSE)*[1]Energiindhold!$C$10,0))*O45</f>
        <v>0</v>
      </c>
      <c r="R45" s="190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0">
        <f>IFERROR(VLOOKUP(A45,[1]Biogasudbytte!$A$2:$B$18,2,FALSE)*[1]Energiindhold!$C$10,0)*J45*IFERROR(VLOOKUP(A45,Biogasanlæg!$F$3:$G$8,2,FALSE),1)</f>
        <v>1.0918376450385874</v>
      </c>
      <c r="T45" s="191">
        <f t="shared" si="11"/>
        <v>0</v>
      </c>
      <c r="U45" s="189">
        <f>O45*IFERROR(VLOOKUP(A45,[1]Tørstofindhold!A$2:B$24,2,FALSE),0)</f>
        <v>0</v>
      </c>
      <c r="V45" s="190">
        <f>IF(D45=År1,P45,SUM(O45,P45))*IFERROR(VLOOKUP(A45,[1]Tørstofindhold!A$2:B$24,2,FALSE),0)</f>
        <v>126722.10364886111</v>
      </c>
      <c r="W45" s="190">
        <f>J45*IFERROR(VLOOKUP(A45,[1]Tørstofindhold!A$2:B$24,2,FALSE),0)</f>
        <v>126722.10364886111</v>
      </c>
      <c r="X45" s="191">
        <f t="shared" si="12"/>
        <v>0</v>
      </c>
      <c r="Y45" s="171">
        <f t="shared" si="2"/>
        <v>0</v>
      </c>
      <c r="Z45" s="103">
        <f t="shared" si="3"/>
        <v>0</v>
      </c>
    </row>
    <row r="46" spans="1:26" hidden="1" x14ac:dyDescent="0.25">
      <c r="A46" s="192" t="s">
        <v>13</v>
      </c>
      <c r="B46" s="192"/>
      <c r="C46" s="192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2">
        <f t="shared" si="8"/>
        <v>2019</v>
      </c>
      <c r="E46" s="190" t="s">
        <v>23</v>
      </c>
      <c r="F46" s="193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1394376.9846055224</v>
      </c>
      <c r="G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0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3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2">
        <f t="shared" si="9"/>
        <v>1276456.3476501952</v>
      </c>
      <c r="O46" s="193">
        <f t="shared" si="1"/>
        <v>0</v>
      </c>
      <c r="P46" s="203">
        <f t="shared" si="10"/>
        <v>0</v>
      </c>
      <c r="Q46" s="190">
        <f>IFERROR(VLOOKUP(A46,[1]Energiindhold!$A$2:$C$11,3,FALSE),IFERROR(VLOOKUP(A46,[1]Biogasudbytte!$A$2:$B$18,2,FALSE)*[1]Energiindhold!$C$10,0))*O46</f>
        <v>0</v>
      </c>
      <c r="R46" s="190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0">
        <f>IFERROR(VLOOKUP(A46,[1]Biogasudbytte!$A$2:$B$18,2,FALSE)*[1]Energiindhold!$C$10,0)*J46*IFERROR(VLOOKUP(A46,Biogasanlæg!$F$3:$G$8,2,FALSE),1)</f>
        <v>0</v>
      </c>
      <c r="T46" s="191">
        <f t="shared" si="11"/>
        <v>0</v>
      </c>
      <c r="U46" s="189">
        <f>O46*IFERROR(VLOOKUP(A46,[1]Tørstofindhold!A$2:B$24,2,FALSE),0)</f>
        <v>0</v>
      </c>
      <c r="V46" s="190">
        <f>IF(D46=År1,P46,SUM(O46,P46))*IFERROR(VLOOKUP(A46,[1]Tørstofindhold!A$2:B$24,2,FALSE),0)</f>
        <v>0</v>
      </c>
      <c r="W46" s="190">
        <f>J46*IFERROR(VLOOKUP(A46,[1]Tørstofindhold!A$2:B$24,2,FALSE),0)</f>
        <v>0</v>
      </c>
      <c r="X46" s="191">
        <f t="shared" si="12"/>
        <v>0</v>
      </c>
      <c r="Y46" s="171">
        <f t="shared" si="2"/>
        <v>0</v>
      </c>
      <c r="Z46" s="103">
        <f t="shared" si="3"/>
        <v>1</v>
      </c>
    </row>
    <row r="47" spans="1:26" hidden="1" x14ac:dyDescent="0.25">
      <c r="A47" s="192" t="s">
        <v>100</v>
      </c>
      <c r="B47" s="192" t="s">
        <v>227</v>
      </c>
      <c r="C47" s="192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2">
        <f t="shared" si="8"/>
        <v>2019</v>
      </c>
      <c r="E47" s="190" t="s">
        <v>23</v>
      </c>
      <c r="F47" s="193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76.5</v>
      </c>
      <c r="G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0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3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2">
        <f t="shared" si="9"/>
        <v>76.5</v>
      </c>
      <c r="O47" s="193">
        <f t="shared" si="1"/>
        <v>76.5</v>
      </c>
      <c r="P47" s="203">
        <f t="shared" si="10"/>
        <v>0</v>
      </c>
      <c r="Q47" s="190">
        <f>IFERROR(VLOOKUP(A47,[1]Energiindhold!$A$2:$C$11,3,FALSE),IFERROR(VLOOKUP(A47,[1]Biogasudbytte!$A$2:$B$18,2,FALSE)*[1]Energiindhold!$C$10,0))*O47</f>
        <v>6.8658750000000004E-5</v>
      </c>
      <c r="R47" s="190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0">
        <f>IFERROR(VLOOKUP(A47,[1]Biogasudbytte!$A$2:$B$18,2,FALSE)*[1]Energiindhold!$C$10,0)*J47*IFERROR(VLOOKUP(A47,Biogasanlæg!$F$3:$G$8,2,FALSE),1)</f>
        <v>0</v>
      </c>
      <c r="T47" s="191">
        <f t="shared" si="11"/>
        <v>0</v>
      </c>
      <c r="U47" s="189">
        <f>O47*IFERROR(VLOOKUP(A47,[1]Tørstofindhold!A$2:B$24,2,FALSE),0)</f>
        <v>11.475</v>
      </c>
      <c r="V47" s="190">
        <f>IF(D47=År1,P47,SUM(O47,P47))*IFERROR(VLOOKUP(A47,[1]Tørstofindhold!A$2:B$24,2,FALSE),0)</f>
        <v>0</v>
      </c>
      <c r="W47" s="190">
        <f>J47*IFERROR(VLOOKUP(A47,[1]Tørstofindhold!A$2:B$24,2,FALSE),0)</f>
        <v>0</v>
      </c>
      <c r="X47" s="191">
        <f t="shared" si="12"/>
        <v>0</v>
      </c>
      <c r="Y47" s="171">
        <f t="shared" si="2"/>
        <v>0</v>
      </c>
      <c r="Z47" s="103">
        <f t="shared" si="3"/>
        <v>1</v>
      </c>
    </row>
    <row r="48" spans="1:26" hidden="1" x14ac:dyDescent="0.25">
      <c r="A48" s="192" t="s">
        <v>105</v>
      </c>
      <c r="B48" s="192"/>
      <c r="C48" s="192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2">
        <f t="shared" si="8"/>
        <v>2019</v>
      </c>
      <c r="E48" s="190" t="s">
        <v>23</v>
      </c>
      <c r="F48" s="193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0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3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2">
        <f t="shared" si="9"/>
        <v>0</v>
      </c>
      <c r="O48" s="193">
        <f t="shared" si="1"/>
        <v>0</v>
      </c>
      <c r="P48" s="203">
        <f t="shared" si="10"/>
        <v>0</v>
      </c>
      <c r="Q48" s="190">
        <f>IFERROR(VLOOKUP(A48,[1]Energiindhold!$A$2:$C$11,3,FALSE),IFERROR(VLOOKUP(A48,[1]Biogasudbytte!$A$2:$B$18,2,FALSE)*[1]Energiindhold!$C$10,0))*O48</f>
        <v>0</v>
      </c>
      <c r="R48" s="190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0">
        <f>IFERROR(VLOOKUP(A48,[1]Biogasudbytte!$A$2:$B$18,2,FALSE)*[1]Energiindhold!$C$10,0)*J48*IFERROR(VLOOKUP(A48,Biogasanlæg!$F$3:$G$8,2,FALSE),1)</f>
        <v>0</v>
      </c>
      <c r="T48" s="191">
        <f t="shared" si="11"/>
        <v>0</v>
      </c>
      <c r="U48" s="189">
        <f>O48*IFERROR(VLOOKUP(A48,[1]Tørstofindhold!A$2:B$24,2,FALSE),0)</f>
        <v>0</v>
      </c>
      <c r="V48" s="190">
        <f>IF(D48=År1,P48,SUM(O48,P48))*IFERROR(VLOOKUP(A48,[1]Tørstofindhold!A$2:B$24,2,FALSE),0)</f>
        <v>0</v>
      </c>
      <c r="W48" s="190">
        <f>J48*IFERROR(VLOOKUP(A48,[1]Tørstofindhold!A$2:B$24,2,FALSE),0)</f>
        <v>0</v>
      </c>
      <c r="X48" s="191">
        <f t="shared" si="12"/>
        <v>0</v>
      </c>
      <c r="Y48" s="171">
        <f t="shared" si="2"/>
        <v>0</v>
      </c>
      <c r="Z48" s="103">
        <f t="shared" si="3"/>
        <v>0</v>
      </c>
    </row>
    <row r="49" spans="1:26" hidden="1" x14ac:dyDescent="0.25">
      <c r="A49" s="192" t="s">
        <v>120</v>
      </c>
      <c r="B49" s="192" t="s">
        <v>226</v>
      </c>
      <c r="C49" s="192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2">
        <f t="shared" si="8"/>
        <v>2019</v>
      </c>
      <c r="E49" s="190" t="s">
        <v>23</v>
      </c>
      <c r="F49" s="193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2328635.6388303456</v>
      </c>
      <c r="G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0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3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2">
        <f t="shared" si="9"/>
        <v>0</v>
      </c>
      <c r="O49" s="193">
        <f t="shared" si="1"/>
        <v>0</v>
      </c>
      <c r="P49" s="203">
        <f t="shared" si="10"/>
        <v>2328635.6388303456</v>
      </c>
      <c r="Q49" s="190">
        <f>IFERROR(VLOOKUP(A49,[1]Energiindhold!$A$2:$C$11,3,FALSE),IFERROR(VLOOKUP(A49,[1]Biogasudbytte!$A$2:$B$18,2,FALSE)*[1]Energiindhold!$C$10,0))*O49</f>
        <v>0</v>
      </c>
      <c r="R49" s="190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0">
        <f>IFERROR(VLOOKUP(A49,[1]Biogasudbytte!$A$2:$B$18,2,FALSE)*[1]Energiindhold!$C$10,0)*J49*IFERROR(VLOOKUP(A49,Biogasanlæg!$F$3:$G$8,2,FALSE),1)</f>
        <v>0</v>
      </c>
      <c r="T49" s="191">
        <f t="shared" si="11"/>
        <v>33.750241076188566</v>
      </c>
      <c r="U49" s="189">
        <f>O49*IFERROR(VLOOKUP(A49,[1]Tørstofindhold!A$2:B$24,2,FALSE),0)</f>
        <v>0</v>
      </c>
      <c r="V49" s="190">
        <f>IF(D49=År1,P49,SUM(O49,P49))*IFERROR(VLOOKUP(A49,[1]Tørstofindhold!A$2:B$24,2,FALSE),0)</f>
        <v>1151704.3763715085</v>
      </c>
      <c r="W49" s="190">
        <f>J49*IFERROR(VLOOKUP(A49,[1]Tørstofindhold!A$2:B$24,2,FALSE),0)</f>
        <v>0</v>
      </c>
      <c r="X49" s="191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hidden="1" x14ac:dyDescent="0.25">
      <c r="A50" s="192" t="s">
        <v>119</v>
      </c>
      <c r="B50" s="192"/>
      <c r="C50" s="192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2">
        <f t="shared" si="8"/>
        <v>2019</v>
      </c>
      <c r="E50" s="190" t="s">
        <v>23</v>
      </c>
      <c r="F50" s="193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640280.13059892249</v>
      </c>
      <c r="G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0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3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2">
        <f t="shared" si="9"/>
        <v>0</v>
      </c>
      <c r="O50" s="193">
        <f t="shared" si="1"/>
        <v>0</v>
      </c>
      <c r="P50" s="203">
        <f t="shared" si="10"/>
        <v>0</v>
      </c>
      <c r="Q50" s="190">
        <f>IFERROR(VLOOKUP(A50,[1]Energiindhold!$A$2:$C$11,3,FALSE),IFERROR(VLOOKUP(A50,[1]Biogasudbytte!$A$2:$B$18,2,FALSE)*[1]Energiindhold!$C$10,0))*O50</f>
        <v>0</v>
      </c>
      <c r="R50" s="190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0">
        <f>IFERROR(VLOOKUP(A50,[1]Biogasudbytte!$A$2:$B$18,2,FALSE)*[1]Energiindhold!$C$10,0)*J50*IFERROR(VLOOKUP(A50,Biogasanlæg!$F$3:$G$8,2,FALSE),1)</f>
        <v>0</v>
      </c>
      <c r="T50" s="191">
        <f t="shared" si="11"/>
        <v>0</v>
      </c>
      <c r="U50" s="189">
        <f>O50*IFERROR(VLOOKUP(A50,[1]Tørstofindhold!A$2:B$24,2,FALSE),0)</f>
        <v>0</v>
      </c>
      <c r="V50" s="190">
        <f>IF(D50=År1,P50,SUM(O50,P50))*IFERROR(VLOOKUP(A50,[1]Tørstofindhold!A$2:B$24,2,FALSE),0)</f>
        <v>0</v>
      </c>
      <c r="W50" s="190">
        <f>J50*IFERROR(VLOOKUP(A50,[1]Tørstofindhold!A$2:B$24,2,FALSE),0)</f>
        <v>0</v>
      </c>
      <c r="X50" s="191">
        <f t="shared" si="12"/>
        <v>0</v>
      </c>
      <c r="Y50" s="171">
        <f t="shared" si="2"/>
        <v>0</v>
      </c>
      <c r="Z50" s="103">
        <f t="shared" si="3"/>
        <v>0</v>
      </c>
    </row>
    <row r="51" spans="1:26" hidden="1" x14ac:dyDescent="0.25">
      <c r="A51" s="192" t="str">
        <f t="shared" ref="A51:A82" si="17">A3</f>
        <v>Æg</v>
      </c>
      <c r="B51" s="192" t="str">
        <f t="shared" ref="B51:B82" si="18">IF(B3&lt;&gt;"",B3,"")</f>
        <v/>
      </c>
      <c r="C51" s="192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2">
        <f t="shared" ref="D51:D98" si="19">År2</f>
        <v>2030</v>
      </c>
      <c r="E51" s="190" t="s">
        <v>23</v>
      </c>
      <c r="F51" s="193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213791.94985288731</v>
      </c>
      <c r="G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0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3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2">
        <f t="shared" si="9"/>
        <v>181212.16529988745</v>
      </c>
      <c r="O51" s="193">
        <f t="shared" si="1"/>
        <v>0</v>
      </c>
      <c r="P51" s="203">
        <f t="shared" si="10"/>
        <v>0</v>
      </c>
      <c r="Q51" s="190">
        <f>IFERROR(VLOOKUP(A51,[1]Energiindhold!$A$2:$C$11,3,FALSE),IFERROR(VLOOKUP(A51,[1]Biogasudbytte!$A$2:$B$18,2,FALSE)*[1]Energiindhold!$C$10,0))*O51</f>
        <v>0</v>
      </c>
      <c r="R51" s="190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0">
        <f>IFERROR(VLOOKUP(A51,[1]Biogasudbytte!$A$2:$B$18,2,FALSE)*[1]Energiindhold!$C$10,0)*J51*IFERROR(VLOOKUP(A51,Biogasanlæg!$F$3:$G$8,2,FALSE),1)</f>
        <v>0</v>
      </c>
      <c r="T51" s="191">
        <f t="shared" si="11"/>
        <v>0</v>
      </c>
      <c r="U51" s="189">
        <f>O51*IFERROR(VLOOKUP(A51,[1]Tørstofindhold!A$2:B$24,2,FALSE),0)</f>
        <v>0</v>
      </c>
      <c r="V51" s="190">
        <f>IF(D51=År1,P51,SUM(O51,P51))*IFERROR(VLOOKUP(A51,[1]Tørstofindhold!A$2:B$24,2,FALSE),0)</f>
        <v>0</v>
      </c>
      <c r="W51" s="190">
        <f>J51*IFERROR(VLOOKUP(A51,[1]Tørstofindhold!A$2:B$24,2,FALSE),0)</f>
        <v>0</v>
      </c>
      <c r="X51" s="191">
        <f t="shared" si="12"/>
        <v>0</v>
      </c>
      <c r="Y51" s="171">
        <f t="shared" si="2"/>
        <v>0</v>
      </c>
      <c r="Z51" s="103">
        <f t="shared" si="3"/>
        <v>1</v>
      </c>
    </row>
    <row r="52" spans="1:26" hidden="1" x14ac:dyDescent="0.25">
      <c r="A52" s="192" t="str">
        <f t="shared" si="17"/>
        <v>Bælgsæd</v>
      </c>
      <c r="B52" s="192" t="str">
        <f t="shared" si="18"/>
        <v/>
      </c>
      <c r="C52" s="192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2">
        <f t="shared" si="19"/>
        <v>2030</v>
      </c>
      <c r="E52" s="190" t="s">
        <v>23</v>
      </c>
      <c r="F52" s="193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735284.33485275437</v>
      </c>
      <c r="G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49206.445220713846</v>
      </c>
      <c r="H52" s="190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43439.71273733316</v>
      </c>
      <c r="J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3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2">
        <f t="shared" si="9"/>
        <v>642638.17689470737</v>
      </c>
      <c r="O52" s="193">
        <f t="shared" si="1"/>
        <v>0</v>
      </c>
      <c r="P52" s="203">
        <f t="shared" si="10"/>
        <v>0</v>
      </c>
      <c r="Q52" s="190">
        <f>IFERROR(VLOOKUP(A52,[1]Energiindhold!$A$2:$C$11,3,FALSE),IFERROR(VLOOKUP(A52,[1]Biogasudbytte!$A$2:$B$18,2,FALSE)*[1]Energiindhold!$C$10,0))*O52</f>
        <v>0</v>
      </c>
      <c r="R52" s="190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0">
        <f>IFERROR(VLOOKUP(A52,[1]Biogasudbytte!$A$2:$B$18,2,FALSE)*[1]Energiindhold!$C$10,0)*J52*IFERROR(VLOOKUP(A52,Biogasanlæg!$F$3:$G$8,2,FALSE),1)</f>
        <v>0</v>
      </c>
      <c r="T52" s="191">
        <f t="shared" si="11"/>
        <v>0</v>
      </c>
      <c r="U52" s="189">
        <f>O52*IFERROR(VLOOKUP(A52,[1]Tørstofindhold!A$2:B$24,2,FALSE),0)</f>
        <v>0</v>
      </c>
      <c r="V52" s="190">
        <f>IF(D52=År1,P52,SUM(O52,P52))*IFERROR(VLOOKUP(A52,[1]Tørstofindhold!A$2:B$24,2,FALSE),0)</f>
        <v>0</v>
      </c>
      <c r="W52" s="190">
        <f>J52*IFERROR(VLOOKUP(A52,[1]Tørstofindhold!A$2:B$24,2,FALSE),0)</f>
        <v>0</v>
      </c>
      <c r="X52" s="191">
        <f t="shared" si="12"/>
        <v>0</v>
      </c>
      <c r="Y52" s="171">
        <f t="shared" si="2"/>
        <v>0</v>
      </c>
      <c r="Z52" s="103">
        <f t="shared" si="3"/>
        <v>1</v>
      </c>
    </row>
    <row r="53" spans="1:26" hidden="1" x14ac:dyDescent="0.25">
      <c r="A53" s="192" t="str">
        <f t="shared" si="17"/>
        <v>Bioaffald</v>
      </c>
      <c r="B53" s="192" t="str">
        <f t="shared" si="18"/>
        <v>Bionedbrydeligt affald</v>
      </c>
      <c r="C53" s="192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2">
        <f t="shared" si="19"/>
        <v>2030</v>
      </c>
      <c r="E53" s="190" t="s">
        <v>23</v>
      </c>
      <c r="F53" s="193">
        <f ca="1"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195082.22598438186</v>
      </c>
      <c r="G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0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3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3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2">
        <f t="shared" ca="1" si="9"/>
        <v>-1.5144408156629652E-2</v>
      </c>
      <c r="O53" s="193">
        <f t="shared" ca="1" si="1"/>
        <v>0</v>
      </c>
      <c r="P53" s="203">
        <f t="shared" ca="1" si="10"/>
        <v>195082.24112879002</v>
      </c>
      <c r="Q53" s="190">
        <f ca="1">IFERROR(VLOOKUP(A53,[1]Energiindhold!$A$2:$C$11,3,FALSE),IFERROR(VLOOKUP(A53,[1]Biogasudbytte!$A$2:$B$18,2,FALSE)*[1]Energiindhold!$C$10,0))*O53</f>
        <v>0</v>
      </c>
      <c r="R53" s="190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0">
        <f ca="1">IFERROR(VLOOKUP(A53,[1]Biogasudbytte!$A$2:$B$18,2,FALSE)*[1]Energiindhold!$C$10,0)*J53*IFERROR(VLOOKUP(A53,Biogasanlæg!$F$3:$G$8,2,FALSE),1)</f>
        <v>0.6646276381240861</v>
      </c>
      <c r="T53" s="191">
        <f t="shared" ca="1" si="11"/>
        <v>0</v>
      </c>
      <c r="U53" s="189">
        <f ca="1">O53*IFERROR(VLOOKUP(A53,[1]Tørstofindhold!A$2:B$24,2,FALSE),0)</f>
        <v>0</v>
      </c>
      <c r="V53" s="190">
        <f ca="1">IF(D53=År1,P53,SUM(O53,P53))*IFERROR(VLOOKUP(A53,[1]Tørstofindhold!A$2:B$24,2,FALSE),0)</f>
        <v>54623.027516061207</v>
      </c>
      <c r="W53" s="190">
        <f ca="1">J53*IFERROR(VLOOKUP(A53,[1]Tørstofindhold!A$2:B$24,2,FALSE),0)</f>
        <v>54623.027516061207</v>
      </c>
      <c r="X53" s="191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hidden="1" x14ac:dyDescent="0.25">
      <c r="A54" s="192" t="str">
        <f t="shared" si="17"/>
        <v>Biogas</v>
      </c>
      <c r="B54" s="192" t="str">
        <f t="shared" si="18"/>
        <v/>
      </c>
      <c r="C54" s="192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2">
        <f t="shared" si="19"/>
        <v>2030</v>
      </c>
      <c r="E54" s="190" t="s">
        <v>23</v>
      </c>
      <c r="F54" s="193">
        <f ca="1"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442702887.09198487</v>
      </c>
      <c r="G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0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3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442702887.09198487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2">
        <f t="shared" ca="1" si="9"/>
        <v>0</v>
      </c>
      <c r="O54" s="193">
        <f t="shared" ca="1" si="1"/>
        <v>0</v>
      </c>
      <c r="P54" s="203">
        <f t="shared" ca="1" si="10"/>
        <v>442702887.09198487</v>
      </c>
      <c r="Q54" s="190">
        <f ca="1">IFERROR(VLOOKUP(A54,[1]Energiindhold!$A$2:$C$11,3,FALSE),IFERROR(VLOOKUP(A54,[1]Biogasudbytte!$A$2:$B$18,2,FALSE)*[1]Energiindhold!$C$10,0))*O54</f>
        <v>0</v>
      </c>
      <c r="R54" s="190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0">
        <f>IFERROR(VLOOKUP(A54,[1]Biogasudbytte!$A$2:$B$18,2,FALSE)*[1]Energiindhold!$C$10,0)*J54*IFERROR(VLOOKUP(A54,Biogasanlæg!$F$3:$G$8,2,FALSE),1)</f>
        <v>0</v>
      </c>
      <c r="T54" s="191">
        <f t="shared" si="11"/>
        <v>0</v>
      </c>
      <c r="U54" s="189">
        <f ca="1">O54*IFERROR(VLOOKUP(A54,[1]Tørstofindhold!A$2:B$24,2,FALSE),0)</f>
        <v>0</v>
      </c>
      <c r="V54" s="190">
        <f ca="1">IF(D54=År1,P54,SUM(O54,P54))*IFERROR(VLOOKUP(A54,[1]Tørstofindhold!A$2:B$24,2,FALSE),0)</f>
        <v>0</v>
      </c>
      <c r="W54" s="190">
        <f>J54*IFERROR(VLOOKUP(A54,[1]Tørstofindhold!A$2:B$24,2,FALSE),0)</f>
        <v>0</v>
      </c>
      <c r="X54" s="191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x14ac:dyDescent="0.25">
      <c r="A55" s="192" t="str">
        <f t="shared" si="17"/>
        <v>Biogasgylle</v>
      </c>
      <c r="B55" s="192" t="str">
        <f t="shared" si="18"/>
        <v/>
      </c>
      <c r="C55" s="192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2">
        <f t="shared" si="19"/>
        <v>2030</v>
      </c>
      <c r="E55" s="190" t="s">
        <v>23</v>
      </c>
      <c r="F55" s="193">
        <f ca="1"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18319681.436583094</v>
      </c>
      <c r="G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0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3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14824448.951279402</v>
      </c>
      <c r="L55" s="193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2">
        <f t="shared" ca="1" si="9"/>
        <v>3495232.4853036925</v>
      </c>
      <c r="O55" s="193">
        <f t="shared" si="1"/>
        <v>0</v>
      </c>
      <c r="P55" s="203">
        <f t="shared" si="10"/>
        <v>0</v>
      </c>
      <c r="Q55" s="190">
        <f>IFERROR(VLOOKUP(A55,[1]Energiindhold!$A$2:$C$11,3,FALSE),IFERROR(VLOOKUP(A55,[1]Biogasudbytte!$A$2:$B$18,2,FALSE)*[1]Energiindhold!$C$10,0))*O55</f>
        <v>0</v>
      </c>
      <c r="R55" s="190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0">
        <f>IFERROR(VLOOKUP(A55,[1]Biogasudbytte!$A$2:$B$18,2,FALSE)*[1]Energiindhold!$C$10,0)*J55*IFERROR(VLOOKUP(A55,Biogasanlæg!$F$3:$G$8,2,FALSE),1)</f>
        <v>0</v>
      </c>
      <c r="T55" s="191">
        <f t="shared" si="11"/>
        <v>0</v>
      </c>
      <c r="U55" s="189">
        <f>O55*IFERROR(VLOOKUP(A55,[1]Tørstofindhold!A$2:B$24,2,FALSE),0)</f>
        <v>0</v>
      </c>
      <c r="V55" s="190">
        <f>IF(D55=År1,P55,SUM(O55,P55))*IFERROR(VLOOKUP(A55,[1]Tørstofindhold!A$2:B$24,2,FALSE),0)</f>
        <v>0</v>
      </c>
      <c r="W55" s="190">
        <f>J55*IFERROR(VLOOKUP(A55,[1]Tørstofindhold!A$2:B$24,2,FALSE),0)</f>
        <v>0</v>
      </c>
      <c r="X55" s="191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hidden="1" x14ac:dyDescent="0.25">
      <c r="A56" s="192" t="str">
        <f t="shared" si="17"/>
        <v>Brun saft</v>
      </c>
      <c r="B56" s="192" t="str">
        <f t="shared" si="18"/>
        <v>Bionedbrydeligt affald</v>
      </c>
      <c r="C56" s="192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2">
        <f t="shared" si="19"/>
        <v>2030</v>
      </c>
      <c r="E56" s="190" t="s">
        <v>23</v>
      </c>
      <c r="F56" s="193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2481780.8357572313</v>
      </c>
      <c r="G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0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1538704.1181694835</v>
      </c>
      <c r="K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3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2">
        <f t="shared" si="9"/>
        <v>943076.71758774784</v>
      </c>
      <c r="O56" s="193">
        <f t="shared" si="1"/>
        <v>943076.71758774784</v>
      </c>
      <c r="P56" s="203">
        <f t="shared" si="10"/>
        <v>1538704.1181694835</v>
      </c>
      <c r="Q56" s="190">
        <f>IFERROR(VLOOKUP(A56,[1]Energiindhold!$A$2:$C$11,3,FALSE),IFERROR(VLOOKUP(A56,[1]Biogasudbytte!$A$2:$B$18,2,FALSE)*[1]Energiindhold!$C$10,0))*O56</f>
        <v>0.53569216814405574</v>
      </c>
      <c r="R56" s="190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1.4097162319580414</v>
      </c>
      <c r="S56" s="190">
        <f>IFERROR(VLOOKUP(A56,[1]Biogasudbytte!$A$2:$B$18,2,FALSE)*[1]Energiindhold!$C$10,0)*J56*IFERROR(VLOOKUP(A56,Biogasanlæg!$F$3:$G$8,2,FALSE),1)</f>
        <v>0.87402406381398567</v>
      </c>
      <c r="T56" s="191">
        <f t="shared" si="11"/>
        <v>0.53569216814405574</v>
      </c>
      <c r="U56" s="189">
        <f>O56*IFERROR(VLOOKUP(A56,[1]Tørstofindhold!A$2:B$24,2,FALSE),0)</f>
        <v>40329.155171576873</v>
      </c>
      <c r="V56" s="190">
        <f>IF(D56=År1,P56,SUM(O56,P56))*IFERROR(VLOOKUP(A56,[1]Tørstofindhold!A$2:B$24,2,FALSE),0)</f>
        <v>106129.35571467598</v>
      </c>
      <c r="W56" s="190">
        <f>J56*IFERROR(VLOOKUP(A56,[1]Tørstofindhold!A$2:B$24,2,FALSE),0)</f>
        <v>65800.200543099112</v>
      </c>
      <c r="X56" s="191">
        <f t="shared" si="12"/>
        <v>40329.155171576873</v>
      </c>
      <c r="Y56" s="171">
        <f t="shared" si="2"/>
        <v>0</v>
      </c>
      <c r="Z56" s="103">
        <f t="shared" si="3"/>
        <v>1</v>
      </c>
    </row>
    <row r="57" spans="1:26" hidden="1" x14ac:dyDescent="0.25">
      <c r="A57" s="192" t="str">
        <f t="shared" si="17"/>
        <v>Dybstrøelse</v>
      </c>
      <c r="B57" s="192" t="str">
        <f t="shared" si="18"/>
        <v>Husdyrgødning</v>
      </c>
      <c r="C57" s="192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2">
        <f t="shared" si="19"/>
        <v>2030</v>
      </c>
      <c r="E57" s="190" t="s">
        <v>23</v>
      </c>
      <c r="F57" s="193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2150858.1410453846</v>
      </c>
      <c r="G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0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1333532.0474481385</v>
      </c>
      <c r="K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309416.30686181458</v>
      </c>
      <c r="L57" s="193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2">
        <f t="shared" si="9"/>
        <v>507909.78673543152</v>
      </c>
      <c r="O57" s="193">
        <f t="shared" si="1"/>
        <v>507909.78673543152</v>
      </c>
      <c r="P57" s="203">
        <f t="shared" si="10"/>
        <v>1333532.0474481385</v>
      </c>
      <c r="Q57" s="190">
        <f>IFERROR(VLOOKUP(A57,[1]Energiindhold!$A$2:$C$11,3,FALSE),IFERROR(VLOOKUP(A57,[1]Biogasudbytte!$A$2:$B$18,2,FALSE)*[1]Energiindhold!$C$10,0))*O57</f>
        <v>1.0940376806281196</v>
      </c>
      <c r="R57" s="190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3.9664657108314101</v>
      </c>
      <c r="S57" s="190">
        <f>IFERROR(VLOOKUP(A57,[1]Biogasudbytte!$A$2:$B$18,2,FALSE)*[1]Energiindhold!$C$10,0)*J57*IFERROR(VLOOKUP(A57,Biogasanlæg!$F$3:$G$8,2,FALSE),1)</f>
        <v>2.8724280302032903</v>
      </c>
      <c r="T57" s="191">
        <f t="shared" si="11"/>
        <v>1.0940376806281198</v>
      </c>
      <c r="U57" s="189">
        <f>O57*IFERROR(VLOOKUP(A57,[1]Tørstofindhold!A$2:B$24,2,FALSE),0)</f>
        <v>152372.93602062945</v>
      </c>
      <c r="V57" s="190">
        <f>IF(D57=År1,P57,SUM(O57,P57))*IFERROR(VLOOKUP(A57,[1]Tørstofindhold!A$2:B$24,2,FALSE),0)</f>
        <v>552432.55025507102</v>
      </c>
      <c r="W57" s="190">
        <f>J57*IFERROR(VLOOKUP(A57,[1]Tørstofindhold!A$2:B$24,2,FALSE),0)</f>
        <v>400059.61423444154</v>
      </c>
      <c r="X57" s="191">
        <f t="shared" si="12"/>
        <v>152372.93602062948</v>
      </c>
      <c r="Y57" s="171">
        <f t="shared" si="2"/>
        <v>0</v>
      </c>
      <c r="Z57" s="103">
        <f t="shared" si="3"/>
        <v>1</v>
      </c>
    </row>
    <row r="58" spans="1:26" hidden="1" x14ac:dyDescent="0.25">
      <c r="A58" s="192" t="str">
        <f t="shared" si="17"/>
        <v>Fiberfraktion</v>
      </c>
      <c r="B58" s="192" t="str">
        <f t="shared" si="18"/>
        <v/>
      </c>
      <c r="C58" s="192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2">
        <f t="shared" si="19"/>
        <v>2030</v>
      </c>
      <c r="E58" s="190" t="s">
        <v>23</v>
      </c>
      <c r="F58" s="193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1748012.9176534868</v>
      </c>
      <c r="G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1757373.0435969227</v>
      </c>
      <c r="H58" s="190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3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2">
        <f t="shared" si="9"/>
        <v>-9360.1259434358217</v>
      </c>
      <c r="O58" s="193">
        <f t="shared" si="1"/>
        <v>0</v>
      </c>
      <c r="P58" s="203">
        <f t="shared" si="10"/>
        <v>0</v>
      </c>
      <c r="Q58" s="190">
        <f>IFERROR(VLOOKUP(A58,[1]Energiindhold!$A$2:$C$11,3,FALSE),IFERROR(VLOOKUP(A58,[1]Biogasudbytte!$A$2:$B$18,2,FALSE)*[1]Energiindhold!$C$10,0))*O58</f>
        <v>0</v>
      </c>
      <c r="R58" s="190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0">
        <f>IFERROR(VLOOKUP(A58,[1]Biogasudbytte!$A$2:$B$18,2,FALSE)*[1]Energiindhold!$C$10,0)*J58*IFERROR(VLOOKUP(A58,Biogasanlæg!$F$3:$G$8,2,FALSE),1)</f>
        <v>0</v>
      </c>
      <c r="T58" s="191">
        <f t="shared" si="11"/>
        <v>0</v>
      </c>
      <c r="U58" s="189">
        <f>O58*IFERROR(VLOOKUP(A58,[1]Tørstofindhold!A$2:B$24,2,FALSE),0)</f>
        <v>0</v>
      </c>
      <c r="V58" s="190">
        <f>IF(D58=År1,P58,SUM(O58,P58))*IFERROR(VLOOKUP(A58,[1]Tørstofindhold!A$2:B$24,2,FALSE),0)</f>
        <v>0</v>
      </c>
      <c r="W58" s="190">
        <f>J58*IFERROR(VLOOKUP(A58,[1]Tørstofindhold!A$2:B$24,2,FALSE),0)</f>
        <v>0</v>
      </c>
      <c r="X58" s="191">
        <f t="shared" si="12"/>
        <v>0</v>
      </c>
      <c r="Y58" s="171">
        <f t="shared" si="2"/>
        <v>1</v>
      </c>
      <c r="Z58" s="103">
        <f t="shared" si="3"/>
        <v>0</v>
      </c>
    </row>
    <row r="59" spans="1:26" hidden="1" x14ac:dyDescent="0.25">
      <c r="A59" s="192" t="str">
        <f t="shared" si="17"/>
        <v>Fjerkrægylle</v>
      </c>
      <c r="B59" s="192" t="str">
        <f t="shared" si="18"/>
        <v>Husdyrgødning</v>
      </c>
      <c r="C59" s="192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2">
        <f t="shared" si="19"/>
        <v>2030</v>
      </c>
      <c r="E59" s="190" t="s">
        <v>23</v>
      </c>
      <c r="F59" s="193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8342.726135545483</v>
      </c>
      <c r="G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0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5172.4902040381994</v>
      </c>
      <c r="K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3170.2359315072836</v>
      </c>
      <c r="L59" s="193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2">
        <f t="shared" si="9"/>
        <v>0</v>
      </c>
      <c r="O59" s="193">
        <f t="shared" si="1"/>
        <v>0</v>
      </c>
      <c r="P59" s="203">
        <f t="shared" si="10"/>
        <v>5172.4902040381994</v>
      </c>
      <c r="Q59" s="190">
        <f>IFERROR(VLOOKUP(A59,[1]Energiindhold!$A$2:$C$11,3,FALSE),IFERROR(VLOOKUP(A59,[1]Biogasudbytte!$A$2:$B$18,2,FALSE)*[1]Energiindhold!$C$10,0))*O59</f>
        <v>0</v>
      </c>
      <c r="R59" s="190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2.4325704180571247E-3</v>
      </c>
      <c r="S59" s="190">
        <f>IFERROR(VLOOKUP(A59,[1]Biogasudbytte!$A$2:$B$18,2,FALSE)*[1]Energiindhold!$C$10,0)*J59*IFERROR(VLOOKUP(A59,Biogasanlæg!$F$3:$G$8,2,FALSE),1)</f>
        <v>2.4325704180571247E-3</v>
      </c>
      <c r="T59" s="191">
        <f t="shared" si="11"/>
        <v>0</v>
      </c>
      <c r="U59" s="189">
        <f>O59*IFERROR(VLOOKUP(A59,[1]Tørstofindhold!A$2:B$24,2,FALSE),0)</f>
        <v>0</v>
      </c>
      <c r="V59" s="190">
        <f>IF(D59=År1,P59,SUM(O59,P59))*IFERROR(VLOOKUP(A59,[1]Tørstofindhold!A$2:B$24,2,FALSE),0)</f>
        <v>325.86688285440658</v>
      </c>
      <c r="W59" s="190">
        <f>J59*IFERROR(VLOOKUP(A59,[1]Tørstofindhold!A$2:B$24,2,FALSE),0)</f>
        <v>325.86688285440658</v>
      </c>
      <c r="X59" s="191">
        <f t="shared" si="12"/>
        <v>0</v>
      </c>
      <c r="Y59" s="171">
        <f t="shared" si="2"/>
        <v>0</v>
      </c>
      <c r="Z59" s="103">
        <f t="shared" si="3"/>
        <v>0</v>
      </c>
    </row>
    <row r="60" spans="1:26" hidden="1" x14ac:dyDescent="0.25">
      <c r="A60" s="192" t="str">
        <f t="shared" si="17"/>
        <v>Fjerkrækød</v>
      </c>
      <c r="B60" s="192" t="str">
        <f t="shared" si="18"/>
        <v/>
      </c>
      <c r="C60" s="192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2">
        <f t="shared" si="19"/>
        <v>2030</v>
      </c>
      <c r="E60" s="190" t="s">
        <v>23</v>
      </c>
      <c r="F60" s="193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181628.8895635134</v>
      </c>
      <c r="G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0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28235.813279266553</v>
      </c>
      <c r="J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3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2">
        <f t="shared" si="9"/>
        <v>153393.07628424684</v>
      </c>
      <c r="O60" s="193">
        <f t="shared" si="1"/>
        <v>0</v>
      </c>
      <c r="P60" s="203">
        <f t="shared" si="10"/>
        <v>0</v>
      </c>
      <c r="Q60" s="190">
        <f>IFERROR(VLOOKUP(A60,[1]Energiindhold!$A$2:$C$11,3,FALSE),IFERROR(VLOOKUP(A60,[1]Biogasudbytte!$A$2:$B$18,2,FALSE)*[1]Energiindhold!$C$10,0))*O60</f>
        <v>0</v>
      </c>
      <c r="R60" s="190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0">
        <f>IFERROR(VLOOKUP(A60,[1]Biogasudbytte!$A$2:$B$18,2,FALSE)*[1]Energiindhold!$C$10,0)*J60*IFERROR(VLOOKUP(A60,Biogasanlæg!$F$3:$G$8,2,FALSE),1)</f>
        <v>0</v>
      </c>
      <c r="T60" s="191">
        <f t="shared" si="11"/>
        <v>0</v>
      </c>
      <c r="U60" s="189">
        <f>O60*IFERROR(VLOOKUP(A60,[1]Tørstofindhold!A$2:B$24,2,FALSE),0)</f>
        <v>0</v>
      </c>
      <c r="V60" s="190">
        <f>IF(D60=År1,P60,SUM(O60,P60))*IFERROR(VLOOKUP(A60,[1]Tørstofindhold!A$2:B$24,2,FALSE),0)</f>
        <v>0</v>
      </c>
      <c r="W60" s="190">
        <f>J60*IFERROR(VLOOKUP(A60,[1]Tørstofindhold!A$2:B$24,2,FALSE),0)</f>
        <v>0</v>
      </c>
      <c r="X60" s="191">
        <f t="shared" si="12"/>
        <v>0</v>
      </c>
      <c r="Y60" s="171">
        <f t="shared" si="2"/>
        <v>0</v>
      </c>
      <c r="Z60" s="103">
        <f t="shared" si="3"/>
        <v>1</v>
      </c>
    </row>
    <row r="61" spans="1:26" hidden="1" x14ac:dyDescent="0.25">
      <c r="A61" s="192" t="str">
        <f t="shared" si="17"/>
        <v>Frø</v>
      </c>
      <c r="B61" s="192" t="str">
        <f t="shared" si="18"/>
        <v/>
      </c>
      <c r="C61" s="192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2">
        <f t="shared" si="19"/>
        <v>2030</v>
      </c>
      <c r="E61" s="190" t="s">
        <v>23</v>
      </c>
      <c r="F61" s="193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1001970.2375971108</v>
      </c>
      <c r="G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0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3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2">
        <f t="shared" si="9"/>
        <v>1001970.2375971108</v>
      </c>
      <c r="O61" s="193">
        <f t="shared" si="1"/>
        <v>0</v>
      </c>
      <c r="P61" s="203">
        <f t="shared" si="10"/>
        <v>0</v>
      </c>
      <c r="Q61" s="190">
        <f>IFERROR(VLOOKUP(A61,[1]Energiindhold!$A$2:$C$11,3,FALSE),IFERROR(VLOOKUP(A61,[1]Biogasudbytte!$A$2:$B$18,2,FALSE)*[1]Energiindhold!$C$10,0))*O61</f>
        <v>0</v>
      </c>
      <c r="R61" s="190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0">
        <f>IFERROR(VLOOKUP(A61,[1]Biogasudbytte!$A$2:$B$18,2,FALSE)*[1]Energiindhold!$C$10,0)*J61*IFERROR(VLOOKUP(A61,Biogasanlæg!$F$3:$G$8,2,FALSE),1)</f>
        <v>0</v>
      </c>
      <c r="T61" s="191">
        <f t="shared" si="11"/>
        <v>0</v>
      </c>
      <c r="U61" s="189">
        <f>O61*IFERROR(VLOOKUP(A61,[1]Tørstofindhold!A$2:B$24,2,FALSE),0)</f>
        <v>0</v>
      </c>
      <c r="V61" s="190">
        <f>IF(D61=År1,P61,SUM(O61,P61))*IFERROR(VLOOKUP(A61,[1]Tørstofindhold!A$2:B$24,2,FALSE),0)</f>
        <v>0</v>
      </c>
      <c r="W61" s="190">
        <f>J61*IFERROR(VLOOKUP(A61,[1]Tørstofindhold!A$2:B$24,2,FALSE),0)</f>
        <v>0</v>
      </c>
      <c r="X61" s="191">
        <f t="shared" si="12"/>
        <v>0</v>
      </c>
      <c r="Y61" s="171">
        <f t="shared" si="2"/>
        <v>0</v>
      </c>
      <c r="Z61" s="103">
        <f t="shared" si="3"/>
        <v>1</v>
      </c>
    </row>
    <row r="62" spans="1:26" hidden="1" x14ac:dyDescent="0.25">
      <c r="A62" s="192" t="str">
        <f t="shared" si="17"/>
        <v>Frugt</v>
      </c>
      <c r="B62" s="192" t="str">
        <f t="shared" si="18"/>
        <v/>
      </c>
      <c r="C62" s="192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2">
        <f t="shared" si="19"/>
        <v>2030</v>
      </c>
      <c r="E62" s="190" t="s">
        <v>23</v>
      </c>
      <c r="F62" s="193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139807.2046539399</v>
      </c>
      <c r="G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0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3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2">
        <f t="shared" si="9"/>
        <v>-118116.08972397572</v>
      </c>
      <c r="O62" s="193">
        <f t="shared" si="1"/>
        <v>0</v>
      </c>
      <c r="P62" s="203">
        <f t="shared" si="10"/>
        <v>0</v>
      </c>
      <c r="Q62" s="190">
        <f>IFERROR(VLOOKUP(A62,[1]Energiindhold!$A$2:$C$11,3,FALSE),IFERROR(VLOOKUP(A62,[1]Biogasudbytte!$A$2:$B$18,2,FALSE)*[1]Energiindhold!$C$10,0))*O62</f>
        <v>0</v>
      </c>
      <c r="R62" s="190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0">
        <f>IFERROR(VLOOKUP(A62,[1]Biogasudbytte!$A$2:$B$18,2,FALSE)*[1]Energiindhold!$C$10,0)*J62*IFERROR(VLOOKUP(A62,Biogasanlæg!$F$3:$G$8,2,FALSE),1)</f>
        <v>0</v>
      </c>
      <c r="T62" s="191">
        <f t="shared" si="11"/>
        <v>0</v>
      </c>
      <c r="U62" s="189">
        <f>O62*IFERROR(VLOOKUP(A62,[1]Tørstofindhold!A$2:B$24,2,FALSE),0)</f>
        <v>0</v>
      </c>
      <c r="V62" s="190">
        <f>IF(D62=År1,P62,SUM(O62,P62))*IFERROR(VLOOKUP(A62,[1]Tørstofindhold!A$2:B$24,2,FALSE),0)</f>
        <v>0</v>
      </c>
      <c r="W62" s="190">
        <f>J62*IFERROR(VLOOKUP(A62,[1]Tørstofindhold!A$2:B$24,2,FALSE),0)</f>
        <v>0</v>
      </c>
      <c r="X62" s="191">
        <f t="shared" si="12"/>
        <v>0</v>
      </c>
      <c r="Y62" s="171">
        <f t="shared" si="2"/>
        <v>1</v>
      </c>
      <c r="Z62" s="103">
        <f t="shared" si="3"/>
        <v>0</v>
      </c>
    </row>
    <row r="63" spans="1:26" hidden="1" x14ac:dyDescent="0.25">
      <c r="A63" s="192" t="str">
        <f t="shared" si="17"/>
        <v>Glycerin</v>
      </c>
      <c r="B63" s="192" t="str">
        <f t="shared" si="18"/>
        <v>Glycerin</v>
      </c>
      <c r="C63" s="192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2">
        <f t="shared" si="19"/>
        <v>2030</v>
      </c>
      <c r="E63" s="190" t="s">
        <v>23</v>
      </c>
      <c r="F63" s="193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0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3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2">
        <f t="shared" si="9"/>
        <v>-114193.60000000001</v>
      </c>
      <c r="O63" s="193">
        <f t="shared" si="1"/>
        <v>0</v>
      </c>
      <c r="P63" s="203">
        <f t="shared" si="10"/>
        <v>114193.60000000001</v>
      </c>
      <c r="Q63" s="190">
        <f>IFERROR(VLOOKUP(A63,[1]Energiindhold!$A$2:$C$11,3,FALSE),IFERROR(VLOOKUP(A63,[1]Biogasudbytte!$A$2:$B$18,2,FALSE)*[1]Energiindhold!$C$10,0))*O63</f>
        <v>0</v>
      </c>
      <c r="R63" s="190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0">
        <f>IFERROR(VLOOKUP(A63,[1]Biogasudbytte!$A$2:$B$18,2,FALSE)*[1]Energiindhold!$C$10,0)*J63*IFERROR(VLOOKUP(A63,Biogasanlæg!$F$3:$G$8,2,FALSE),1)</f>
        <v>1.7355855896064003</v>
      </c>
      <c r="T63" s="191">
        <f t="shared" si="11"/>
        <v>0</v>
      </c>
      <c r="U63" s="189">
        <f>O63*IFERROR(VLOOKUP(A63,[1]Tørstofindhold!A$2:B$24,2,FALSE),0)</f>
        <v>0</v>
      </c>
      <c r="V63" s="190">
        <f>IF(D63=År1,P63,SUM(O63,P63))*IFERROR(VLOOKUP(A63,[1]Tørstofindhold!A$2:B$24,2,FALSE),0)</f>
        <v>102774.24</v>
      </c>
      <c r="W63" s="190">
        <f>J63*IFERROR(VLOOKUP(A63,[1]Tørstofindhold!A$2:B$24,2,FALSE),0)</f>
        <v>102774.24</v>
      </c>
      <c r="X63" s="191">
        <f t="shared" si="12"/>
        <v>0</v>
      </c>
      <c r="Y63" s="171">
        <f t="shared" si="2"/>
        <v>1</v>
      </c>
      <c r="Z63" s="103">
        <f t="shared" si="3"/>
        <v>0</v>
      </c>
    </row>
    <row r="64" spans="1:26" hidden="1" x14ac:dyDescent="0.25">
      <c r="A64" s="192" t="str">
        <f t="shared" si="17"/>
        <v>Græs</v>
      </c>
      <c r="B64" s="192" t="str">
        <f t="shared" si="18"/>
        <v>Græs og urter</v>
      </c>
      <c r="C64" s="192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2">
        <f t="shared" si="19"/>
        <v>2030</v>
      </c>
      <c r="E64" s="190" t="s">
        <v>23</v>
      </c>
      <c r="F64" s="193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13481475.447011745</v>
      </c>
      <c r="G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9936191.571616387</v>
      </c>
      <c r="H64" s="190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0</v>
      </c>
      <c r="K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3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5078828.5991281262</v>
      </c>
      <c r="N64" s="202">
        <f t="shared" si="9"/>
        <v>-1533544.7237327676</v>
      </c>
      <c r="O64" s="193">
        <f t="shared" si="1"/>
        <v>0</v>
      </c>
      <c r="P64" s="203">
        <f t="shared" si="10"/>
        <v>0</v>
      </c>
      <c r="Q64" s="190">
        <f>IFERROR(VLOOKUP(A64,[1]Energiindhold!$A$2:$C$11,3,FALSE),IFERROR(VLOOKUP(A64,[1]Biogasudbytte!$A$2:$B$18,2,FALSE)*[1]Energiindhold!$C$10,0))*O64</f>
        <v>0</v>
      </c>
      <c r="R64" s="190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0</v>
      </c>
      <c r="S64" s="190">
        <f>IFERROR(VLOOKUP(A64,[1]Biogasudbytte!$A$2:$B$18,2,FALSE)*[1]Energiindhold!$C$10,0)*J64*IFERROR(VLOOKUP(A64,Biogasanlæg!$F$3:$G$8,2,FALSE),1)</f>
        <v>0</v>
      </c>
      <c r="T64" s="191">
        <f t="shared" si="11"/>
        <v>0</v>
      </c>
      <c r="U64" s="189">
        <f>O64*IFERROR(VLOOKUP(A64,[1]Tørstofindhold!A$2:B$24,2,FALSE),0)</f>
        <v>0</v>
      </c>
      <c r="V64" s="190">
        <f>IF(D64=År1,P64,SUM(O64,P64))*IFERROR(VLOOKUP(A64,[1]Tørstofindhold!A$2:B$24,2,FALSE),0)</f>
        <v>0</v>
      </c>
      <c r="W64" s="190">
        <f>J64*IFERROR(VLOOKUP(A64,[1]Tørstofindhold!A$2:B$24,2,FALSE),0)</f>
        <v>0</v>
      </c>
      <c r="X64" s="191">
        <f t="shared" si="12"/>
        <v>0</v>
      </c>
      <c r="Y64" s="171">
        <f t="shared" si="2"/>
        <v>0</v>
      </c>
      <c r="Z64" s="103">
        <f t="shared" si="3"/>
        <v>1</v>
      </c>
    </row>
    <row r="65" spans="1:26" hidden="1" x14ac:dyDescent="0.25">
      <c r="A65" s="192" t="str">
        <f t="shared" si="17"/>
        <v>Græsprotein</v>
      </c>
      <c r="B65" s="192" t="str">
        <f t="shared" si="18"/>
        <v/>
      </c>
      <c r="C65" s="192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2">
        <f t="shared" si="19"/>
        <v>2030</v>
      </c>
      <c r="E65" s="190" t="s">
        <v>23</v>
      </c>
      <c r="F65" s="193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849034.84571740788</v>
      </c>
      <c r="G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849034.84571740788</v>
      </c>
      <c r="H65" s="190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3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2">
        <f t="shared" si="9"/>
        <v>0</v>
      </c>
      <c r="O65" s="193">
        <f t="shared" si="1"/>
        <v>0</v>
      </c>
      <c r="P65" s="203">
        <f t="shared" si="10"/>
        <v>0</v>
      </c>
      <c r="Q65" s="190">
        <f>IFERROR(VLOOKUP(A65,[1]Energiindhold!$A$2:$C$11,3,FALSE),IFERROR(VLOOKUP(A65,[1]Biogasudbytte!$A$2:$B$18,2,FALSE)*[1]Energiindhold!$C$10,0))*O65</f>
        <v>0</v>
      </c>
      <c r="R65" s="190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0">
        <f>IFERROR(VLOOKUP(A65,[1]Biogasudbytte!$A$2:$B$18,2,FALSE)*[1]Energiindhold!$C$10,0)*J65*IFERROR(VLOOKUP(A65,Biogasanlæg!$F$3:$G$8,2,FALSE),1)</f>
        <v>0</v>
      </c>
      <c r="T65" s="191">
        <f t="shared" si="11"/>
        <v>0</v>
      </c>
      <c r="U65" s="189">
        <f>O65*IFERROR(VLOOKUP(A65,[1]Tørstofindhold!A$2:B$24,2,FALSE),0)</f>
        <v>0</v>
      </c>
      <c r="V65" s="190">
        <f>IF(D65=År1,P65,SUM(O65,P65))*IFERROR(VLOOKUP(A65,[1]Tørstofindhold!A$2:B$24,2,FALSE),0)</f>
        <v>0</v>
      </c>
      <c r="W65" s="190">
        <f>J65*IFERROR(VLOOKUP(A65,[1]Tørstofindhold!A$2:B$24,2,FALSE),0)</f>
        <v>0</v>
      </c>
      <c r="X65" s="191">
        <f t="shared" si="12"/>
        <v>0</v>
      </c>
      <c r="Y65" s="171">
        <f t="shared" si="2"/>
        <v>0</v>
      </c>
      <c r="Z65" s="103">
        <f t="shared" si="3"/>
        <v>0</v>
      </c>
    </row>
    <row r="66" spans="1:26" hidden="1" x14ac:dyDescent="0.25">
      <c r="A66" s="192" t="str">
        <f t="shared" si="17"/>
        <v>Grøntsager</v>
      </c>
      <c r="B66" s="192" t="str">
        <f t="shared" si="18"/>
        <v/>
      </c>
      <c r="C66" s="192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2">
        <f t="shared" si="19"/>
        <v>2030</v>
      </c>
      <c r="E66" s="190" t="s">
        <v>23</v>
      </c>
      <c r="F66" s="193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1502657.2310032574</v>
      </c>
      <c r="G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0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3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2">
        <f t="shared" si="9"/>
        <v>1232516.5174179669</v>
      </c>
      <c r="O66" s="193">
        <f t="shared" si="1"/>
        <v>0</v>
      </c>
      <c r="P66" s="203">
        <f t="shared" si="10"/>
        <v>0</v>
      </c>
      <c r="Q66" s="190">
        <f>IFERROR(VLOOKUP(A66,[1]Energiindhold!$A$2:$C$11,3,FALSE),IFERROR(VLOOKUP(A66,[1]Biogasudbytte!$A$2:$B$18,2,FALSE)*[1]Energiindhold!$C$10,0))*O66</f>
        <v>0</v>
      </c>
      <c r="R66" s="190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0">
        <f>IFERROR(VLOOKUP(A66,[1]Biogasudbytte!$A$2:$B$18,2,FALSE)*[1]Energiindhold!$C$10,0)*J66*IFERROR(VLOOKUP(A66,Biogasanlæg!$F$3:$G$8,2,FALSE),1)</f>
        <v>0</v>
      </c>
      <c r="T66" s="191">
        <f t="shared" si="11"/>
        <v>0</v>
      </c>
      <c r="U66" s="189">
        <f>O66*IFERROR(VLOOKUP(A66,[1]Tørstofindhold!A$2:B$24,2,FALSE),0)</f>
        <v>0</v>
      </c>
      <c r="V66" s="190">
        <f>IF(D66=År1,P66,SUM(O66,P66))*IFERROR(VLOOKUP(A66,[1]Tørstofindhold!A$2:B$24,2,FALSE),0)</f>
        <v>0</v>
      </c>
      <c r="W66" s="190">
        <f>J66*IFERROR(VLOOKUP(A66,[1]Tørstofindhold!A$2:B$24,2,FALSE),0)</f>
        <v>0</v>
      </c>
      <c r="X66" s="191">
        <f t="shared" si="12"/>
        <v>0</v>
      </c>
      <c r="Y66" s="171">
        <f t="shared" si="2"/>
        <v>0</v>
      </c>
      <c r="Z66" s="103">
        <f t="shared" si="3"/>
        <v>1</v>
      </c>
    </row>
    <row r="67" spans="1:26" hidden="1" x14ac:dyDescent="0.25">
      <c r="A67" s="192" t="str">
        <f t="shared" si="17"/>
        <v>Halm</v>
      </c>
      <c r="B67" s="192" t="str">
        <f t="shared" si="18"/>
        <v>Halm og strå</v>
      </c>
      <c r="C67" s="192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2">
        <f t="shared" si="19"/>
        <v>2030</v>
      </c>
      <c r="E67" s="190" t="s">
        <v>23</v>
      </c>
      <c r="F67" s="193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2924190.6957464674</v>
      </c>
      <c r="G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561023.48468616733</v>
      </c>
      <c r="H67" s="190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583713.23835090676</v>
      </c>
      <c r="I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0</v>
      </c>
      <c r="K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3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694779.36433719518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1084674.6083721975</v>
      </c>
      <c r="N67" s="202">
        <f t="shared" si="9"/>
        <v>0</v>
      </c>
      <c r="O67" s="193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3">
        <f t="shared" si="10"/>
        <v>694779.36433719518</v>
      </c>
      <c r="Q67" s="190">
        <f>IFERROR(VLOOKUP(A67,[1]Energiindhold!$A$2:$C$11,3,FALSE),IFERROR(VLOOKUP(A67,[1]Biogasudbytte!$A$2:$B$18,2,FALSE)*[1]Energiindhold!$C$10,0))*O67</f>
        <v>0</v>
      </c>
      <c r="R67" s="190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7.1811049582161264</v>
      </c>
      <c r="S67" s="190">
        <f>IFERROR(VLOOKUP(A67,[1]Biogasudbytte!$A$2:$B$18,2,FALSE)*[1]Energiindhold!$C$10,0)*J67*IFERROR(VLOOKUP(A67,Biogasanlæg!$F$3:$G$8,2,FALSE),1)</f>
        <v>0</v>
      </c>
      <c r="T67" s="191">
        <f t="shared" si="11"/>
        <v>7.1811049582161264</v>
      </c>
      <c r="U67" s="189">
        <f>O67*IFERROR(VLOOKUP(A67,[1]Tørstofindhold!A$2:B$24,2,FALSE),0)</f>
        <v>0</v>
      </c>
      <c r="V67" s="190">
        <f>IF(D67=År1,P67,SUM(O67,P67))*IFERROR(VLOOKUP(A67,[1]Tørstofindhold!A$2:B$24,2,FALSE),0)</f>
        <v>590562.45968661585</v>
      </c>
      <c r="W67" s="190">
        <f>J67*IFERROR(VLOOKUP(A67,[1]Tørstofindhold!A$2:B$24,2,FALSE),0)</f>
        <v>0</v>
      </c>
      <c r="X67" s="191">
        <f t="shared" si="12"/>
        <v>590562.45968661585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hidden="1" x14ac:dyDescent="0.25">
      <c r="A68" s="192" t="str">
        <f t="shared" si="17"/>
        <v>Have/parkaffald</v>
      </c>
      <c r="B68" s="192" t="str">
        <f t="shared" si="18"/>
        <v>Bionedbrydeligt affald</v>
      </c>
      <c r="C68" s="192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2">
        <f t="shared" si="19"/>
        <v>2030</v>
      </c>
      <c r="E68" s="190" t="s">
        <v>23</v>
      </c>
      <c r="F68" s="193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526734.10986839118</v>
      </c>
      <c r="G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0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428758.06783893198</v>
      </c>
      <c r="K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3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97976.042029459204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2">
        <f t="shared" si="9"/>
        <v>0</v>
      </c>
      <c r="O68" s="193">
        <f t="shared" si="20"/>
        <v>0</v>
      </c>
      <c r="P68" s="203">
        <f t="shared" si="10"/>
        <v>526734.10986839118</v>
      </c>
      <c r="Q68" s="190">
        <f>IFERROR(VLOOKUP(A68,[1]Energiindhold!$A$2:$C$11,3,FALSE),IFERROR(VLOOKUP(A68,[1]Biogasudbytte!$A$2:$B$18,2,FALSE)*[1]Energiindhold!$C$10,0))*O68</f>
        <v>0</v>
      </c>
      <c r="R68" s="190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2.4771511203079672</v>
      </c>
      <c r="S68" s="190">
        <f>IFERROR(VLOOKUP(A68,[1]Biogasudbytte!$A$2:$B$18,2,FALSE)*[1]Energiindhold!$C$10,0)*J68*IFERROR(VLOOKUP(A68,Biogasanlæg!$F$3:$G$8,2,FALSE),1)</f>
        <v>0.72806121225525533</v>
      </c>
      <c r="T68" s="191">
        <f t="shared" si="11"/>
        <v>1.7490899080527118</v>
      </c>
      <c r="U68" s="189">
        <f>O68*IFERROR(VLOOKUP(A68,[1]Tørstofindhold!A$2:B$24,2,FALSE),0)</f>
        <v>0</v>
      </c>
      <c r="V68" s="190">
        <f>IF(D68=År1,P68,SUM(O68,P68))*IFERROR(VLOOKUP(A68,[1]Tørstofindhold!A$2:B$24,2,FALSE),0)</f>
        <v>158020.23296051734</v>
      </c>
      <c r="W68" s="190">
        <f>J68*IFERROR(VLOOKUP(A68,[1]Tørstofindhold!A$2:B$24,2,FALSE),0)</f>
        <v>128627.42035167958</v>
      </c>
      <c r="X68" s="191">
        <f t="shared" si="12"/>
        <v>29392.812608837761</v>
      </c>
      <c r="Y68" s="171">
        <f t="shared" si="21"/>
        <v>0</v>
      </c>
      <c r="Z68" s="103">
        <f t="shared" si="22"/>
        <v>0</v>
      </c>
    </row>
    <row r="69" spans="1:26" hidden="1" x14ac:dyDescent="0.25">
      <c r="A69" s="192" t="str">
        <f t="shared" si="17"/>
        <v>Import af foder</v>
      </c>
      <c r="B69" s="192" t="str">
        <f t="shared" si="18"/>
        <v/>
      </c>
      <c r="C69" s="192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2">
        <f t="shared" si="19"/>
        <v>2030</v>
      </c>
      <c r="E69" s="190" t="s">
        <v>23</v>
      </c>
      <c r="F69" s="193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0</v>
      </c>
      <c r="H69" s="190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3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2">
        <f t="shared" si="9"/>
        <v>0</v>
      </c>
      <c r="O69" s="193">
        <f t="shared" si="20"/>
        <v>0</v>
      </c>
      <c r="P69" s="203">
        <f t="shared" si="10"/>
        <v>0</v>
      </c>
      <c r="Q69" s="190">
        <f>IFERROR(VLOOKUP(A69,[1]Energiindhold!$A$2:$C$11,3,FALSE),IFERROR(VLOOKUP(A69,[1]Biogasudbytte!$A$2:$B$18,2,FALSE)*[1]Energiindhold!$C$10,0))*O69</f>
        <v>0</v>
      </c>
      <c r="R69" s="190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0">
        <f>IFERROR(VLOOKUP(A69,[1]Biogasudbytte!$A$2:$B$18,2,FALSE)*[1]Energiindhold!$C$10,0)*J69*IFERROR(VLOOKUP(A69,Biogasanlæg!$F$3:$G$8,2,FALSE),1)</f>
        <v>0</v>
      </c>
      <c r="T69" s="191">
        <f t="shared" si="11"/>
        <v>0</v>
      </c>
      <c r="U69" s="189">
        <f>O69*IFERROR(VLOOKUP(A69,[1]Tørstofindhold!A$2:B$24,2,FALSE),0)</f>
        <v>0</v>
      </c>
      <c r="V69" s="190">
        <f>IF(D69=År1,P69,SUM(O69,P69))*IFERROR(VLOOKUP(A69,[1]Tørstofindhold!A$2:B$24,2,FALSE),0)</f>
        <v>0</v>
      </c>
      <c r="W69" s="190">
        <f>J69*IFERROR(VLOOKUP(A69,[1]Tørstofindhold!A$2:B$24,2,FALSE),0)</f>
        <v>0</v>
      </c>
      <c r="X69" s="191">
        <f t="shared" si="12"/>
        <v>0</v>
      </c>
      <c r="Y69" s="171">
        <f t="shared" si="21"/>
        <v>0</v>
      </c>
      <c r="Z69" s="103">
        <f t="shared" si="22"/>
        <v>0</v>
      </c>
    </row>
    <row r="70" spans="1:26" hidden="1" x14ac:dyDescent="0.25">
      <c r="A70" s="192" t="str">
        <f t="shared" si="17"/>
        <v>Industriaffald</v>
      </c>
      <c r="B70" s="192" t="str">
        <f t="shared" si="18"/>
        <v>Bionedbrydeligt affald</v>
      </c>
      <c r="C70" s="192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2">
        <f t="shared" si="19"/>
        <v>2030</v>
      </c>
      <c r="E70" s="190" t="s">
        <v>23</v>
      </c>
      <c r="F70" s="193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458632.55661358172</v>
      </c>
      <c r="G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0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420706.10687194945</v>
      </c>
      <c r="K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3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2">
        <f t="shared" si="9"/>
        <v>37926.44974163227</v>
      </c>
      <c r="O70" s="193">
        <f t="shared" si="20"/>
        <v>37926.44974163227</v>
      </c>
      <c r="P70" s="203">
        <f t="shared" si="10"/>
        <v>420706.10687194945</v>
      </c>
      <c r="Q70" s="190">
        <f>IFERROR(VLOOKUP(A70,[1]Energiindhold!$A$2:$C$11,3,FALSE),IFERROR(VLOOKUP(A70,[1]Biogasudbytte!$A$2:$B$18,2,FALSE)*[1]Energiindhold!$C$10,0))*O70</f>
        <v>0.16434023716895907</v>
      </c>
      <c r="R70" s="190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1.7138683521085021</v>
      </c>
      <c r="S70" s="190">
        <f>IFERROR(VLOOKUP(A70,[1]Biogasudbytte!$A$2:$B$18,2,FALSE)*[1]Energiindhold!$C$10,0)*J70*IFERROR(VLOOKUP(A70,Biogasanlæg!$F$3:$G$8,2,FALSE),1)</f>
        <v>1.549528114939543</v>
      </c>
      <c r="T70" s="191">
        <f t="shared" si="11"/>
        <v>0.16434023716895907</v>
      </c>
      <c r="U70" s="189">
        <f>O70*IFERROR(VLOOKUP(A70,[1]Tørstofindhold!A$2:B$24,2,FALSE),0)</f>
        <v>15929.108891485554</v>
      </c>
      <c r="V70" s="190">
        <f>IF(D70=År1,P70,SUM(O70,P70))*IFERROR(VLOOKUP(A70,[1]Tørstofindhold!A$2:B$24,2,FALSE),0)</f>
        <v>192625.6737777043</v>
      </c>
      <c r="W70" s="190">
        <f>J70*IFERROR(VLOOKUP(A70,[1]Tørstofindhold!A$2:B$24,2,FALSE),0)</f>
        <v>176696.56488621875</v>
      </c>
      <c r="X70" s="191">
        <f t="shared" si="12"/>
        <v>15929.10889148555</v>
      </c>
      <c r="Y70" s="171">
        <f t="shared" si="21"/>
        <v>0</v>
      </c>
      <c r="Z70" s="103">
        <f t="shared" si="22"/>
        <v>1</v>
      </c>
    </row>
    <row r="71" spans="1:26" hidden="1" x14ac:dyDescent="0.25">
      <c r="A71" s="192" t="str">
        <f t="shared" si="17"/>
        <v>Juletræer</v>
      </c>
      <c r="B71" s="192" t="str">
        <f t="shared" si="18"/>
        <v/>
      </c>
      <c r="C71" s="192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2">
        <f t="shared" si="19"/>
        <v>2030</v>
      </c>
      <c r="E71" s="190" t="s">
        <v>23</v>
      </c>
      <c r="F71" s="193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644035.8493924035</v>
      </c>
      <c r="G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0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3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2">
        <f t="shared" si="9"/>
        <v>644035.8493924035</v>
      </c>
      <c r="O71" s="193">
        <f t="shared" si="20"/>
        <v>0</v>
      </c>
      <c r="P71" s="203">
        <f t="shared" si="10"/>
        <v>0</v>
      </c>
      <c r="Q71" s="190">
        <f>IFERROR(VLOOKUP(A71,[1]Energiindhold!$A$2:$C$11,3,FALSE),IFERROR(VLOOKUP(A71,[1]Biogasudbytte!$A$2:$B$18,2,FALSE)*[1]Energiindhold!$C$10,0))*O71</f>
        <v>0</v>
      </c>
      <c r="R71" s="190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0">
        <f>IFERROR(VLOOKUP(A71,[1]Biogasudbytte!$A$2:$B$18,2,FALSE)*[1]Energiindhold!$C$10,0)*J71*IFERROR(VLOOKUP(A71,Biogasanlæg!$F$3:$G$8,2,FALSE),1)</f>
        <v>0</v>
      </c>
      <c r="T71" s="191">
        <f t="shared" si="11"/>
        <v>0</v>
      </c>
      <c r="U71" s="189">
        <f>O71*IFERROR(VLOOKUP(A71,[1]Tørstofindhold!A$2:B$24,2,FALSE),0)</f>
        <v>0</v>
      </c>
      <c r="V71" s="190">
        <f>IF(D71=År1,P71,SUM(O71,P71))*IFERROR(VLOOKUP(A71,[1]Tørstofindhold!A$2:B$24,2,FALSE),0)</f>
        <v>0</v>
      </c>
      <c r="W71" s="190">
        <f>J71*IFERROR(VLOOKUP(A71,[1]Tørstofindhold!A$2:B$24,2,FALSE),0)</f>
        <v>0</v>
      </c>
      <c r="X71" s="191">
        <f t="shared" si="12"/>
        <v>0</v>
      </c>
      <c r="Y71" s="171">
        <f t="shared" si="21"/>
        <v>0</v>
      </c>
      <c r="Z71" s="103">
        <f t="shared" si="22"/>
        <v>1</v>
      </c>
    </row>
    <row r="72" spans="1:26" hidden="1" x14ac:dyDescent="0.25">
      <c r="A72" s="192" t="str">
        <f t="shared" si="17"/>
        <v>Kartofler</v>
      </c>
      <c r="B72" s="192" t="str">
        <f t="shared" si="18"/>
        <v/>
      </c>
      <c r="C72" s="192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2">
        <f t="shared" si="19"/>
        <v>2030</v>
      </c>
      <c r="E72" s="190" t="s">
        <v>23</v>
      </c>
      <c r="F72" s="193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2153496.967481425</v>
      </c>
      <c r="G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0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3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2">
        <f t="shared" si="9"/>
        <v>2029965.2843846339</v>
      </c>
      <c r="O72" s="193">
        <f t="shared" si="20"/>
        <v>0</v>
      </c>
      <c r="P72" s="203">
        <f t="shared" si="10"/>
        <v>0</v>
      </c>
      <c r="Q72" s="190">
        <f>IFERROR(VLOOKUP(A72,[1]Energiindhold!$A$2:$C$11,3,FALSE),IFERROR(VLOOKUP(A72,[1]Biogasudbytte!$A$2:$B$18,2,FALSE)*[1]Energiindhold!$C$10,0))*O72</f>
        <v>0</v>
      </c>
      <c r="R72" s="190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0">
        <f>IFERROR(VLOOKUP(A72,[1]Biogasudbytte!$A$2:$B$18,2,FALSE)*[1]Energiindhold!$C$10,0)*J72*IFERROR(VLOOKUP(A72,Biogasanlæg!$F$3:$G$8,2,FALSE),1)</f>
        <v>0</v>
      </c>
      <c r="T72" s="191">
        <f t="shared" si="11"/>
        <v>0</v>
      </c>
      <c r="U72" s="189">
        <f>O72*IFERROR(VLOOKUP(A72,[1]Tørstofindhold!A$2:B$24,2,FALSE),0)</f>
        <v>0</v>
      </c>
      <c r="V72" s="190">
        <f>IF(D72=År1,P72,SUM(O72,P72))*IFERROR(VLOOKUP(A72,[1]Tørstofindhold!A$2:B$24,2,FALSE),0)</f>
        <v>0</v>
      </c>
      <c r="W72" s="190">
        <f>J72*IFERROR(VLOOKUP(A72,[1]Tørstofindhold!A$2:B$24,2,FALSE),0)</f>
        <v>0</v>
      </c>
      <c r="X72" s="191">
        <f t="shared" si="12"/>
        <v>0</v>
      </c>
      <c r="Y72" s="171">
        <f t="shared" si="21"/>
        <v>0</v>
      </c>
      <c r="Z72" s="103">
        <f t="shared" si="22"/>
        <v>1</v>
      </c>
    </row>
    <row r="73" spans="1:26" hidden="1" x14ac:dyDescent="0.25">
      <c r="A73" s="192" t="str">
        <f t="shared" si="17"/>
        <v>Korn</v>
      </c>
      <c r="B73" s="192" t="str">
        <f t="shared" si="18"/>
        <v>Halm og strå</v>
      </c>
      <c r="C73" s="192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2">
        <f t="shared" si="19"/>
        <v>2030</v>
      </c>
      <c r="E73" s="190" t="s">
        <v>23</v>
      </c>
      <c r="F73" s="193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4836920.0011490174</v>
      </c>
      <c r="G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4738960.0403951732</v>
      </c>
      <c r="H73" s="190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0</v>
      </c>
      <c r="K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3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2">
        <f t="shared" si="9"/>
        <v>-197973.08226923831</v>
      </c>
      <c r="O73" s="193">
        <f t="shared" si="20"/>
        <v>0</v>
      </c>
      <c r="P73" s="203">
        <f t="shared" si="10"/>
        <v>0</v>
      </c>
      <c r="Q73" s="190">
        <f>IFERROR(VLOOKUP(A73,[1]Energiindhold!$A$2:$C$11,3,FALSE),IFERROR(VLOOKUP(A73,[1]Biogasudbytte!$A$2:$B$18,2,FALSE)*[1]Energiindhold!$C$10,0))*O73</f>
        <v>0</v>
      </c>
      <c r="R73" s="190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0</v>
      </c>
      <c r="S73" s="190">
        <f>IFERROR(VLOOKUP(A73,[1]Biogasudbytte!$A$2:$B$18,2,FALSE)*[1]Energiindhold!$C$10,0)*J73*IFERROR(VLOOKUP(A73,Biogasanlæg!$F$3:$G$8,2,FALSE),1)</f>
        <v>0</v>
      </c>
      <c r="T73" s="191">
        <f t="shared" si="11"/>
        <v>0</v>
      </c>
      <c r="U73" s="189">
        <f>O73*IFERROR(VLOOKUP(A73,[1]Tørstofindhold!A$2:B$24,2,FALSE),0)</f>
        <v>0</v>
      </c>
      <c r="V73" s="190">
        <f>IF(D73=År1,P73,SUM(O73,P73))*IFERROR(VLOOKUP(A73,[1]Tørstofindhold!A$2:B$24,2,FALSE),0)</f>
        <v>0</v>
      </c>
      <c r="W73" s="190">
        <f>J73*IFERROR(VLOOKUP(A73,[1]Tørstofindhold!A$2:B$24,2,FALSE),0)</f>
        <v>0</v>
      </c>
      <c r="X73" s="191">
        <f t="shared" si="12"/>
        <v>0</v>
      </c>
      <c r="Y73" s="171">
        <f t="shared" si="21"/>
        <v>0</v>
      </c>
      <c r="Z73" s="103">
        <f t="shared" si="22"/>
        <v>1</v>
      </c>
    </row>
    <row r="74" spans="1:26" x14ac:dyDescent="0.25">
      <c r="A74" s="192" t="str">
        <f t="shared" si="17"/>
        <v>Kunstgødning</v>
      </c>
      <c r="B74" s="192" t="str">
        <f t="shared" si="18"/>
        <v/>
      </c>
      <c r="C74" s="192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2">
        <f t="shared" si="19"/>
        <v>2030</v>
      </c>
      <c r="E74" s="190" t="s">
        <v>23</v>
      </c>
      <c r="F74" s="193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0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3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1144486.0287738238</v>
      </c>
      <c r="L74" s="193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2">
        <f t="shared" ca="1" si="9"/>
        <v>-1144486.0287738238</v>
      </c>
      <c r="O74" s="193">
        <f t="shared" si="20"/>
        <v>0</v>
      </c>
      <c r="P74" s="203">
        <f t="shared" si="10"/>
        <v>0</v>
      </c>
      <c r="Q74" s="190">
        <f>IFERROR(VLOOKUP(A74,[1]Energiindhold!$A$2:$C$11,3,FALSE),IFERROR(VLOOKUP(A74,[1]Biogasudbytte!$A$2:$B$18,2,FALSE)*[1]Energiindhold!$C$10,0))*O74</f>
        <v>0</v>
      </c>
      <c r="R74" s="190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0">
        <f>IFERROR(VLOOKUP(A74,[1]Biogasudbytte!$A$2:$B$18,2,FALSE)*[1]Energiindhold!$C$10,0)*J74*IFERROR(VLOOKUP(A74,Biogasanlæg!$F$3:$G$8,2,FALSE),1)</f>
        <v>0</v>
      </c>
      <c r="T74" s="191">
        <f t="shared" si="11"/>
        <v>0</v>
      </c>
      <c r="U74" s="189">
        <f>O74*IFERROR(VLOOKUP(A74,[1]Tørstofindhold!A$2:B$24,2,FALSE),0)</f>
        <v>0</v>
      </c>
      <c r="V74" s="190">
        <f>IF(D74=År1,P74,SUM(O74,P74))*IFERROR(VLOOKUP(A74,[1]Tørstofindhold!A$2:B$24,2,FALSE),0)</f>
        <v>0</v>
      </c>
      <c r="W74" s="190">
        <f>J74*IFERROR(VLOOKUP(A74,[1]Tørstofindhold!A$2:B$24,2,FALSE),0)</f>
        <v>0</v>
      </c>
      <c r="X74" s="191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hidden="1" x14ac:dyDescent="0.25">
      <c r="A75" s="192" t="str">
        <f t="shared" si="17"/>
        <v>Kvæggylle</v>
      </c>
      <c r="B75" s="192" t="str">
        <f t="shared" si="18"/>
        <v>Husdyrgødning</v>
      </c>
      <c r="C75" s="192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2">
        <f t="shared" si="19"/>
        <v>2030</v>
      </c>
      <c r="E75" s="190" t="s">
        <v>23</v>
      </c>
      <c r="F75" s="193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10386797.369068628</v>
      </c>
      <c r="G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0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6439814.3688225495</v>
      </c>
      <c r="K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3946983.0002460787</v>
      </c>
      <c r="L75" s="193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2">
        <f t="shared" si="9"/>
        <v>0</v>
      </c>
      <c r="O75" s="193">
        <f t="shared" si="20"/>
        <v>0</v>
      </c>
      <c r="P75" s="203">
        <f t="shared" si="10"/>
        <v>6439814.3688225495</v>
      </c>
      <c r="Q75" s="190">
        <f>IFERROR(VLOOKUP(A75,[1]Energiindhold!$A$2:$C$11,3,FALSE),IFERROR(VLOOKUP(A75,[1]Biogasudbytte!$A$2:$B$18,2,FALSE)*[1]Energiindhold!$C$10,0))*O75</f>
        <v>0</v>
      </c>
      <c r="R75" s="190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3.2597696353542869</v>
      </c>
      <c r="S75" s="190">
        <f>IFERROR(VLOOKUP(A75,[1]Biogasudbytte!$A$2:$B$18,2,FALSE)*[1]Energiindhold!$C$10,0)*J75*IFERROR(VLOOKUP(A75,Biogasanlæg!$F$3:$G$8,2,FALSE),1)</f>
        <v>3.2597696353542869</v>
      </c>
      <c r="T75" s="191">
        <f t="shared" si="11"/>
        <v>0</v>
      </c>
      <c r="U75" s="189">
        <f>O75*IFERROR(VLOOKUP(A75,[1]Tørstofindhold!A$2:B$24,2,FALSE),0)</f>
        <v>0</v>
      </c>
      <c r="V75" s="190">
        <f>IF(D75=År1,P75,SUM(O75,P75))*IFERROR(VLOOKUP(A75,[1]Tørstofindhold!A$2:B$24,2,FALSE),0)</f>
        <v>489425.89203051373</v>
      </c>
      <c r="W75" s="190">
        <f>J75*IFERROR(VLOOKUP(A75,[1]Tørstofindhold!A$2:B$24,2,FALSE),0)</f>
        <v>489425.89203051373</v>
      </c>
      <c r="X75" s="191">
        <f t="shared" si="12"/>
        <v>0</v>
      </c>
      <c r="Y75" s="171">
        <f t="shared" si="21"/>
        <v>0</v>
      </c>
      <c r="Z75" s="103">
        <f t="shared" si="22"/>
        <v>0</v>
      </c>
    </row>
    <row r="76" spans="1:26" hidden="1" x14ac:dyDescent="0.25">
      <c r="A76" s="192" t="str">
        <f t="shared" si="17"/>
        <v>Mælk til foder</v>
      </c>
      <c r="B76" s="192" t="str">
        <f t="shared" si="18"/>
        <v/>
      </c>
      <c r="C76" s="192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2">
        <f t="shared" si="19"/>
        <v>2030</v>
      </c>
      <c r="E76" s="190" t="s">
        <v>23</v>
      </c>
      <c r="F76" s="193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1296795.0922933305</v>
      </c>
      <c r="G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1106692.197418018</v>
      </c>
      <c r="H76" s="190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3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2">
        <f t="shared" si="9"/>
        <v>190102.89487531246</v>
      </c>
      <c r="O76" s="193">
        <f t="shared" si="20"/>
        <v>0</v>
      </c>
      <c r="P76" s="203">
        <f t="shared" si="10"/>
        <v>0</v>
      </c>
      <c r="Q76" s="190">
        <f>IFERROR(VLOOKUP(A76,[1]Energiindhold!$A$2:$C$11,3,FALSE),IFERROR(VLOOKUP(A76,[1]Biogasudbytte!$A$2:$B$18,2,FALSE)*[1]Energiindhold!$C$10,0))*O76</f>
        <v>0</v>
      </c>
      <c r="R76" s="190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0">
        <f>IFERROR(VLOOKUP(A76,[1]Biogasudbytte!$A$2:$B$18,2,FALSE)*[1]Energiindhold!$C$10,0)*J76*IFERROR(VLOOKUP(A76,Biogasanlæg!$F$3:$G$8,2,FALSE),1)</f>
        <v>0</v>
      </c>
      <c r="T76" s="191">
        <f t="shared" si="11"/>
        <v>0</v>
      </c>
      <c r="U76" s="189">
        <f>O76*IFERROR(VLOOKUP(A76,[1]Tørstofindhold!A$2:B$24,2,FALSE),0)</f>
        <v>0</v>
      </c>
      <c r="V76" s="190">
        <f>IF(D76=År1,P76,SUM(O76,P76))*IFERROR(VLOOKUP(A76,[1]Tørstofindhold!A$2:B$24,2,FALSE),0)</f>
        <v>0</v>
      </c>
      <c r="W76" s="190">
        <f>J76*IFERROR(VLOOKUP(A76,[1]Tørstofindhold!A$2:B$24,2,FALSE),0)</f>
        <v>0</v>
      </c>
      <c r="X76" s="191">
        <f t="shared" si="12"/>
        <v>0</v>
      </c>
      <c r="Y76" s="171">
        <f t="shared" si="21"/>
        <v>0</v>
      </c>
      <c r="Z76" s="103">
        <f t="shared" si="22"/>
        <v>1</v>
      </c>
    </row>
    <row r="77" spans="1:26" hidden="1" x14ac:dyDescent="0.25">
      <c r="A77" s="192" t="str">
        <f t="shared" si="17"/>
        <v>Majs</v>
      </c>
      <c r="B77" s="192" t="str">
        <f t="shared" si="18"/>
        <v>Græs og urter</v>
      </c>
      <c r="C77" s="192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2">
        <f t="shared" si="19"/>
        <v>2030</v>
      </c>
      <c r="E77" s="190" t="s">
        <v>23</v>
      </c>
      <c r="F77" s="193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4026803.5120526911</v>
      </c>
      <c r="G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4627957.3505216967</v>
      </c>
      <c r="H77" s="190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0</v>
      </c>
      <c r="K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3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2">
        <f t="shared" si="9"/>
        <v>-601153.83846900566</v>
      </c>
      <c r="O77" s="193">
        <f t="shared" si="20"/>
        <v>0</v>
      </c>
      <c r="P77" s="203">
        <f t="shared" si="10"/>
        <v>0</v>
      </c>
      <c r="Q77" s="190">
        <f>IFERROR(VLOOKUP(A77,[1]Energiindhold!$A$2:$C$11,3,FALSE),IFERROR(VLOOKUP(A77,[1]Biogasudbytte!$A$2:$B$18,2,FALSE)*[1]Energiindhold!$C$10,0))*O77</f>
        <v>0</v>
      </c>
      <c r="R77" s="190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</v>
      </c>
      <c r="S77" s="190">
        <f>IFERROR(VLOOKUP(A77,[1]Biogasudbytte!$A$2:$B$18,2,FALSE)*[1]Energiindhold!$C$10,0)*J77*IFERROR(VLOOKUP(A77,Biogasanlæg!$F$3:$G$8,2,FALSE),1)</f>
        <v>0</v>
      </c>
      <c r="T77" s="191">
        <f t="shared" si="11"/>
        <v>0</v>
      </c>
      <c r="U77" s="189">
        <f>O77*IFERROR(VLOOKUP(A77,[1]Tørstofindhold!A$2:B$24,2,FALSE),0)</f>
        <v>0</v>
      </c>
      <c r="V77" s="190">
        <f>IF(D77=År1,P77,SUM(O77,P77))*IFERROR(VLOOKUP(A77,[1]Tørstofindhold!A$2:B$24,2,FALSE),0)</f>
        <v>0</v>
      </c>
      <c r="W77" s="190">
        <f>J77*IFERROR(VLOOKUP(A77,[1]Tørstofindhold!A$2:B$24,2,FALSE),0)</f>
        <v>0</v>
      </c>
      <c r="X77" s="191">
        <f t="shared" si="12"/>
        <v>0</v>
      </c>
      <c r="Y77" s="171">
        <f t="shared" si="21"/>
        <v>0</v>
      </c>
      <c r="Z77" s="103">
        <f t="shared" si="22"/>
        <v>1</v>
      </c>
    </row>
    <row r="78" spans="1:26" hidden="1" x14ac:dyDescent="0.25">
      <c r="A78" s="192" t="str">
        <f t="shared" si="17"/>
        <v>Mejeriprodukter</v>
      </c>
      <c r="B78" s="192" t="str">
        <f t="shared" si="18"/>
        <v/>
      </c>
      <c r="C78" s="192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2">
        <f t="shared" si="19"/>
        <v>2030</v>
      </c>
      <c r="E78" s="190" t="s">
        <v>23</v>
      </c>
      <c r="F78" s="193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2502141.5052936058</v>
      </c>
      <c r="G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0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3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2">
        <f t="shared" si="9"/>
        <v>2029734.6292751078</v>
      </c>
      <c r="O78" s="193">
        <f t="shared" si="20"/>
        <v>0</v>
      </c>
      <c r="P78" s="203">
        <f t="shared" si="10"/>
        <v>0</v>
      </c>
      <c r="Q78" s="190">
        <f>IFERROR(VLOOKUP(A78,[1]Energiindhold!$A$2:$C$11,3,FALSE),IFERROR(VLOOKUP(A78,[1]Biogasudbytte!$A$2:$B$18,2,FALSE)*[1]Energiindhold!$C$10,0))*O78</f>
        <v>0</v>
      </c>
      <c r="R78" s="190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0">
        <f>IFERROR(VLOOKUP(A78,[1]Biogasudbytte!$A$2:$B$18,2,FALSE)*[1]Energiindhold!$C$10,0)*J78*IFERROR(VLOOKUP(A78,Biogasanlæg!$F$3:$G$8,2,FALSE),1)</f>
        <v>0</v>
      </c>
      <c r="T78" s="191">
        <f t="shared" si="11"/>
        <v>0</v>
      </c>
      <c r="U78" s="189">
        <f>O78*IFERROR(VLOOKUP(A78,[1]Tørstofindhold!A$2:B$24,2,FALSE),0)</f>
        <v>0</v>
      </c>
      <c r="V78" s="190">
        <f>IF(D78=År1,P78,SUM(O78,P78))*IFERROR(VLOOKUP(A78,[1]Tørstofindhold!A$2:B$24,2,FALSE),0)</f>
        <v>0</v>
      </c>
      <c r="W78" s="190">
        <f>J78*IFERROR(VLOOKUP(A78,[1]Tørstofindhold!A$2:B$24,2,FALSE),0)</f>
        <v>0</v>
      </c>
      <c r="X78" s="191">
        <f t="shared" si="12"/>
        <v>0</v>
      </c>
      <c r="Y78" s="171">
        <f t="shared" si="21"/>
        <v>0</v>
      </c>
      <c r="Z78" s="103">
        <f t="shared" si="22"/>
        <v>1</v>
      </c>
    </row>
    <row r="79" spans="1:26" hidden="1" x14ac:dyDescent="0.25">
      <c r="A79" s="192" t="str">
        <f t="shared" si="17"/>
        <v>Muslinger</v>
      </c>
      <c r="B79" s="192" t="str">
        <f t="shared" si="18"/>
        <v>Havbiomasse</v>
      </c>
      <c r="C79" s="192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2">
        <f t="shared" si="19"/>
        <v>2030</v>
      </c>
      <c r="E79" s="190" t="s">
        <v>23</v>
      </c>
      <c r="F79" s="193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144989.33878430488</v>
      </c>
      <c r="G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0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3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2">
        <f t="shared" si="9"/>
        <v>144989.33878430488</v>
      </c>
      <c r="O79" s="193">
        <f t="shared" si="20"/>
        <v>144989.33878430488</v>
      </c>
      <c r="P79" s="203">
        <f t="shared" si="10"/>
        <v>0</v>
      </c>
      <c r="Q79" s="190">
        <f>IFERROR(VLOOKUP(A79,[1]Energiindhold!$A$2:$C$11,3,FALSE),IFERROR(VLOOKUP(A79,[1]Biogasudbytte!$A$2:$B$18,2,FALSE)*[1]Energiindhold!$C$10,0))*O79</f>
        <v>0.13012793155891364</v>
      </c>
      <c r="R79" s="190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0">
        <f>IFERROR(VLOOKUP(A79,[1]Biogasudbytte!$A$2:$B$18,2,FALSE)*[1]Energiindhold!$C$10,0)*J79*IFERROR(VLOOKUP(A79,Biogasanlæg!$F$3:$G$8,2,FALSE),1)</f>
        <v>0</v>
      </c>
      <c r="T79" s="191">
        <f t="shared" si="11"/>
        <v>0.13012793155891364</v>
      </c>
      <c r="U79" s="189">
        <f>O79*IFERROR(VLOOKUP(A79,[1]Tørstofindhold!A$2:B$24,2,FALSE),0)</f>
        <v>21748.400817645732</v>
      </c>
      <c r="V79" s="190">
        <f>IF(D79=År1,P79,SUM(O79,P79))*IFERROR(VLOOKUP(A79,[1]Tørstofindhold!A$2:B$24,2,FALSE),0)</f>
        <v>21748.400817645732</v>
      </c>
      <c r="W79" s="190">
        <f>J79*IFERROR(VLOOKUP(A79,[1]Tørstofindhold!A$2:B$24,2,FALSE),0)</f>
        <v>0</v>
      </c>
      <c r="X79" s="191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hidden="1" x14ac:dyDescent="0.25">
      <c r="A80" s="192" t="str">
        <f t="shared" si="17"/>
        <v>Oksekød</v>
      </c>
      <c r="B80" s="192" t="str">
        <f t="shared" si="18"/>
        <v/>
      </c>
      <c r="C80" s="192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2">
        <f t="shared" si="19"/>
        <v>2030</v>
      </c>
      <c r="E80" s="190" t="s">
        <v>23</v>
      </c>
      <c r="F80" s="193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84934.510833187902</v>
      </c>
      <c r="G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0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48022.602431121806</v>
      </c>
      <c r="J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3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2">
        <f t="shared" si="9"/>
        <v>36911.908402066096</v>
      </c>
      <c r="O80" s="193">
        <f t="shared" si="20"/>
        <v>0</v>
      </c>
      <c r="P80" s="203">
        <f t="shared" si="10"/>
        <v>0</v>
      </c>
      <c r="Q80" s="190">
        <f>IFERROR(VLOOKUP(A80,[1]Energiindhold!$A$2:$C$11,3,FALSE),IFERROR(VLOOKUP(A80,[1]Biogasudbytte!$A$2:$B$18,2,FALSE)*[1]Energiindhold!$C$10,0))*O80</f>
        <v>0</v>
      </c>
      <c r="R80" s="190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0">
        <f>IFERROR(VLOOKUP(A80,[1]Biogasudbytte!$A$2:$B$18,2,FALSE)*[1]Energiindhold!$C$10,0)*J80*IFERROR(VLOOKUP(A80,Biogasanlæg!$F$3:$G$8,2,FALSE),1)</f>
        <v>0</v>
      </c>
      <c r="T80" s="191">
        <f t="shared" si="11"/>
        <v>0</v>
      </c>
      <c r="U80" s="189">
        <f>O80*IFERROR(VLOOKUP(A80,[1]Tørstofindhold!A$2:B$24,2,FALSE),0)</f>
        <v>0</v>
      </c>
      <c r="V80" s="190">
        <f>IF(D80=År1,P80,SUM(O80,P80))*IFERROR(VLOOKUP(A80,[1]Tørstofindhold!A$2:B$24,2,FALSE),0)</f>
        <v>0</v>
      </c>
      <c r="W80" s="190">
        <f>J80*IFERROR(VLOOKUP(A80,[1]Tørstofindhold!A$2:B$24,2,FALSE),0)</f>
        <v>0</v>
      </c>
      <c r="X80" s="191">
        <f t="shared" si="12"/>
        <v>0</v>
      </c>
      <c r="Y80" s="171">
        <f t="shared" si="21"/>
        <v>0</v>
      </c>
      <c r="Z80" s="103">
        <f t="shared" si="22"/>
        <v>1</v>
      </c>
    </row>
    <row r="81" spans="1:26" hidden="1" x14ac:dyDescent="0.25">
      <c r="A81" s="192" t="str">
        <f t="shared" si="17"/>
        <v>Øvrige</v>
      </c>
      <c r="B81" s="192" t="str">
        <f t="shared" si="18"/>
        <v/>
      </c>
      <c r="C81" s="192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2">
        <f t="shared" si="19"/>
        <v>2030</v>
      </c>
      <c r="E81" s="190" t="s">
        <v>23</v>
      </c>
      <c r="F81" s="193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1412647.5447842737</v>
      </c>
      <c r="G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0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3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2">
        <f t="shared" si="9"/>
        <v>1412647.5447842737</v>
      </c>
      <c r="O81" s="193">
        <f t="shared" si="20"/>
        <v>0</v>
      </c>
      <c r="P81" s="203">
        <f t="shared" si="10"/>
        <v>0</v>
      </c>
      <c r="Q81" s="190">
        <f>IFERROR(VLOOKUP(A81,[1]Energiindhold!$A$2:$C$11,3,FALSE),IFERROR(VLOOKUP(A81,[1]Biogasudbytte!$A$2:$B$18,2,FALSE)*[1]Energiindhold!$C$10,0))*O81</f>
        <v>0</v>
      </c>
      <c r="R81" s="190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0">
        <f>IFERROR(VLOOKUP(A81,[1]Biogasudbytte!$A$2:$B$18,2,FALSE)*[1]Energiindhold!$C$10,0)*J81*IFERROR(VLOOKUP(A81,Biogasanlæg!$F$3:$G$8,2,FALSE),1)</f>
        <v>0</v>
      </c>
      <c r="T81" s="191">
        <f t="shared" si="11"/>
        <v>0</v>
      </c>
      <c r="U81" s="189">
        <f>O81*IFERROR(VLOOKUP(A81,[1]Tørstofindhold!A$2:B$24,2,FALSE),0)</f>
        <v>0</v>
      </c>
      <c r="V81" s="190">
        <f>IF(D81=År1,P81,SUM(O81,P81))*IFERROR(VLOOKUP(A81,[1]Tørstofindhold!A$2:B$24,2,FALSE),0)</f>
        <v>0</v>
      </c>
      <c r="W81" s="190">
        <f>J81*IFERROR(VLOOKUP(A81,[1]Tørstofindhold!A$2:B$24,2,FALSE),0)</f>
        <v>0</v>
      </c>
      <c r="X81" s="191">
        <f t="shared" si="12"/>
        <v>0</v>
      </c>
      <c r="Y81" s="171">
        <f t="shared" si="21"/>
        <v>0</v>
      </c>
      <c r="Z81" s="103">
        <f t="shared" si="22"/>
        <v>1</v>
      </c>
    </row>
    <row r="82" spans="1:26" hidden="1" x14ac:dyDescent="0.25">
      <c r="A82" s="192" t="str">
        <f t="shared" si="17"/>
        <v>Pil &amp; poppel</v>
      </c>
      <c r="B82" s="192" t="str">
        <f t="shared" si="18"/>
        <v>Vedmasse</v>
      </c>
      <c r="C82" s="192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2">
        <f t="shared" si="19"/>
        <v>2030</v>
      </c>
      <c r="E82" s="190" t="s">
        <v>23</v>
      </c>
      <c r="F82" s="193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134802.2173997864</v>
      </c>
      <c r="G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0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3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134802.2173997864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2">
        <f t="shared" ref="N82:N149" si="23">F82-SUM(G82:M82)</f>
        <v>0</v>
      </c>
      <c r="O82" s="193">
        <f t="shared" si="20"/>
        <v>0</v>
      </c>
      <c r="P82" s="203">
        <f t="shared" ref="P82:P149" si="24">SUM(J82,L82)</f>
        <v>134802.2173997864</v>
      </c>
      <c r="Q82" s="190">
        <f>IFERROR(VLOOKUP(A82,[1]Energiindhold!$A$2:$C$11,3,FALSE),IFERROR(VLOOKUP(A82,[1]Biogasudbytte!$A$2:$B$18,2,FALSE)*[1]Energiindhold!$C$10,0))*O82</f>
        <v>0</v>
      </c>
      <c r="R82" s="190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2.4803608001560695</v>
      </c>
      <c r="S82" s="190">
        <f>IFERROR(VLOOKUP(A82,[1]Biogasudbytte!$A$2:$B$18,2,FALSE)*[1]Energiindhold!$C$10,0)*J82*IFERROR(VLOOKUP(A82,Biogasanlæg!$F$3:$G$8,2,FALSE),1)</f>
        <v>0</v>
      </c>
      <c r="T82" s="191">
        <f t="shared" ref="T82:T149" si="25">R82-S82</f>
        <v>2.4803608001560695</v>
      </c>
      <c r="U82" s="189">
        <f>O82*IFERROR(VLOOKUP(A82,[1]Tørstofindhold!A$2:B$24,2,FALSE),0)</f>
        <v>0</v>
      </c>
      <c r="V82" s="190">
        <f>IF(D82=År1,P82,SUM(O82,P82))*IFERROR(VLOOKUP(A82,[1]Tørstofindhold!A$2:B$24,2,FALSE),0)</f>
        <v>55942.920220911365</v>
      </c>
      <c r="W82" s="190">
        <f>J82*IFERROR(VLOOKUP(A82,[1]Tørstofindhold!A$2:B$24,2,FALSE),0)</f>
        <v>0</v>
      </c>
      <c r="X82" s="191">
        <f t="shared" ref="X82:X149" si="26">V82-W82</f>
        <v>55942.920220911365</v>
      </c>
      <c r="Y82" s="171">
        <f t="shared" si="21"/>
        <v>0</v>
      </c>
      <c r="Z82" s="103">
        <f t="shared" si="22"/>
        <v>0</v>
      </c>
    </row>
    <row r="83" spans="1:26" hidden="1" x14ac:dyDescent="0.25">
      <c r="A83" s="192" t="str">
        <f t="shared" ref="A83:A84" si="27">A35</f>
        <v>Pyrolysegas</v>
      </c>
      <c r="B83" s="192" t="str">
        <f t="shared" ref="B83:B84" si="28">IF(B35&lt;&gt;"",B35,"")</f>
        <v>Pyrolyseprodukter</v>
      </c>
      <c r="C83" s="192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2">
        <f t="shared" si="19"/>
        <v>2030</v>
      </c>
      <c r="E83" s="190" t="s">
        <v>23</v>
      </c>
      <c r="F83" s="193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607417.78068843065</v>
      </c>
      <c r="G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0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3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607417.78068843065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2">
        <f t="shared" ref="N83:N84" si="29">F83-SUM(G83:M83)</f>
        <v>0</v>
      </c>
      <c r="O83" s="193">
        <f t="shared" si="20"/>
        <v>0</v>
      </c>
      <c r="P83" s="203">
        <f t="shared" ref="P83:P84" si="30">SUM(J83,L83)</f>
        <v>607417.78068843065</v>
      </c>
      <c r="Q83" s="190">
        <f>IFERROR(VLOOKUP(A83,[1]Energiindhold!$A$2:$C$11,3,FALSE),IFERROR(VLOOKUP(A83,[1]Biogasudbytte!$A$2:$B$18,2,FALSE)*[1]Energiindhold!$C$10,0))*O83</f>
        <v>0</v>
      </c>
      <c r="R83" s="190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5.4433310546550349</v>
      </c>
      <c r="S83" s="190">
        <f>IFERROR(VLOOKUP(A83,[1]Biogasudbytte!$A$2:$B$18,2,FALSE)*[1]Energiindhold!$C$10,0)*J83*IFERROR(VLOOKUP(A83,Biogasanlæg!$F$3:$G$8,2,FALSE),1)</f>
        <v>0</v>
      </c>
      <c r="T83" s="191">
        <f t="shared" ref="T83:T84" si="31">R83-S83</f>
        <v>5.4433310546550349</v>
      </c>
      <c r="U83" s="189">
        <f>O83*IFERROR(VLOOKUP(A83,[1]Tørstofindhold!A$2:B$24,2,FALSE),0)</f>
        <v>0</v>
      </c>
      <c r="V83" s="190">
        <f>IF(D83=År1,P83,SUM(O83,P83))*IFERROR(VLOOKUP(A83,[1]Tørstofindhold!A$2:B$24,2,FALSE),0)</f>
        <v>0</v>
      </c>
      <c r="W83" s="190">
        <f>J83*IFERROR(VLOOKUP(A83,[1]Tørstofindhold!A$2:B$24,2,FALSE),0)</f>
        <v>0</v>
      </c>
      <c r="X83" s="191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hidden="1" x14ac:dyDescent="0.25">
      <c r="A84" s="192" t="str">
        <f t="shared" si="27"/>
        <v>Pyrolyseolie</v>
      </c>
      <c r="B84" s="192" t="str">
        <f t="shared" si="28"/>
        <v>Pyrolyseprodukter</v>
      </c>
      <c r="C84" s="192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2">
        <f t="shared" si="19"/>
        <v>2030</v>
      </c>
      <c r="E84" s="190" t="s">
        <v>23</v>
      </c>
      <c r="F84" s="193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151854.44517210766</v>
      </c>
      <c r="G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0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3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151854.44517210766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2">
        <f t="shared" si="29"/>
        <v>0</v>
      </c>
      <c r="O84" s="193">
        <f t="shared" si="20"/>
        <v>0</v>
      </c>
      <c r="P84" s="203">
        <f t="shared" si="30"/>
        <v>151854.44517210766</v>
      </c>
      <c r="Q84" s="190">
        <f>IFERROR(VLOOKUP(A84,[1]Energiindhold!$A$2:$C$11,3,FALSE),IFERROR(VLOOKUP(A84,[1]Biogasudbytte!$A$2:$B$18,2,FALSE)*[1]Energiindhold!$C$10,0))*O84</f>
        <v>0</v>
      </c>
      <c r="R84" s="190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5.0519804559543458</v>
      </c>
      <c r="S84" s="190">
        <f>IFERROR(VLOOKUP(A84,[1]Biogasudbytte!$A$2:$B$18,2,FALSE)*[1]Energiindhold!$C$10,0)*J84*IFERROR(VLOOKUP(A84,Biogasanlæg!$F$3:$G$8,2,FALSE),1)</f>
        <v>0</v>
      </c>
      <c r="T84" s="191">
        <f t="shared" si="31"/>
        <v>5.0519804559543458</v>
      </c>
      <c r="U84" s="189">
        <f>O84*IFERROR(VLOOKUP(A84,[1]Tørstofindhold!A$2:B$24,2,FALSE),0)</f>
        <v>0</v>
      </c>
      <c r="V84" s="190">
        <f>IF(D84=År1,P84,SUM(O84,P84))*IFERROR(VLOOKUP(A84,[1]Tørstofindhold!A$2:B$24,2,FALSE),0)</f>
        <v>0</v>
      </c>
      <c r="W84" s="190">
        <f>J84*IFERROR(VLOOKUP(A84,[1]Tørstofindhold!A$2:B$24,2,FALSE),0)</f>
        <v>0</v>
      </c>
      <c r="X84" s="191">
        <f t="shared" si="32"/>
        <v>0</v>
      </c>
      <c r="Y84" s="171">
        <f t="shared" si="21"/>
        <v>0</v>
      </c>
      <c r="Z84" s="103">
        <f t="shared" si="22"/>
        <v>0</v>
      </c>
    </row>
    <row r="85" spans="1:26" hidden="1" x14ac:dyDescent="0.25">
      <c r="A85" s="192" t="str">
        <f t="shared" ref="A85:A130" si="33">A37</f>
        <v>Råmælk</v>
      </c>
      <c r="B85" s="192" t="str">
        <f t="shared" ref="B85:B130" si="34">IF(B37&lt;&gt;"",B37,"")</f>
        <v/>
      </c>
      <c r="C85" s="192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2">
        <f t="shared" si="19"/>
        <v>2030</v>
      </c>
      <c r="E85" s="190" t="s">
        <v>23</v>
      </c>
      <c r="F85" s="193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3896345.2282942934</v>
      </c>
      <c r="G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0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3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2">
        <f t="shared" si="23"/>
        <v>3896345.2282942934</v>
      </c>
      <c r="O85" s="193">
        <f t="shared" si="20"/>
        <v>0</v>
      </c>
      <c r="P85" s="203">
        <f t="shared" si="24"/>
        <v>0</v>
      </c>
      <c r="Q85" s="190">
        <f>IFERROR(VLOOKUP(A85,[1]Energiindhold!$A$2:$C$11,3,FALSE),IFERROR(VLOOKUP(A85,[1]Biogasudbytte!$A$2:$B$18,2,FALSE)*[1]Energiindhold!$C$10,0))*O85</f>
        <v>0</v>
      </c>
      <c r="R85" s="190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0">
        <f>IFERROR(VLOOKUP(A85,[1]Biogasudbytte!$A$2:$B$18,2,FALSE)*[1]Energiindhold!$C$10,0)*J85*IFERROR(VLOOKUP(A85,Biogasanlæg!$F$3:$G$8,2,FALSE),1)</f>
        <v>0</v>
      </c>
      <c r="T85" s="191">
        <f t="shared" si="25"/>
        <v>0</v>
      </c>
      <c r="U85" s="189">
        <f>O85*IFERROR(VLOOKUP(A85,[1]Tørstofindhold!A$2:B$24,2,FALSE),0)</f>
        <v>0</v>
      </c>
      <c r="V85" s="190">
        <f>IF(D85=År1,P85,SUM(O85,P85))*IFERROR(VLOOKUP(A85,[1]Tørstofindhold!A$2:B$24,2,FALSE),0)</f>
        <v>0</v>
      </c>
      <c r="W85" s="190">
        <f>J85*IFERROR(VLOOKUP(A85,[1]Tørstofindhold!A$2:B$24,2,FALSE),0)</f>
        <v>0</v>
      </c>
      <c r="X85" s="191">
        <f t="shared" si="26"/>
        <v>0</v>
      </c>
      <c r="Y85" s="171">
        <f t="shared" si="21"/>
        <v>0</v>
      </c>
      <c r="Z85" s="103">
        <f t="shared" si="22"/>
        <v>1</v>
      </c>
    </row>
    <row r="86" spans="1:26" hidden="1" x14ac:dyDescent="0.25">
      <c r="A86" s="192" t="str">
        <f t="shared" si="33"/>
        <v>Raps</v>
      </c>
      <c r="B86" s="192" t="str">
        <f t="shared" si="34"/>
        <v/>
      </c>
      <c r="C86" s="192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2">
        <f t="shared" si="19"/>
        <v>2030</v>
      </c>
      <c r="E86" s="190" t="s">
        <v>23</v>
      </c>
      <c r="F86" s="193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663977.87373411702</v>
      </c>
      <c r="G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0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3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663977.87373411702</v>
      </c>
      <c r="N86" s="202">
        <f t="shared" si="23"/>
        <v>0</v>
      </c>
      <c r="O86" s="193">
        <f t="shared" si="20"/>
        <v>0</v>
      </c>
      <c r="P86" s="203">
        <f t="shared" si="24"/>
        <v>0</v>
      </c>
      <c r="Q86" s="190">
        <f>IFERROR(VLOOKUP(A86,[1]Energiindhold!$A$2:$C$11,3,FALSE),IFERROR(VLOOKUP(A86,[1]Biogasudbytte!$A$2:$B$18,2,FALSE)*[1]Energiindhold!$C$10,0))*O86</f>
        <v>0</v>
      </c>
      <c r="R86" s="190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0">
        <f>IFERROR(VLOOKUP(A86,[1]Biogasudbytte!$A$2:$B$18,2,FALSE)*[1]Energiindhold!$C$10,0)*J86*IFERROR(VLOOKUP(A86,Biogasanlæg!$F$3:$G$8,2,FALSE),1)</f>
        <v>0</v>
      </c>
      <c r="T86" s="191">
        <f t="shared" si="25"/>
        <v>0</v>
      </c>
      <c r="U86" s="189">
        <f>O86*IFERROR(VLOOKUP(A86,[1]Tørstofindhold!A$2:B$24,2,FALSE),0)</f>
        <v>0</v>
      </c>
      <c r="V86" s="190">
        <f>IF(D86=År1,P86,SUM(O86,P86))*IFERROR(VLOOKUP(A86,[1]Tørstofindhold!A$2:B$24,2,FALSE),0)</f>
        <v>0</v>
      </c>
      <c r="W86" s="190">
        <f>J86*IFERROR(VLOOKUP(A86,[1]Tørstofindhold!A$2:B$24,2,FALSE),0)</f>
        <v>0</v>
      </c>
      <c r="X86" s="191">
        <f t="shared" si="26"/>
        <v>0</v>
      </c>
      <c r="Y86" s="171">
        <f t="shared" si="21"/>
        <v>0</v>
      </c>
      <c r="Z86" s="103">
        <f t="shared" si="22"/>
        <v>0</v>
      </c>
    </row>
    <row r="87" spans="1:26" hidden="1" x14ac:dyDescent="0.25">
      <c r="A87" s="192" t="str">
        <f t="shared" si="33"/>
        <v>Rapskage</v>
      </c>
      <c r="B87" s="192" t="str">
        <f t="shared" si="34"/>
        <v/>
      </c>
      <c r="C87" s="192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2">
        <f t="shared" si="19"/>
        <v>2030</v>
      </c>
      <c r="E87" s="190" t="s">
        <v>23</v>
      </c>
      <c r="F87" s="193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331988.93686705851</v>
      </c>
      <c r="G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158593.80217920942</v>
      </c>
      <c r="H87" s="190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3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2">
        <f t="shared" si="23"/>
        <v>173395.13468784909</v>
      </c>
      <c r="O87" s="193">
        <f t="shared" si="20"/>
        <v>0</v>
      </c>
      <c r="P87" s="203">
        <f t="shared" si="24"/>
        <v>0</v>
      </c>
      <c r="Q87" s="190">
        <f>IFERROR(VLOOKUP(A87,[1]Energiindhold!$A$2:$C$11,3,FALSE),IFERROR(VLOOKUP(A87,[1]Biogasudbytte!$A$2:$B$18,2,FALSE)*[1]Energiindhold!$C$10,0))*O87</f>
        <v>0</v>
      </c>
      <c r="R87" s="190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0">
        <f>IFERROR(VLOOKUP(A87,[1]Biogasudbytte!$A$2:$B$18,2,FALSE)*[1]Energiindhold!$C$10,0)*J87*IFERROR(VLOOKUP(A87,Biogasanlæg!$F$3:$G$8,2,FALSE),1)</f>
        <v>0</v>
      </c>
      <c r="T87" s="191">
        <f t="shared" si="25"/>
        <v>0</v>
      </c>
      <c r="U87" s="189">
        <f>O87*IFERROR(VLOOKUP(A87,[1]Tørstofindhold!A$2:B$24,2,FALSE),0)</f>
        <v>0</v>
      </c>
      <c r="V87" s="190">
        <f>IF(D87=År1,P87,SUM(O87,P87))*IFERROR(VLOOKUP(A87,[1]Tørstofindhold!A$2:B$24,2,FALSE),0)</f>
        <v>0</v>
      </c>
      <c r="W87" s="190">
        <f>J87*IFERROR(VLOOKUP(A87,[1]Tørstofindhold!A$2:B$24,2,FALSE),0)</f>
        <v>0</v>
      </c>
      <c r="X87" s="191">
        <f t="shared" si="26"/>
        <v>0</v>
      </c>
      <c r="Y87" s="171">
        <f t="shared" si="21"/>
        <v>0</v>
      </c>
      <c r="Z87" s="103">
        <f t="shared" si="22"/>
        <v>1</v>
      </c>
    </row>
    <row r="88" spans="1:26" hidden="1" x14ac:dyDescent="0.25">
      <c r="A88" s="192" t="str">
        <f t="shared" si="33"/>
        <v>Rapsolie</v>
      </c>
      <c r="B88" s="192" t="str">
        <f t="shared" si="34"/>
        <v>Rapsolie</v>
      </c>
      <c r="C88" s="192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2">
        <f t="shared" si="19"/>
        <v>2030</v>
      </c>
      <c r="E88" s="190" t="s">
        <v>23</v>
      </c>
      <c r="F88" s="193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212472.91959491745</v>
      </c>
      <c r="G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0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3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212472.91959491745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2">
        <f t="shared" si="23"/>
        <v>0</v>
      </c>
      <c r="O88" s="193">
        <f t="shared" si="20"/>
        <v>0</v>
      </c>
      <c r="P88" s="203">
        <f t="shared" si="24"/>
        <v>212472.91959491745</v>
      </c>
      <c r="Q88" s="190">
        <f>IFERROR(VLOOKUP(A88,[1]Energiindhold!$A$2:$C$11,3,FALSE),IFERROR(VLOOKUP(A88,[1]Biogasudbytte!$A$2:$B$18,2,FALSE)*[1]Energiindhold!$C$10,0))*O88</f>
        <v>0</v>
      </c>
      <c r="R88" s="190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7.4365521858221095</v>
      </c>
      <c r="S88" s="190">
        <f>IFERROR(VLOOKUP(A88,[1]Biogasudbytte!$A$2:$B$18,2,FALSE)*[1]Energiindhold!$C$10,0)*J88*IFERROR(VLOOKUP(A88,Biogasanlæg!$F$3:$G$8,2,FALSE),1)</f>
        <v>0</v>
      </c>
      <c r="T88" s="191">
        <f t="shared" si="25"/>
        <v>7.4365521858221095</v>
      </c>
      <c r="U88" s="189">
        <f>O88*IFERROR(VLOOKUP(A88,[1]Tørstofindhold!A$2:B$24,2,FALSE),0)</f>
        <v>0</v>
      </c>
      <c r="V88" s="190">
        <f>IF(D88=År1,P88,SUM(O88,P88))*IFERROR(VLOOKUP(A88,[1]Tørstofindhold!A$2:B$24,2,FALSE),0)</f>
        <v>0</v>
      </c>
      <c r="W88" s="190">
        <f>J88*IFERROR(VLOOKUP(A88,[1]Tørstofindhold!A$2:B$24,2,FALSE),0)</f>
        <v>0</v>
      </c>
      <c r="X88" s="191">
        <f t="shared" si="26"/>
        <v>0</v>
      </c>
      <c r="Y88" s="171">
        <f t="shared" si="21"/>
        <v>0</v>
      </c>
      <c r="Z88" s="103">
        <f t="shared" si="22"/>
        <v>0</v>
      </c>
    </row>
    <row r="89" spans="1:26" hidden="1" x14ac:dyDescent="0.25">
      <c r="A89" s="192" t="str">
        <f t="shared" si="33"/>
        <v>Roer</v>
      </c>
      <c r="B89" s="192" t="str">
        <f t="shared" si="34"/>
        <v>Græs og urter</v>
      </c>
      <c r="C89" s="192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2">
        <f t="shared" si="19"/>
        <v>2030</v>
      </c>
      <c r="E89" s="190" t="s">
        <v>23</v>
      </c>
      <c r="F89" s="193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668679.49055744556</v>
      </c>
      <c r="G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700073.51609470148</v>
      </c>
      <c r="H89" s="190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0</v>
      </c>
      <c r="K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3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2">
        <f t="shared" si="23"/>
        <v>-31394.025537255919</v>
      </c>
      <c r="O89" s="193">
        <f t="shared" si="20"/>
        <v>0</v>
      </c>
      <c r="P89" s="203">
        <f t="shared" si="24"/>
        <v>0</v>
      </c>
      <c r="Q89" s="190">
        <f>IFERROR(VLOOKUP(A89,[1]Energiindhold!$A$2:$C$11,3,FALSE),IFERROR(VLOOKUP(A89,[1]Biogasudbytte!$A$2:$B$18,2,FALSE)*[1]Energiindhold!$C$10,0))*O89</f>
        <v>0</v>
      </c>
      <c r="R89" s="190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0</v>
      </c>
      <c r="S89" s="190">
        <f>IFERROR(VLOOKUP(A89,[1]Biogasudbytte!$A$2:$B$18,2,FALSE)*[1]Energiindhold!$C$10,0)*J89*IFERROR(VLOOKUP(A89,Biogasanlæg!$F$3:$G$8,2,FALSE),1)</f>
        <v>0</v>
      </c>
      <c r="T89" s="191">
        <f t="shared" si="25"/>
        <v>0</v>
      </c>
      <c r="U89" s="189">
        <f>O89*IFERROR(VLOOKUP(A89,[1]Tørstofindhold!A$2:B$24,2,FALSE),0)</f>
        <v>0</v>
      </c>
      <c r="V89" s="190">
        <f>IF(D89=År1,P89,SUM(O89,P89))*IFERROR(VLOOKUP(A89,[1]Tørstofindhold!A$2:B$24,2,FALSE),0)</f>
        <v>0</v>
      </c>
      <c r="W89" s="190">
        <f>J89*IFERROR(VLOOKUP(A89,[1]Tørstofindhold!A$2:B$24,2,FALSE),0)</f>
        <v>0</v>
      </c>
      <c r="X89" s="191">
        <f t="shared" si="26"/>
        <v>0</v>
      </c>
      <c r="Y89" s="171">
        <f t="shared" si="21"/>
        <v>0</v>
      </c>
      <c r="Z89" s="103">
        <f t="shared" si="22"/>
        <v>1</v>
      </c>
    </row>
    <row r="90" spans="1:26" hidden="1" x14ac:dyDescent="0.25">
      <c r="A90" s="192" t="str">
        <f t="shared" si="33"/>
        <v>Slagteriaffald til andet</v>
      </c>
      <c r="B90" s="192" t="str">
        <f t="shared" si="34"/>
        <v/>
      </c>
      <c r="C90" s="192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2">
        <f t="shared" si="19"/>
        <v>2030</v>
      </c>
      <c r="E90" s="190" t="s">
        <v>23</v>
      </c>
      <c r="F90" s="193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152898.46172507474</v>
      </c>
      <c r="G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0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3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2">
        <f t="shared" si="23"/>
        <v>152898.46172507474</v>
      </c>
      <c r="O90" s="193">
        <f t="shared" si="20"/>
        <v>0</v>
      </c>
      <c r="P90" s="203">
        <f t="shared" si="24"/>
        <v>0</v>
      </c>
      <c r="Q90" s="190">
        <f>IFERROR(VLOOKUP(A90,[1]Energiindhold!$A$2:$C$11,3,FALSE),IFERROR(VLOOKUP(A90,[1]Biogasudbytte!$A$2:$B$18,2,FALSE)*[1]Energiindhold!$C$10,0))*O90</f>
        <v>0</v>
      </c>
      <c r="R90" s="190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0">
        <f>IFERROR(VLOOKUP(A90,[1]Biogasudbytte!$A$2:$B$18,2,FALSE)*[1]Energiindhold!$C$10,0)*J90*IFERROR(VLOOKUP(A90,Biogasanlæg!$F$3:$G$8,2,FALSE),1)</f>
        <v>0</v>
      </c>
      <c r="T90" s="191">
        <f t="shared" si="25"/>
        <v>0</v>
      </c>
      <c r="U90" s="189">
        <f>O90*IFERROR(VLOOKUP(A90,[1]Tørstofindhold!A$2:B$24,2,FALSE),0)</f>
        <v>0</v>
      </c>
      <c r="V90" s="190">
        <f>IF(D90=År1,P90,SUM(O90,P90))*IFERROR(VLOOKUP(A90,[1]Tørstofindhold!A$2:B$24,2,FALSE),0)</f>
        <v>0</v>
      </c>
      <c r="W90" s="190">
        <f>J90*IFERROR(VLOOKUP(A90,[1]Tørstofindhold!A$2:B$24,2,FALSE),0)</f>
        <v>0</v>
      </c>
      <c r="X90" s="191">
        <f t="shared" si="26"/>
        <v>0</v>
      </c>
      <c r="Y90" s="171">
        <f t="shared" si="21"/>
        <v>0</v>
      </c>
      <c r="Z90" s="103">
        <f t="shared" si="22"/>
        <v>1</v>
      </c>
    </row>
    <row r="91" spans="1:26" hidden="1" x14ac:dyDescent="0.25">
      <c r="A91" s="192" t="str">
        <f t="shared" si="33"/>
        <v>Slagteriaffald til foder</v>
      </c>
      <c r="B91" s="192" t="str">
        <f t="shared" si="34"/>
        <v/>
      </c>
      <c r="C91" s="192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2">
        <f t="shared" si="19"/>
        <v>2030</v>
      </c>
      <c r="E91" s="190" t="s">
        <v>23</v>
      </c>
      <c r="F91" s="193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103754.66217102103</v>
      </c>
      <c r="G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38768.714416319999</v>
      </c>
      <c r="H91" s="190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3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2">
        <f t="shared" si="23"/>
        <v>64985.947754701032</v>
      </c>
      <c r="O91" s="193">
        <f t="shared" si="20"/>
        <v>0</v>
      </c>
      <c r="P91" s="203">
        <f t="shared" si="24"/>
        <v>0</v>
      </c>
      <c r="Q91" s="190">
        <f>IFERROR(VLOOKUP(A91,[1]Energiindhold!$A$2:$C$11,3,FALSE),IFERROR(VLOOKUP(A91,[1]Biogasudbytte!$A$2:$B$18,2,FALSE)*[1]Energiindhold!$C$10,0))*O91</f>
        <v>0</v>
      </c>
      <c r="R91" s="190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0">
        <f>IFERROR(VLOOKUP(A91,[1]Biogasudbytte!$A$2:$B$18,2,FALSE)*[1]Energiindhold!$C$10,0)*J91*IFERROR(VLOOKUP(A91,Biogasanlæg!$F$3:$G$8,2,FALSE),1)</f>
        <v>0</v>
      </c>
      <c r="T91" s="191">
        <f t="shared" si="25"/>
        <v>0</v>
      </c>
      <c r="U91" s="189">
        <f>O91*IFERROR(VLOOKUP(A91,[1]Tørstofindhold!A$2:B$24,2,FALSE),0)</f>
        <v>0</v>
      </c>
      <c r="V91" s="190">
        <f>IF(D91=År1,P91,SUM(O91,P91))*IFERROR(VLOOKUP(A91,[1]Tørstofindhold!A$2:B$24,2,FALSE),0)</f>
        <v>0</v>
      </c>
      <c r="W91" s="190">
        <f>J91*IFERROR(VLOOKUP(A91,[1]Tørstofindhold!A$2:B$24,2,FALSE),0)</f>
        <v>0</v>
      </c>
      <c r="X91" s="191">
        <f t="shared" si="26"/>
        <v>0</v>
      </c>
      <c r="Y91" s="171">
        <f t="shared" si="21"/>
        <v>0</v>
      </c>
      <c r="Z91" s="103">
        <f t="shared" si="22"/>
        <v>1</v>
      </c>
    </row>
    <row r="92" spans="1:26" hidden="1" x14ac:dyDescent="0.25">
      <c r="A92" s="192" t="str">
        <f t="shared" si="33"/>
        <v>Spildevandsslam</v>
      </c>
      <c r="B92" s="192" t="str">
        <f t="shared" si="34"/>
        <v>Bionedbrydeligt affald</v>
      </c>
      <c r="C92" s="192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2">
        <f t="shared" si="19"/>
        <v>2030</v>
      </c>
      <c r="E92" s="190" t="s">
        <v>23</v>
      </c>
      <c r="F92" s="193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3949558.8398278607</v>
      </c>
      <c r="G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0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1974779.4199139304</v>
      </c>
      <c r="K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3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2">
        <f t="shared" si="23"/>
        <v>1974779.4199139304</v>
      </c>
      <c r="O92" s="193">
        <f t="shared" si="20"/>
        <v>1974779.4199139304</v>
      </c>
      <c r="P92" s="203">
        <f t="shared" si="24"/>
        <v>1974779.4199139304</v>
      </c>
      <c r="Q92" s="190">
        <f>IFERROR(VLOOKUP(A92,[1]Energiindhold!$A$2:$C$11,3,FALSE),IFERROR(VLOOKUP(A92,[1]Biogasudbytte!$A$2:$B$18,2,FALSE)*[1]Energiindhold!$C$10,0))*O92</f>
        <v>0.98543467833125054</v>
      </c>
      <c r="R92" s="190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1.9708693566625011</v>
      </c>
      <c r="S92" s="190">
        <f>IFERROR(VLOOKUP(A92,[1]Biogasudbytte!$A$2:$B$18,2,FALSE)*[1]Energiindhold!$C$10,0)*J92*IFERROR(VLOOKUP(A92,Biogasanlæg!$F$3:$G$8,2,FALSE),1)</f>
        <v>0.98543467833125054</v>
      </c>
      <c r="T92" s="191">
        <f t="shared" si="25"/>
        <v>0.98543467833125054</v>
      </c>
      <c r="U92" s="189">
        <f>O92*IFERROR(VLOOKUP(A92,[1]Tørstofindhold!A$2:B$24,2,FALSE),0)</f>
        <v>118486.76519483581</v>
      </c>
      <c r="V92" s="190">
        <f>IF(D92=År1,P92,SUM(O92,P92))*IFERROR(VLOOKUP(A92,[1]Tørstofindhold!A$2:B$24,2,FALSE),0)</f>
        <v>236973.53038967162</v>
      </c>
      <c r="W92" s="190">
        <f>J92*IFERROR(VLOOKUP(A92,[1]Tørstofindhold!A$2:B$24,2,FALSE),0)</f>
        <v>118486.76519483581</v>
      </c>
      <c r="X92" s="191">
        <f t="shared" si="26"/>
        <v>118486.76519483581</v>
      </c>
      <c r="Y92" s="171">
        <f t="shared" si="21"/>
        <v>0</v>
      </c>
      <c r="Z92" s="103">
        <f t="shared" si="22"/>
        <v>1</v>
      </c>
    </row>
    <row r="93" spans="1:26" hidden="1" x14ac:dyDescent="0.25">
      <c r="A93" s="192" t="str">
        <f t="shared" si="33"/>
        <v>Svinegylle</v>
      </c>
      <c r="B93" s="192" t="str">
        <f t="shared" si="34"/>
        <v>Husdyrgødning</v>
      </c>
      <c r="C93" s="192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2">
        <f t="shared" si="19"/>
        <v>2030</v>
      </c>
      <c r="E93" s="190" t="s">
        <v>23</v>
      </c>
      <c r="F93" s="193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12059866.540704856</v>
      </c>
      <c r="G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0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7477117.2552370103</v>
      </c>
      <c r="K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4582749.2854678454</v>
      </c>
      <c r="L93" s="193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2">
        <f t="shared" si="23"/>
        <v>0</v>
      </c>
      <c r="O93" s="193">
        <f t="shared" si="20"/>
        <v>0</v>
      </c>
      <c r="P93" s="203">
        <f t="shared" si="24"/>
        <v>7477117.2552370103</v>
      </c>
      <c r="Q93" s="190">
        <f>IFERROR(VLOOKUP(A93,[1]Energiindhold!$A$2:$C$11,3,FALSE),IFERROR(VLOOKUP(A93,[1]Biogasudbytte!$A$2:$B$18,2,FALSE)*[1]Energiindhold!$C$10,0))*O93</f>
        <v>0</v>
      </c>
      <c r="R93" s="190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3.2211421135561045</v>
      </c>
      <c r="S93" s="190">
        <f>IFERROR(VLOOKUP(A93,[1]Biogasudbytte!$A$2:$B$18,2,FALSE)*[1]Energiindhold!$C$10,0)*J93*IFERROR(VLOOKUP(A93,Biogasanlæg!$F$3:$G$8,2,FALSE),1)</f>
        <v>3.2211421135561045</v>
      </c>
      <c r="T93" s="191">
        <f t="shared" si="25"/>
        <v>0</v>
      </c>
      <c r="U93" s="189">
        <f>O93*IFERROR(VLOOKUP(A93,[1]Tørstofindhold!A$2:B$24,2,FALSE),0)</f>
        <v>0</v>
      </c>
      <c r="V93" s="190">
        <f>IF(D93=År1,P93,SUM(O93,P93))*IFERROR(VLOOKUP(A93,[1]Tørstofindhold!A$2:B$24,2,FALSE),0)</f>
        <v>373855.86276185053</v>
      </c>
      <c r="W93" s="190">
        <f>J93*IFERROR(VLOOKUP(A93,[1]Tørstofindhold!A$2:B$24,2,FALSE),0)</f>
        <v>373855.86276185053</v>
      </c>
      <c r="X93" s="191">
        <f t="shared" si="26"/>
        <v>0</v>
      </c>
      <c r="Y93" s="171">
        <f t="shared" si="21"/>
        <v>0</v>
      </c>
      <c r="Z93" s="103">
        <f t="shared" si="22"/>
        <v>0</v>
      </c>
    </row>
    <row r="94" spans="1:26" hidden="1" x14ac:dyDescent="0.25">
      <c r="A94" s="192" t="str">
        <f t="shared" si="33"/>
        <v>Svinekød</v>
      </c>
      <c r="B94" s="192" t="str">
        <f t="shared" si="34"/>
        <v/>
      </c>
      <c r="C94" s="192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2">
        <f t="shared" si="19"/>
        <v>2030</v>
      </c>
      <c r="E94" s="190" t="s">
        <v>23</v>
      </c>
      <c r="F94" s="193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1102410.4206254377</v>
      </c>
      <c r="G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0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97500.435238944279</v>
      </c>
      <c r="J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3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2">
        <f t="shared" si="23"/>
        <v>1004909.9853864935</v>
      </c>
      <c r="O94" s="193">
        <f t="shared" si="20"/>
        <v>0</v>
      </c>
      <c r="P94" s="203">
        <f t="shared" si="24"/>
        <v>0</v>
      </c>
      <c r="Q94" s="190">
        <f>IFERROR(VLOOKUP(A94,[1]Energiindhold!$A$2:$C$11,3,FALSE),IFERROR(VLOOKUP(A94,[1]Biogasudbytte!$A$2:$B$18,2,FALSE)*[1]Energiindhold!$C$10,0))*O94</f>
        <v>0</v>
      </c>
      <c r="R94" s="190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0">
        <f>IFERROR(VLOOKUP(A94,[1]Biogasudbytte!$A$2:$B$18,2,FALSE)*[1]Energiindhold!$C$10,0)*J94*IFERROR(VLOOKUP(A94,Biogasanlæg!$F$3:$G$8,2,FALSE),1)</f>
        <v>0</v>
      </c>
      <c r="T94" s="191">
        <f t="shared" si="25"/>
        <v>0</v>
      </c>
      <c r="U94" s="189">
        <f>O94*IFERROR(VLOOKUP(A94,[1]Tørstofindhold!A$2:B$24,2,FALSE),0)</f>
        <v>0</v>
      </c>
      <c r="V94" s="190">
        <f>IF(D94=År1,P94,SUM(O94,P94))*IFERROR(VLOOKUP(A94,[1]Tørstofindhold!A$2:B$24,2,FALSE),0)</f>
        <v>0</v>
      </c>
      <c r="W94" s="190">
        <f>J94*IFERROR(VLOOKUP(A94,[1]Tørstofindhold!A$2:B$24,2,FALSE),0)</f>
        <v>0</v>
      </c>
      <c r="X94" s="191">
        <f t="shared" si="26"/>
        <v>0</v>
      </c>
      <c r="Y94" s="171">
        <f t="shared" si="21"/>
        <v>0</v>
      </c>
      <c r="Z94" s="103">
        <f t="shared" si="22"/>
        <v>1</v>
      </c>
    </row>
    <row r="95" spans="1:26" hidden="1" x14ac:dyDescent="0.25">
      <c r="A95" s="192" t="str">
        <f t="shared" si="33"/>
        <v>Tang</v>
      </c>
      <c r="B95" s="192" t="str">
        <f t="shared" si="34"/>
        <v>Havbiomasse</v>
      </c>
      <c r="C95" s="192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2">
        <f t="shared" si="19"/>
        <v>2030</v>
      </c>
      <c r="E95" s="190" t="s">
        <v>23</v>
      </c>
      <c r="F95" s="193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10800</v>
      </c>
      <c r="G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0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3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2">
        <f t="shared" si="23"/>
        <v>10800</v>
      </c>
      <c r="O95" s="193">
        <f t="shared" si="20"/>
        <v>10800</v>
      </c>
      <c r="P95" s="203">
        <f t="shared" si="24"/>
        <v>0</v>
      </c>
      <c r="Q95" s="190">
        <f>IFERROR(VLOOKUP(A95,[1]Energiindhold!$A$2:$C$11,3,FALSE),IFERROR(VLOOKUP(A95,[1]Biogasudbytte!$A$2:$B$18,2,FALSE)*[1]Energiindhold!$C$10,0))*O95</f>
        <v>9.6930000000000002E-3</v>
      </c>
      <c r="R95" s="190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0">
        <f>IFERROR(VLOOKUP(A95,[1]Biogasudbytte!$A$2:$B$18,2,FALSE)*[1]Energiindhold!$C$10,0)*J95*IFERROR(VLOOKUP(A95,Biogasanlæg!$F$3:$G$8,2,FALSE),1)</f>
        <v>0</v>
      </c>
      <c r="T95" s="191">
        <f t="shared" si="25"/>
        <v>9.6930000000000002E-3</v>
      </c>
      <c r="U95" s="189">
        <f>O95*IFERROR(VLOOKUP(A95,[1]Tørstofindhold!A$2:B$24,2,FALSE),0)</f>
        <v>1620</v>
      </c>
      <c r="V95" s="190">
        <f>IF(D95=År1,P95,SUM(O95,P95))*IFERROR(VLOOKUP(A95,[1]Tørstofindhold!A$2:B$24,2,FALSE),0)</f>
        <v>1620</v>
      </c>
      <c r="W95" s="190">
        <f>J95*IFERROR(VLOOKUP(A95,[1]Tørstofindhold!A$2:B$24,2,FALSE),0)</f>
        <v>0</v>
      </c>
      <c r="X95" s="191">
        <f t="shared" si="26"/>
        <v>1620</v>
      </c>
      <c r="Y95" s="171">
        <f t="shared" si="21"/>
        <v>0</v>
      </c>
      <c r="Z95" s="103">
        <f t="shared" si="22"/>
        <v>1</v>
      </c>
    </row>
    <row r="96" spans="1:26" hidden="1" x14ac:dyDescent="0.25">
      <c r="A96" s="192" t="str">
        <f t="shared" si="33"/>
        <v>Total til biogas</v>
      </c>
      <c r="B96" s="192" t="str">
        <f t="shared" si="34"/>
        <v/>
      </c>
      <c r="C96" s="192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2">
        <f t="shared" si="19"/>
        <v>2030</v>
      </c>
      <c r="E96" s="190" t="s">
        <v>23</v>
      </c>
      <c r="F96" s="193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0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3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2">
        <f t="shared" si="23"/>
        <v>0</v>
      </c>
      <c r="O96" s="193">
        <f t="shared" si="20"/>
        <v>0</v>
      </c>
      <c r="P96" s="203">
        <f t="shared" si="24"/>
        <v>0</v>
      </c>
      <c r="Q96" s="190">
        <f>IFERROR(VLOOKUP(A96,[1]Energiindhold!$A$2:$C$11,3,FALSE),IFERROR(VLOOKUP(A96,[1]Biogasudbytte!$A$2:$B$18,2,FALSE)*[1]Energiindhold!$C$10,0))*O96</f>
        <v>0</v>
      </c>
      <c r="R96" s="190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0">
        <f>IFERROR(VLOOKUP(A96,[1]Biogasudbytte!$A$2:$B$18,2,FALSE)*[1]Energiindhold!$C$10,0)*J96*IFERROR(VLOOKUP(A96,Biogasanlæg!$F$3:$G$8,2,FALSE),1)</f>
        <v>0</v>
      </c>
      <c r="T96" s="191">
        <f t="shared" si="25"/>
        <v>0</v>
      </c>
      <c r="U96" s="189">
        <f>O96*IFERROR(VLOOKUP(A96,[1]Tørstofindhold!A$2:B$24,2,FALSE),0)</f>
        <v>0</v>
      </c>
      <c r="V96" s="190">
        <f>IF(D96=År1,P96,SUM(O96,P96))*IFERROR(VLOOKUP(A96,[1]Tørstofindhold!A$2:B$24,2,FALSE),0)</f>
        <v>0</v>
      </c>
      <c r="W96" s="190">
        <f>J96*IFERROR(VLOOKUP(A96,[1]Tørstofindhold!A$2:B$24,2,FALSE),0)</f>
        <v>0</v>
      </c>
      <c r="X96" s="191">
        <f t="shared" si="26"/>
        <v>0</v>
      </c>
      <c r="Y96" s="171">
        <f t="shared" si="21"/>
        <v>0</v>
      </c>
      <c r="Z96" s="103">
        <f t="shared" si="22"/>
        <v>0</v>
      </c>
    </row>
    <row r="97" spans="1:26" hidden="1" x14ac:dyDescent="0.25">
      <c r="A97" s="192" t="str">
        <f t="shared" si="33"/>
        <v>Træ til energi</v>
      </c>
      <c r="B97" s="192" t="str">
        <f t="shared" si="34"/>
        <v>Vedmasse</v>
      </c>
      <c r="C97" s="192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2">
        <f t="shared" si="19"/>
        <v>2030</v>
      </c>
      <c r="E97" s="190" t="s">
        <v>23</v>
      </c>
      <c r="F97" s="193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2226876.9610476061</v>
      </c>
      <c r="G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0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3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2226876.9610476061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2">
        <f t="shared" si="23"/>
        <v>0</v>
      </c>
      <c r="O97" s="193">
        <f t="shared" si="20"/>
        <v>0</v>
      </c>
      <c r="P97" s="203">
        <f t="shared" si="24"/>
        <v>2226876.9610476061</v>
      </c>
      <c r="Q97" s="190">
        <f>IFERROR(VLOOKUP(A97,[1]Energiindhold!$A$2:$C$11,3,FALSE),IFERROR(VLOOKUP(A97,[1]Biogasudbytte!$A$2:$B$18,2,FALSE)*[1]Energiindhold!$C$10,0))*O97</f>
        <v>0</v>
      </c>
      <c r="R97" s="190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32.275394668492638</v>
      </c>
      <c r="S97" s="190">
        <f>IFERROR(VLOOKUP(A97,[1]Biogasudbytte!$A$2:$B$18,2,FALSE)*[1]Energiindhold!$C$10,0)*J97*IFERROR(VLOOKUP(A97,Biogasanlæg!$F$3:$G$8,2,FALSE),1)</f>
        <v>0</v>
      </c>
      <c r="T97" s="191">
        <f t="shared" si="25"/>
        <v>32.275394668492638</v>
      </c>
      <c r="U97" s="189">
        <f>O97*IFERROR(VLOOKUP(A97,[1]Tørstofindhold!A$2:B$24,2,FALSE),0)</f>
        <v>0</v>
      </c>
      <c r="V97" s="190">
        <f>IF(D97=År1,P97,SUM(O97,P97))*IFERROR(VLOOKUP(A97,[1]Tørstofindhold!A$2:B$24,2,FALSE),0)</f>
        <v>1101376.2303181284</v>
      </c>
      <c r="W97" s="190">
        <f>J97*IFERROR(VLOOKUP(A97,[1]Tørstofindhold!A$2:B$24,2,FALSE),0)</f>
        <v>0</v>
      </c>
      <c r="X97" s="191">
        <f t="shared" si="26"/>
        <v>1101376.2303181284</v>
      </c>
      <c r="Y97" s="171">
        <f t="shared" si="21"/>
        <v>0</v>
      </c>
      <c r="Z97" s="103">
        <f t="shared" si="22"/>
        <v>0</v>
      </c>
    </row>
    <row r="98" spans="1:26" hidden="1" x14ac:dyDescent="0.25">
      <c r="A98" s="192" t="str">
        <f t="shared" si="33"/>
        <v>Træmaterialer</v>
      </c>
      <c r="B98" s="192" t="str">
        <f t="shared" si="34"/>
        <v/>
      </c>
      <c r="C98" s="192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2">
        <f t="shared" si="19"/>
        <v>2030</v>
      </c>
      <c r="E98" s="190" t="s">
        <v>23</v>
      </c>
      <c r="F98" s="193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613716.58108207851</v>
      </c>
      <c r="G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0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3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613716.58108207851</v>
      </c>
      <c r="N98" s="202">
        <f t="shared" si="23"/>
        <v>0</v>
      </c>
      <c r="O98" s="193">
        <f t="shared" si="20"/>
        <v>0</v>
      </c>
      <c r="P98" s="203">
        <f t="shared" si="24"/>
        <v>0</v>
      </c>
      <c r="Q98" s="190">
        <f>IFERROR(VLOOKUP(A98,[1]Energiindhold!$A$2:$C$11,3,FALSE),IFERROR(VLOOKUP(A98,[1]Biogasudbytte!$A$2:$B$18,2,FALSE)*[1]Energiindhold!$C$10,0))*O98</f>
        <v>0</v>
      </c>
      <c r="R98" s="190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0">
        <f>IFERROR(VLOOKUP(A98,[1]Biogasudbytte!$A$2:$B$18,2,FALSE)*[1]Energiindhold!$C$10,0)*J98*IFERROR(VLOOKUP(A98,Biogasanlæg!$F$3:$G$8,2,FALSE),1)</f>
        <v>0</v>
      </c>
      <c r="T98" s="191">
        <f t="shared" si="25"/>
        <v>0</v>
      </c>
      <c r="U98" s="189">
        <f>O98*IFERROR(VLOOKUP(A98,[1]Tørstofindhold!A$2:B$24,2,FALSE),0)</f>
        <v>0</v>
      </c>
      <c r="V98" s="190">
        <f>IF(D98=År1,P98,SUM(O98,P98))*IFERROR(VLOOKUP(A98,[1]Tørstofindhold!A$2:B$24,2,FALSE),0)</f>
        <v>0</v>
      </c>
      <c r="W98" s="190">
        <f>J98*IFERROR(VLOOKUP(A98,[1]Tørstofindhold!A$2:B$24,2,FALSE),0)</f>
        <v>0</v>
      </c>
      <c r="X98" s="191">
        <f t="shared" si="26"/>
        <v>0</v>
      </c>
      <c r="Y98" s="171">
        <f t="shared" si="21"/>
        <v>0</v>
      </c>
      <c r="Z98" s="103">
        <f t="shared" si="22"/>
        <v>0</v>
      </c>
    </row>
    <row r="99" spans="1:26" hidden="1" x14ac:dyDescent="0.25">
      <c r="A99" s="192" t="str">
        <f t="shared" si="33"/>
        <v>Æg</v>
      </c>
      <c r="B99" s="192" t="str">
        <f t="shared" si="34"/>
        <v/>
      </c>
      <c r="C99" s="192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2">
        <f t="shared" ref="D99:D146" si="35">År3</f>
        <v>2050</v>
      </c>
      <c r="E99" s="190" t="s">
        <v>23</v>
      </c>
      <c r="F99" s="193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208223.23899291924</v>
      </c>
      <c r="G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0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3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2">
        <f t="shared" si="23"/>
        <v>174373.27010647443</v>
      </c>
      <c r="O99" s="193">
        <f t="shared" si="20"/>
        <v>0</v>
      </c>
      <c r="P99" s="203">
        <f t="shared" si="24"/>
        <v>0</v>
      </c>
      <c r="Q99" s="190">
        <f>IFERROR(VLOOKUP(A99,[1]Energiindhold!$A$2:$C$11,3,FALSE),IFERROR(VLOOKUP(A99,[1]Biogasudbytte!$A$2:$B$18,2,FALSE)*[1]Energiindhold!$C$10,0))*O99</f>
        <v>0</v>
      </c>
      <c r="R99" s="190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0">
        <f>IFERROR(VLOOKUP(A99,[1]Biogasudbytte!$A$2:$B$18,2,FALSE)*[1]Energiindhold!$C$10,0)*J99*IFERROR(VLOOKUP(A99,Biogasanlæg!$F$3:$G$8,2,FALSE),1)</f>
        <v>0</v>
      </c>
      <c r="T99" s="191">
        <f t="shared" si="25"/>
        <v>0</v>
      </c>
      <c r="U99" s="189">
        <f>O99*IFERROR(VLOOKUP(A99,[1]Tørstofindhold!A$2:B$24,2,FALSE),0)</f>
        <v>0</v>
      </c>
      <c r="V99" s="190">
        <f>IF(D99=År1,P99,SUM(O99,P99))*IFERROR(VLOOKUP(A99,[1]Tørstofindhold!A$2:B$24,2,FALSE),0)</f>
        <v>0</v>
      </c>
      <c r="W99" s="190">
        <f>J99*IFERROR(VLOOKUP(A99,[1]Tørstofindhold!A$2:B$24,2,FALSE),0)</f>
        <v>0</v>
      </c>
      <c r="X99" s="191">
        <f t="shared" si="26"/>
        <v>0</v>
      </c>
      <c r="Y99" s="171">
        <f t="shared" si="21"/>
        <v>0</v>
      </c>
      <c r="Z99" s="103">
        <f t="shared" si="22"/>
        <v>1</v>
      </c>
    </row>
    <row r="100" spans="1:26" hidden="1" x14ac:dyDescent="0.25">
      <c r="A100" s="192" t="str">
        <f t="shared" si="33"/>
        <v>Bælgsæd</v>
      </c>
      <c r="B100" s="192" t="str">
        <f t="shared" si="34"/>
        <v/>
      </c>
      <c r="C100" s="192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2">
        <f t="shared" si="35"/>
        <v>2050</v>
      </c>
      <c r="E100" s="190" t="s">
        <v>23</v>
      </c>
      <c r="F100" s="193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609158.83584090974</v>
      </c>
      <c r="G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31434.479653499999</v>
      </c>
      <c r="H100" s="190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112833.22962148272</v>
      </c>
      <c r="J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3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2">
        <f t="shared" si="23"/>
        <v>464891.12656592706</v>
      </c>
      <c r="O100" s="193">
        <f t="shared" si="20"/>
        <v>0</v>
      </c>
      <c r="P100" s="203">
        <f t="shared" si="24"/>
        <v>0</v>
      </c>
      <c r="Q100" s="190">
        <f>IFERROR(VLOOKUP(A100,[1]Energiindhold!$A$2:$C$11,3,FALSE),IFERROR(VLOOKUP(A100,[1]Biogasudbytte!$A$2:$B$18,2,FALSE)*[1]Energiindhold!$C$10,0))*O100</f>
        <v>0</v>
      </c>
      <c r="R100" s="190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0">
        <f>IFERROR(VLOOKUP(A100,[1]Biogasudbytte!$A$2:$B$18,2,FALSE)*[1]Energiindhold!$C$10,0)*J100*IFERROR(VLOOKUP(A100,Biogasanlæg!$F$3:$G$8,2,FALSE),1)</f>
        <v>0</v>
      </c>
      <c r="T100" s="191">
        <f t="shared" si="25"/>
        <v>0</v>
      </c>
      <c r="U100" s="189">
        <f>O100*IFERROR(VLOOKUP(A100,[1]Tørstofindhold!A$2:B$24,2,FALSE),0)</f>
        <v>0</v>
      </c>
      <c r="V100" s="190">
        <f>IF(D100=År1,P100,SUM(O100,P100))*IFERROR(VLOOKUP(A100,[1]Tørstofindhold!A$2:B$24,2,FALSE),0)</f>
        <v>0</v>
      </c>
      <c r="W100" s="190">
        <f>J100*IFERROR(VLOOKUP(A100,[1]Tørstofindhold!A$2:B$24,2,FALSE),0)</f>
        <v>0</v>
      </c>
      <c r="X100" s="191">
        <f t="shared" si="26"/>
        <v>0</v>
      </c>
      <c r="Y100" s="171">
        <f t="shared" si="21"/>
        <v>0</v>
      </c>
      <c r="Z100" s="103">
        <f t="shared" si="22"/>
        <v>1</v>
      </c>
    </row>
    <row r="101" spans="1:26" hidden="1" x14ac:dyDescent="0.25">
      <c r="A101" s="192" t="str">
        <f t="shared" si="33"/>
        <v>Bioaffald</v>
      </c>
      <c r="B101" s="192" t="str">
        <f t="shared" si="34"/>
        <v>Bionedbrydeligt affald</v>
      </c>
      <c r="C101" s="192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2">
        <f t="shared" si="35"/>
        <v>2050</v>
      </c>
      <c r="E101" s="190" t="s">
        <v>23</v>
      </c>
      <c r="F101" s="193">
        <f ca="1"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197484.13479984918</v>
      </c>
      <c r="G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0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3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3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2">
        <f t="shared" ca="1" si="23"/>
        <v>-9.8743131762603298E-2</v>
      </c>
      <c r="O101" s="193">
        <f t="shared" ca="1" si="20"/>
        <v>0</v>
      </c>
      <c r="P101" s="203">
        <f t="shared" ca="1" si="24"/>
        <v>197484.23354298095</v>
      </c>
      <c r="Q101" s="190">
        <f ca="1">IFERROR(VLOOKUP(A101,[1]Energiindhold!$A$2:$C$11,3,FALSE),IFERROR(VLOOKUP(A101,[1]Biogasudbytte!$A$2:$B$18,2,FALSE)*[1]Energiindhold!$C$10,0))*O101</f>
        <v>0</v>
      </c>
      <c r="R101" s="190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0">
        <f ca="1">IFERROR(VLOOKUP(A101,[1]Biogasudbytte!$A$2:$B$18,2,FALSE)*[1]Energiindhold!$C$10,0)*J101*IFERROR(VLOOKUP(A101,Biogasanlæg!$F$3:$G$8,2,FALSE),1)</f>
        <v>0.67281101009991739</v>
      </c>
      <c r="T101" s="191">
        <f t="shared" ca="1" si="25"/>
        <v>0</v>
      </c>
      <c r="U101" s="189">
        <f ca="1">O101*IFERROR(VLOOKUP(A101,[1]Tørstofindhold!A$2:B$24,2,FALSE),0)</f>
        <v>0</v>
      </c>
      <c r="V101" s="190">
        <f ca="1">IF(D101=År1,P101,SUM(O101,P101))*IFERROR(VLOOKUP(A101,[1]Tørstofindhold!A$2:B$24,2,FALSE),0)</f>
        <v>55295.585392034671</v>
      </c>
      <c r="W101" s="190">
        <f ca="1">J101*IFERROR(VLOOKUP(A101,[1]Tørstofindhold!A$2:B$24,2,FALSE),0)</f>
        <v>55295.585392034671</v>
      </c>
      <c r="X101" s="191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hidden="1" x14ac:dyDescent="0.25">
      <c r="A102" s="192" t="str">
        <f t="shared" si="33"/>
        <v>Biogas</v>
      </c>
      <c r="B102" s="192" t="str">
        <f t="shared" si="34"/>
        <v/>
      </c>
      <c r="C102" s="192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2">
        <f t="shared" si="35"/>
        <v>2050</v>
      </c>
      <c r="E102" s="190" t="s">
        <v>23</v>
      </c>
      <c r="F102" s="193">
        <f ca="1"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452644993.79872894</v>
      </c>
      <c r="G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0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3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452644993.79872894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2">
        <f t="shared" ca="1" si="23"/>
        <v>0</v>
      </c>
      <c r="O102" s="193">
        <f t="shared" ca="1" si="20"/>
        <v>0</v>
      </c>
      <c r="P102" s="203">
        <f t="shared" ca="1" si="24"/>
        <v>452644993.79872894</v>
      </c>
      <c r="Q102" s="190">
        <f ca="1">IFERROR(VLOOKUP(A102,[1]Energiindhold!$A$2:$C$11,3,FALSE),IFERROR(VLOOKUP(A102,[1]Biogasudbytte!$A$2:$B$18,2,FALSE)*[1]Energiindhold!$C$10,0))*O102</f>
        <v>0</v>
      </c>
      <c r="R102" s="190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0">
        <f>IFERROR(VLOOKUP(A102,[1]Biogasudbytte!$A$2:$B$18,2,FALSE)*[1]Energiindhold!$C$10,0)*J102*IFERROR(VLOOKUP(A102,Biogasanlæg!$F$3:$G$8,2,FALSE),1)</f>
        <v>0</v>
      </c>
      <c r="T102" s="191">
        <f t="shared" si="25"/>
        <v>0</v>
      </c>
      <c r="U102" s="189">
        <f ca="1">O102*IFERROR(VLOOKUP(A102,[1]Tørstofindhold!A$2:B$24,2,FALSE),0)</f>
        <v>0</v>
      </c>
      <c r="V102" s="190">
        <f ca="1">IF(D102=År1,P102,SUM(O102,P102))*IFERROR(VLOOKUP(A102,[1]Tørstofindhold!A$2:B$24,2,FALSE),0)</f>
        <v>0</v>
      </c>
      <c r="W102" s="190">
        <f>J102*IFERROR(VLOOKUP(A102,[1]Tørstofindhold!A$2:B$24,2,FALSE),0)</f>
        <v>0</v>
      </c>
      <c r="X102" s="191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x14ac:dyDescent="0.25">
      <c r="A103" s="192" t="str">
        <f t="shared" si="33"/>
        <v>Biogasgylle</v>
      </c>
      <c r="B103" s="192" t="str">
        <f t="shared" si="34"/>
        <v/>
      </c>
      <c r="C103" s="192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2">
        <f t="shared" si="35"/>
        <v>2050</v>
      </c>
      <c r="E103" s="190" t="s">
        <v>23</v>
      </c>
      <c r="F103" s="193">
        <f ca="1"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16711149.491198121</v>
      </c>
      <c r="G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0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3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11134649.546942962</v>
      </c>
      <c r="L103" s="193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2">
        <f t="shared" ca="1" si="23"/>
        <v>5576499.9442551583</v>
      </c>
      <c r="O103" s="193">
        <f t="shared" si="20"/>
        <v>0</v>
      </c>
      <c r="P103" s="203">
        <f t="shared" si="24"/>
        <v>0</v>
      </c>
      <c r="Q103" s="190">
        <f>IFERROR(VLOOKUP(A103,[1]Energiindhold!$A$2:$C$11,3,FALSE),IFERROR(VLOOKUP(A103,[1]Biogasudbytte!$A$2:$B$18,2,FALSE)*[1]Energiindhold!$C$10,0))*O103</f>
        <v>0</v>
      </c>
      <c r="R103" s="190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0">
        <f>IFERROR(VLOOKUP(A103,[1]Biogasudbytte!$A$2:$B$18,2,FALSE)*[1]Energiindhold!$C$10,0)*J103*IFERROR(VLOOKUP(A103,Biogasanlæg!$F$3:$G$8,2,FALSE),1)</f>
        <v>0</v>
      </c>
      <c r="T103" s="191">
        <f t="shared" si="25"/>
        <v>0</v>
      </c>
      <c r="U103" s="189">
        <f>O103*IFERROR(VLOOKUP(A103,[1]Tørstofindhold!A$2:B$24,2,FALSE),0)</f>
        <v>0</v>
      </c>
      <c r="V103" s="190">
        <f>IF(D103=År1,P103,SUM(O103,P103))*IFERROR(VLOOKUP(A103,[1]Tørstofindhold!A$2:B$24,2,FALSE),0)</f>
        <v>0</v>
      </c>
      <c r="W103" s="190">
        <f>J103*IFERROR(VLOOKUP(A103,[1]Tørstofindhold!A$2:B$24,2,FALSE),0)</f>
        <v>0</v>
      </c>
      <c r="X103" s="191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hidden="1" x14ac:dyDescent="0.25">
      <c r="A104" s="192" t="str">
        <f t="shared" si="33"/>
        <v>Brun saft</v>
      </c>
      <c r="B104" s="192" t="str">
        <f t="shared" si="34"/>
        <v>Bionedbrydeligt affald</v>
      </c>
      <c r="C104" s="192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2">
        <f t="shared" si="35"/>
        <v>2050</v>
      </c>
      <c r="E104" s="190" t="s">
        <v>23</v>
      </c>
      <c r="F104" s="193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1585432.3318038937</v>
      </c>
      <c r="G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0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1268345.8654431151</v>
      </c>
      <c r="K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3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2">
        <f t="shared" si="23"/>
        <v>317086.46636077855</v>
      </c>
      <c r="O104" s="193">
        <f t="shared" si="20"/>
        <v>317086.46636077855</v>
      </c>
      <c r="P104" s="203">
        <f t="shared" si="24"/>
        <v>1268345.8654431151</v>
      </c>
      <c r="Q104" s="190">
        <f>IFERROR(VLOOKUP(A104,[1]Energiindhold!$A$2:$C$11,3,FALSE),IFERROR(VLOOKUP(A104,[1]Biogasudbytte!$A$2:$B$18,2,FALSE)*[1]Energiindhold!$C$10,0))*O104</f>
        <v>0.1801133815374231</v>
      </c>
      <c r="R104" s="190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0.900566907687116</v>
      </c>
      <c r="S104" s="190">
        <f>IFERROR(VLOOKUP(A104,[1]Biogasudbytte!$A$2:$B$18,2,FALSE)*[1]Energiindhold!$C$10,0)*J104*IFERROR(VLOOKUP(A104,Biogasanlæg!$F$3:$G$8,2,FALSE),1)</f>
        <v>0.72045352614969294</v>
      </c>
      <c r="T104" s="191">
        <f t="shared" si="25"/>
        <v>0.18011338153742307</v>
      </c>
      <c r="U104" s="189">
        <f>O104*IFERROR(VLOOKUP(A104,[1]Tørstofindhold!A$2:B$24,2,FALSE),0)</f>
        <v>13559.691450532489</v>
      </c>
      <c r="V104" s="190">
        <f>IF(D104=År1,P104,SUM(O104,P104))*IFERROR(VLOOKUP(A104,[1]Tørstofindhold!A$2:B$24,2,FALSE),0)</f>
        <v>67798.457252662498</v>
      </c>
      <c r="W104" s="190">
        <f>J104*IFERROR(VLOOKUP(A104,[1]Tørstofindhold!A$2:B$24,2,FALSE),0)</f>
        <v>54238.765802130001</v>
      </c>
      <c r="X104" s="191">
        <f t="shared" si="26"/>
        <v>13559.691450532497</v>
      </c>
      <c r="Y104" s="171">
        <f t="shared" si="21"/>
        <v>0</v>
      </c>
      <c r="Z104" s="103">
        <f t="shared" si="22"/>
        <v>1</v>
      </c>
    </row>
    <row r="105" spans="1:26" hidden="1" x14ac:dyDescent="0.25">
      <c r="A105" s="192" t="str">
        <f t="shared" si="33"/>
        <v>Dybstrøelse</v>
      </c>
      <c r="B105" s="192" t="str">
        <f t="shared" si="34"/>
        <v>Husdyrgødning</v>
      </c>
      <c r="C105" s="192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2">
        <f t="shared" si="35"/>
        <v>2050</v>
      </c>
      <c r="E105" s="190" t="s">
        <v>23</v>
      </c>
      <c r="F105" s="193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1458137.3135203668</v>
      </c>
      <c r="G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0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1166509.8508162934</v>
      </c>
      <c r="K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110401.82516654204</v>
      </c>
      <c r="L105" s="193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2">
        <f t="shared" si="23"/>
        <v>181225.63753753132</v>
      </c>
      <c r="O105" s="193">
        <f t="shared" si="20"/>
        <v>181225.63753753132</v>
      </c>
      <c r="P105" s="203">
        <f t="shared" si="24"/>
        <v>1166509.8508162934</v>
      </c>
      <c r="Q105" s="190">
        <f>IFERROR(VLOOKUP(A105,[1]Energiindhold!$A$2:$C$11,3,FALSE),IFERROR(VLOOKUP(A105,[1]Biogasudbytte!$A$2:$B$18,2,FALSE)*[1]Energiindhold!$C$10,0))*O105</f>
        <v>0.39036002325584246</v>
      </c>
      <c r="R105" s="190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2.9030222419141385</v>
      </c>
      <c r="S105" s="190">
        <f>IFERROR(VLOOKUP(A105,[1]Biogasudbytte!$A$2:$B$18,2,FALSE)*[1]Energiindhold!$C$10,0)*J105*IFERROR(VLOOKUP(A105,Biogasanlæg!$F$3:$G$8,2,FALSE),1)</f>
        <v>2.5126622186582961</v>
      </c>
      <c r="T105" s="191">
        <f t="shared" si="25"/>
        <v>0.3903600232558424</v>
      </c>
      <c r="U105" s="189">
        <f>O105*IFERROR(VLOOKUP(A105,[1]Tørstofindhold!A$2:B$24,2,FALSE),0)</f>
        <v>54367.691261259395</v>
      </c>
      <c r="V105" s="190">
        <f>IF(D105=År1,P105,SUM(O105,P105))*IFERROR(VLOOKUP(A105,[1]Tørstofindhold!A$2:B$24,2,FALSE),0)</f>
        <v>404320.6465061474</v>
      </c>
      <c r="W105" s="190">
        <f>J105*IFERROR(VLOOKUP(A105,[1]Tørstofindhold!A$2:B$24,2,FALSE),0)</f>
        <v>349952.95524488803</v>
      </c>
      <c r="X105" s="191">
        <f t="shared" si="26"/>
        <v>54367.691261259373</v>
      </c>
      <c r="Y105" s="171">
        <f t="shared" si="21"/>
        <v>0</v>
      </c>
      <c r="Z105" s="103">
        <f t="shared" si="22"/>
        <v>1</v>
      </c>
    </row>
    <row r="106" spans="1:26" hidden="1" x14ac:dyDescent="0.25">
      <c r="A106" s="192" t="str">
        <f t="shared" si="33"/>
        <v>Fiberfraktion</v>
      </c>
      <c r="B106" s="192" t="str">
        <f t="shared" si="34"/>
        <v/>
      </c>
      <c r="C106" s="192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2">
        <f t="shared" si="35"/>
        <v>2050</v>
      </c>
      <c r="E106" s="190" t="s">
        <v>23</v>
      </c>
      <c r="F106" s="193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1116680.4723967942</v>
      </c>
      <c r="G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1122659.9876249996</v>
      </c>
      <c r="H106" s="190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3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2">
        <f t="shared" si="23"/>
        <v>-5979.5152282053605</v>
      </c>
      <c r="O106" s="193">
        <f t="shared" si="20"/>
        <v>0</v>
      </c>
      <c r="P106" s="203">
        <f t="shared" si="24"/>
        <v>0</v>
      </c>
      <c r="Q106" s="190">
        <f>IFERROR(VLOOKUP(A106,[1]Energiindhold!$A$2:$C$11,3,FALSE),IFERROR(VLOOKUP(A106,[1]Biogasudbytte!$A$2:$B$18,2,FALSE)*[1]Energiindhold!$C$10,0))*O106</f>
        <v>0</v>
      </c>
      <c r="R106" s="190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0">
        <f>IFERROR(VLOOKUP(A106,[1]Biogasudbytte!$A$2:$B$18,2,FALSE)*[1]Energiindhold!$C$10,0)*J106*IFERROR(VLOOKUP(A106,Biogasanlæg!$F$3:$G$8,2,FALSE),1)</f>
        <v>0</v>
      </c>
      <c r="T106" s="191">
        <f t="shared" si="25"/>
        <v>0</v>
      </c>
      <c r="U106" s="189">
        <f>O106*IFERROR(VLOOKUP(A106,[1]Tørstofindhold!A$2:B$24,2,FALSE),0)</f>
        <v>0</v>
      </c>
      <c r="V106" s="190">
        <f>IF(D106=År1,P106,SUM(O106,P106))*IFERROR(VLOOKUP(A106,[1]Tørstofindhold!A$2:B$24,2,FALSE),0)</f>
        <v>0</v>
      </c>
      <c r="W106" s="190">
        <f>J106*IFERROR(VLOOKUP(A106,[1]Tørstofindhold!A$2:B$24,2,FALSE),0)</f>
        <v>0</v>
      </c>
      <c r="X106" s="191">
        <f t="shared" si="26"/>
        <v>0</v>
      </c>
      <c r="Y106" s="171">
        <f t="shared" si="21"/>
        <v>1</v>
      </c>
      <c r="Z106" s="103">
        <f t="shared" si="22"/>
        <v>0</v>
      </c>
    </row>
    <row r="107" spans="1:26" hidden="1" x14ac:dyDescent="0.25">
      <c r="A107" s="192" t="str">
        <f t="shared" si="33"/>
        <v>Fjerkrægylle</v>
      </c>
      <c r="B107" s="192" t="str">
        <f t="shared" si="34"/>
        <v>Husdyrgødning</v>
      </c>
      <c r="C107" s="192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2">
        <f t="shared" si="35"/>
        <v>2050</v>
      </c>
      <c r="E107" s="190" t="s">
        <v>23</v>
      </c>
      <c r="F107" s="193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8615.5317224824212</v>
      </c>
      <c r="G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0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6892.4253779859373</v>
      </c>
      <c r="K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1723.1063444964839</v>
      </c>
      <c r="L107" s="193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2">
        <f t="shared" si="23"/>
        <v>0</v>
      </c>
      <c r="O107" s="193">
        <f t="shared" si="20"/>
        <v>0</v>
      </c>
      <c r="P107" s="203">
        <f t="shared" si="24"/>
        <v>6892.4253779859373</v>
      </c>
      <c r="Q107" s="190">
        <f>IFERROR(VLOOKUP(A107,[1]Energiindhold!$A$2:$C$11,3,FALSE),IFERROR(VLOOKUP(A107,[1]Biogasudbytte!$A$2:$B$18,2,FALSE)*[1]Energiindhold!$C$10,0))*O107</f>
        <v>0</v>
      </c>
      <c r="R107" s="190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3.2414387310130063E-3</v>
      </c>
      <c r="S107" s="190">
        <f>IFERROR(VLOOKUP(A107,[1]Biogasudbytte!$A$2:$B$18,2,FALSE)*[1]Energiindhold!$C$10,0)*J107*IFERROR(VLOOKUP(A107,Biogasanlæg!$F$3:$G$8,2,FALSE),1)</f>
        <v>3.2414387310130063E-3</v>
      </c>
      <c r="T107" s="191">
        <f t="shared" si="25"/>
        <v>0</v>
      </c>
      <c r="U107" s="189">
        <f>O107*IFERROR(VLOOKUP(A107,[1]Tørstofindhold!A$2:B$24,2,FALSE),0)</f>
        <v>0</v>
      </c>
      <c r="V107" s="190">
        <f>IF(D107=År1,P107,SUM(O107,P107))*IFERROR(VLOOKUP(A107,[1]Tørstofindhold!A$2:B$24,2,FALSE),0)</f>
        <v>434.22279881311403</v>
      </c>
      <c r="W107" s="190">
        <f>J107*IFERROR(VLOOKUP(A107,[1]Tørstofindhold!A$2:B$24,2,FALSE),0)</f>
        <v>434.22279881311403</v>
      </c>
      <c r="X107" s="191">
        <f t="shared" si="26"/>
        <v>0</v>
      </c>
      <c r="Y107" s="171">
        <f t="shared" si="21"/>
        <v>0</v>
      </c>
      <c r="Z107" s="103">
        <f t="shared" si="22"/>
        <v>0</v>
      </c>
    </row>
    <row r="108" spans="1:26" hidden="1" x14ac:dyDescent="0.25">
      <c r="A108" s="192" t="str">
        <f t="shared" si="33"/>
        <v>Fjerkrækød</v>
      </c>
      <c r="B108" s="192" t="str">
        <f t="shared" si="34"/>
        <v/>
      </c>
      <c r="C108" s="192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2">
        <f t="shared" si="35"/>
        <v>2050</v>
      </c>
      <c r="E108" s="190" t="s">
        <v>23</v>
      </c>
      <c r="F108" s="193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173658.75124992887</v>
      </c>
      <c r="G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0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18335.399813490942</v>
      </c>
      <c r="J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3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2">
        <f t="shared" si="23"/>
        <v>155323.35143643792</v>
      </c>
      <c r="O108" s="193">
        <f t="shared" si="20"/>
        <v>0</v>
      </c>
      <c r="P108" s="203">
        <f t="shared" si="24"/>
        <v>0</v>
      </c>
      <c r="Q108" s="190">
        <f>IFERROR(VLOOKUP(A108,[1]Energiindhold!$A$2:$C$11,3,FALSE),IFERROR(VLOOKUP(A108,[1]Biogasudbytte!$A$2:$B$18,2,FALSE)*[1]Energiindhold!$C$10,0))*O108</f>
        <v>0</v>
      </c>
      <c r="R108" s="190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0">
        <f>IFERROR(VLOOKUP(A108,[1]Biogasudbytte!$A$2:$B$18,2,FALSE)*[1]Energiindhold!$C$10,0)*J108*IFERROR(VLOOKUP(A108,Biogasanlæg!$F$3:$G$8,2,FALSE),1)</f>
        <v>0</v>
      </c>
      <c r="T108" s="191">
        <f t="shared" si="25"/>
        <v>0</v>
      </c>
      <c r="U108" s="189">
        <f>O108*IFERROR(VLOOKUP(A108,[1]Tørstofindhold!A$2:B$24,2,FALSE),0)</f>
        <v>0</v>
      </c>
      <c r="V108" s="190">
        <f>IF(D108=År1,P108,SUM(O108,P108))*IFERROR(VLOOKUP(A108,[1]Tørstofindhold!A$2:B$24,2,FALSE),0)</f>
        <v>0</v>
      </c>
      <c r="W108" s="190">
        <f>J108*IFERROR(VLOOKUP(A108,[1]Tørstofindhold!A$2:B$24,2,FALSE),0)</f>
        <v>0</v>
      </c>
      <c r="X108" s="191">
        <f t="shared" si="26"/>
        <v>0</v>
      </c>
      <c r="Y108" s="171">
        <f t="shared" si="21"/>
        <v>0</v>
      </c>
      <c r="Z108" s="103">
        <f t="shared" si="22"/>
        <v>1</v>
      </c>
    </row>
    <row r="109" spans="1:26" hidden="1" x14ac:dyDescent="0.25">
      <c r="A109" s="192" t="str">
        <f t="shared" si="33"/>
        <v>Frø</v>
      </c>
      <c r="B109" s="192" t="str">
        <f t="shared" si="34"/>
        <v/>
      </c>
      <c r="C109" s="192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2">
        <f t="shared" si="35"/>
        <v>2050</v>
      </c>
      <c r="E109" s="190" t="s">
        <v>23</v>
      </c>
      <c r="F109" s="193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792091.46065631567</v>
      </c>
      <c r="G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0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3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2">
        <f t="shared" si="23"/>
        <v>792091.46065631567</v>
      </c>
      <c r="O109" s="193">
        <f t="shared" si="20"/>
        <v>0</v>
      </c>
      <c r="P109" s="203">
        <f t="shared" si="24"/>
        <v>0</v>
      </c>
      <c r="Q109" s="190">
        <f>IFERROR(VLOOKUP(A109,[1]Energiindhold!$A$2:$C$11,3,FALSE),IFERROR(VLOOKUP(A109,[1]Biogasudbytte!$A$2:$B$18,2,FALSE)*[1]Energiindhold!$C$10,0))*O109</f>
        <v>0</v>
      </c>
      <c r="R109" s="190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0">
        <f>IFERROR(VLOOKUP(A109,[1]Biogasudbytte!$A$2:$B$18,2,FALSE)*[1]Energiindhold!$C$10,0)*J109*IFERROR(VLOOKUP(A109,Biogasanlæg!$F$3:$G$8,2,FALSE),1)</f>
        <v>0</v>
      </c>
      <c r="T109" s="191">
        <f t="shared" si="25"/>
        <v>0</v>
      </c>
      <c r="U109" s="189">
        <f>O109*IFERROR(VLOOKUP(A109,[1]Tørstofindhold!A$2:B$24,2,FALSE),0)</f>
        <v>0</v>
      </c>
      <c r="V109" s="190">
        <f>IF(D109=År1,P109,SUM(O109,P109))*IFERROR(VLOOKUP(A109,[1]Tørstofindhold!A$2:B$24,2,FALSE),0)</f>
        <v>0</v>
      </c>
      <c r="W109" s="190">
        <f>J109*IFERROR(VLOOKUP(A109,[1]Tørstofindhold!A$2:B$24,2,FALSE),0)</f>
        <v>0</v>
      </c>
      <c r="X109" s="191">
        <f t="shared" si="26"/>
        <v>0</v>
      </c>
      <c r="Y109" s="171">
        <f t="shared" si="21"/>
        <v>0</v>
      </c>
      <c r="Z109" s="103">
        <f t="shared" si="22"/>
        <v>1</v>
      </c>
    </row>
    <row r="110" spans="1:26" hidden="1" x14ac:dyDescent="0.25">
      <c r="A110" s="192" t="str">
        <f t="shared" si="33"/>
        <v>Frugt</v>
      </c>
      <c r="B110" s="192" t="str">
        <f t="shared" si="34"/>
        <v/>
      </c>
      <c r="C110" s="192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2">
        <f t="shared" si="35"/>
        <v>2050</v>
      </c>
      <c r="E110" s="190" t="s">
        <v>23</v>
      </c>
      <c r="F110" s="193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116507.263767978</v>
      </c>
      <c r="G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0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3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2">
        <f t="shared" si="23"/>
        <v>-151471.65658304346</v>
      </c>
      <c r="O110" s="193">
        <f t="shared" si="20"/>
        <v>0</v>
      </c>
      <c r="P110" s="203">
        <f t="shared" si="24"/>
        <v>0</v>
      </c>
      <c r="Q110" s="190">
        <f>IFERROR(VLOOKUP(A110,[1]Energiindhold!$A$2:$C$11,3,FALSE),IFERROR(VLOOKUP(A110,[1]Biogasudbytte!$A$2:$B$18,2,FALSE)*[1]Energiindhold!$C$10,0))*O110</f>
        <v>0</v>
      </c>
      <c r="R110" s="190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0">
        <f>IFERROR(VLOOKUP(A110,[1]Biogasudbytte!$A$2:$B$18,2,FALSE)*[1]Energiindhold!$C$10,0)*J110*IFERROR(VLOOKUP(A110,Biogasanlæg!$F$3:$G$8,2,FALSE),1)</f>
        <v>0</v>
      </c>
      <c r="T110" s="191">
        <f t="shared" si="25"/>
        <v>0</v>
      </c>
      <c r="U110" s="189">
        <f>O110*IFERROR(VLOOKUP(A110,[1]Tørstofindhold!A$2:B$24,2,FALSE),0)</f>
        <v>0</v>
      </c>
      <c r="V110" s="190">
        <f>IF(D110=År1,P110,SUM(O110,P110))*IFERROR(VLOOKUP(A110,[1]Tørstofindhold!A$2:B$24,2,FALSE),0)</f>
        <v>0</v>
      </c>
      <c r="W110" s="190">
        <f>J110*IFERROR(VLOOKUP(A110,[1]Tørstofindhold!A$2:B$24,2,FALSE),0)</f>
        <v>0</v>
      </c>
      <c r="X110" s="191">
        <f t="shared" si="26"/>
        <v>0</v>
      </c>
      <c r="Y110" s="171">
        <f t="shared" si="21"/>
        <v>1</v>
      </c>
      <c r="Z110" s="103">
        <f t="shared" si="22"/>
        <v>0</v>
      </c>
    </row>
    <row r="111" spans="1:26" hidden="1" x14ac:dyDescent="0.25">
      <c r="A111" s="192" t="str">
        <f t="shared" si="33"/>
        <v>Glycerin</v>
      </c>
      <c r="B111" s="192" t="str">
        <f t="shared" si="34"/>
        <v>Glycerin</v>
      </c>
      <c r="C111" s="192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2">
        <f t="shared" si="35"/>
        <v>2050</v>
      </c>
      <c r="E111" s="190" t="s">
        <v>23</v>
      </c>
      <c r="F111" s="193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0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3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2">
        <f t="shared" si="23"/>
        <v>-114193.60000000001</v>
      </c>
      <c r="O111" s="193">
        <f t="shared" si="20"/>
        <v>0</v>
      </c>
      <c r="P111" s="203">
        <f t="shared" si="24"/>
        <v>114193.60000000001</v>
      </c>
      <c r="Q111" s="190">
        <f>IFERROR(VLOOKUP(A111,[1]Energiindhold!$A$2:$C$11,3,FALSE),IFERROR(VLOOKUP(A111,[1]Biogasudbytte!$A$2:$B$18,2,FALSE)*[1]Energiindhold!$C$10,0))*O111</f>
        <v>0</v>
      </c>
      <c r="R111" s="190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0">
        <f>IFERROR(VLOOKUP(A111,[1]Biogasudbytte!$A$2:$B$18,2,FALSE)*[1]Energiindhold!$C$10,0)*J111*IFERROR(VLOOKUP(A111,Biogasanlæg!$F$3:$G$8,2,FALSE),1)</f>
        <v>1.7355855896064003</v>
      </c>
      <c r="T111" s="191">
        <f t="shared" si="25"/>
        <v>0</v>
      </c>
      <c r="U111" s="189">
        <f>O111*IFERROR(VLOOKUP(A111,[1]Tørstofindhold!A$2:B$24,2,FALSE),0)</f>
        <v>0</v>
      </c>
      <c r="V111" s="190">
        <f>IF(D111=År1,P111,SUM(O111,P111))*IFERROR(VLOOKUP(A111,[1]Tørstofindhold!A$2:B$24,2,FALSE),0)</f>
        <v>102774.24</v>
      </c>
      <c r="W111" s="190">
        <f>J111*IFERROR(VLOOKUP(A111,[1]Tørstofindhold!A$2:B$24,2,FALSE),0)</f>
        <v>102774.24</v>
      </c>
      <c r="X111" s="191">
        <f t="shared" si="26"/>
        <v>0</v>
      </c>
      <c r="Y111" s="171">
        <f t="shared" si="21"/>
        <v>1</v>
      </c>
      <c r="Z111" s="103">
        <f t="shared" si="22"/>
        <v>0</v>
      </c>
    </row>
    <row r="112" spans="1:26" hidden="1" x14ac:dyDescent="0.25">
      <c r="A112" s="192" t="str">
        <f t="shared" si="33"/>
        <v>Græs</v>
      </c>
      <c r="B112" s="192" t="str">
        <f t="shared" si="34"/>
        <v>Græs og urter</v>
      </c>
      <c r="C112" s="192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2">
        <f t="shared" si="35"/>
        <v>2050</v>
      </c>
      <c r="E112" s="190" t="s">
        <v>23</v>
      </c>
      <c r="F112" s="193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7962057.7199019091</v>
      </c>
      <c r="G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6347522.3700933373</v>
      </c>
      <c r="H112" s="190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0</v>
      </c>
      <c r="K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3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3244500.462221988</v>
      </c>
      <c r="N112" s="202">
        <f t="shared" si="23"/>
        <v>-1629965.1124134166</v>
      </c>
      <c r="O112" s="193">
        <f t="shared" si="20"/>
        <v>0</v>
      </c>
      <c r="P112" s="203">
        <f t="shared" si="24"/>
        <v>0</v>
      </c>
      <c r="Q112" s="190">
        <f>IFERROR(VLOOKUP(A112,[1]Energiindhold!$A$2:$C$11,3,FALSE),IFERROR(VLOOKUP(A112,[1]Biogasudbytte!$A$2:$B$18,2,FALSE)*[1]Energiindhold!$C$10,0))*O112</f>
        <v>0</v>
      </c>
      <c r="R112" s="190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0</v>
      </c>
      <c r="S112" s="190">
        <f>IFERROR(VLOOKUP(A112,[1]Biogasudbytte!$A$2:$B$18,2,FALSE)*[1]Energiindhold!$C$10,0)*J112*IFERROR(VLOOKUP(A112,Biogasanlæg!$F$3:$G$8,2,FALSE),1)</f>
        <v>0</v>
      </c>
      <c r="T112" s="191">
        <f t="shared" si="25"/>
        <v>0</v>
      </c>
      <c r="U112" s="189">
        <f>O112*IFERROR(VLOOKUP(A112,[1]Tørstofindhold!A$2:B$24,2,FALSE),0)</f>
        <v>0</v>
      </c>
      <c r="V112" s="190">
        <f>IF(D112=År1,P112,SUM(O112,P112))*IFERROR(VLOOKUP(A112,[1]Tørstofindhold!A$2:B$24,2,FALSE),0)</f>
        <v>0</v>
      </c>
      <c r="W112" s="190">
        <f>J112*IFERROR(VLOOKUP(A112,[1]Tørstofindhold!A$2:B$24,2,FALSE),0)</f>
        <v>0</v>
      </c>
      <c r="X112" s="191">
        <f t="shared" si="26"/>
        <v>0</v>
      </c>
      <c r="Y112" s="171">
        <f t="shared" si="21"/>
        <v>0</v>
      </c>
      <c r="Z112" s="103">
        <f t="shared" si="22"/>
        <v>1</v>
      </c>
    </row>
    <row r="113" spans="1:26" hidden="1" x14ac:dyDescent="0.25">
      <c r="A113" s="192" t="str">
        <f t="shared" si="33"/>
        <v>Græsprotein</v>
      </c>
      <c r="B113" s="192" t="str">
        <f t="shared" si="34"/>
        <v/>
      </c>
      <c r="C113" s="192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2">
        <f t="shared" si="35"/>
        <v>2050</v>
      </c>
      <c r="E113" s="190" t="s">
        <v>23</v>
      </c>
      <c r="F113" s="193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542387.65802129998</v>
      </c>
      <c r="G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542387.65802129998</v>
      </c>
      <c r="H113" s="190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3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2">
        <f t="shared" si="23"/>
        <v>0</v>
      </c>
      <c r="O113" s="193">
        <f t="shared" si="20"/>
        <v>0</v>
      </c>
      <c r="P113" s="203">
        <f t="shared" si="24"/>
        <v>0</v>
      </c>
      <c r="Q113" s="190">
        <f>IFERROR(VLOOKUP(A113,[1]Energiindhold!$A$2:$C$11,3,FALSE),IFERROR(VLOOKUP(A113,[1]Biogasudbytte!$A$2:$B$18,2,FALSE)*[1]Energiindhold!$C$10,0))*O113</f>
        <v>0</v>
      </c>
      <c r="R113" s="190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0">
        <f>IFERROR(VLOOKUP(A113,[1]Biogasudbytte!$A$2:$B$18,2,FALSE)*[1]Energiindhold!$C$10,0)*J113*IFERROR(VLOOKUP(A113,Biogasanlæg!$F$3:$G$8,2,FALSE),1)</f>
        <v>0</v>
      </c>
      <c r="T113" s="191">
        <f t="shared" si="25"/>
        <v>0</v>
      </c>
      <c r="U113" s="189">
        <f>O113*IFERROR(VLOOKUP(A113,[1]Tørstofindhold!A$2:B$24,2,FALSE),0)</f>
        <v>0</v>
      </c>
      <c r="V113" s="190">
        <f>IF(D113=År1,P113,SUM(O113,P113))*IFERROR(VLOOKUP(A113,[1]Tørstofindhold!A$2:B$24,2,FALSE),0)</f>
        <v>0</v>
      </c>
      <c r="W113" s="190">
        <f>J113*IFERROR(VLOOKUP(A113,[1]Tørstofindhold!A$2:B$24,2,FALSE),0)</f>
        <v>0</v>
      </c>
      <c r="X113" s="191">
        <f t="shared" si="26"/>
        <v>0</v>
      </c>
      <c r="Y113" s="171">
        <f t="shared" si="21"/>
        <v>0</v>
      </c>
      <c r="Z113" s="103">
        <f t="shared" si="22"/>
        <v>0</v>
      </c>
    </row>
    <row r="114" spans="1:26" hidden="1" x14ac:dyDescent="0.25">
      <c r="A114" s="192" t="str">
        <f t="shared" si="33"/>
        <v>Grøntsager</v>
      </c>
      <c r="B114" s="192" t="str">
        <f t="shared" si="34"/>
        <v/>
      </c>
      <c r="C114" s="192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2">
        <f t="shared" si="35"/>
        <v>2050</v>
      </c>
      <c r="E114" s="190" t="s">
        <v>23</v>
      </c>
      <c r="F114" s="193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1257296.7096095001</v>
      </c>
      <c r="G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0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3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2">
        <f t="shared" si="23"/>
        <v>976624.05092606181</v>
      </c>
      <c r="O114" s="193">
        <f t="shared" si="20"/>
        <v>0</v>
      </c>
      <c r="P114" s="203">
        <f t="shared" si="24"/>
        <v>0</v>
      </c>
      <c r="Q114" s="190">
        <f>IFERROR(VLOOKUP(A114,[1]Energiindhold!$A$2:$C$11,3,FALSE),IFERROR(VLOOKUP(A114,[1]Biogasudbytte!$A$2:$B$18,2,FALSE)*[1]Energiindhold!$C$10,0))*O114</f>
        <v>0</v>
      </c>
      <c r="R114" s="190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0">
        <f>IFERROR(VLOOKUP(A114,[1]Biogasudbytte!$A$2:$B$18,2,FALSE)*[1]Energiindhold!$C$10,0)*J114*IFERROR(VLOOKUP(A114,Biogasanlæg!$F$3:$G$8,2,FALSE),1)</f>
        <v>0</v>
      </c>
      <c r="T114" s="191">
        <f t="shared" si="25"/>
        <v>0</v>
      </c>
      <c r="U114" s="189">
        <f>O114*IFERROR(VLOOKUP(A114,[1]Tørstofindhold!A$2:B$24,2,FALSE),0)</f>
        <v>0</v>
      </c>
      <c r="V114" s="190">
        <f>IF(D114=År1,P114,SUM(O114,P114))*IFERROR(VLOOKUP(A114,[1]Tørstofindhold!A$2:B$24,2,FALSE),0)</f>
        <v>0</v>
      </c>
      <c r="W114" s="190">
        <f>J114*IFERROR(VLOOKUP(A114,[1]Tørstofindhold!A$2:B$24,2,FALSE),0)</f>
        <v>0</v>
      </c>
      <c r="X114" s="191">
        <f t="shared" si="26"/>
        <v>0</v>
      </c>
      <c r="Y114" s="171">
        <f t="shared" si="21"/>
        <v>0</v>
      </c>
      <c r="Z114" s="103">
        <f t="shared" si="22"/>
        <v>1</v>
      </c>
    </row>
    <row r="115" spans="1:26" hidden="1" x14ac:dyDescent="0.25">
      <c r="A115" s="192" t="str">
        <f t="shared" si="33"/>
        <v>Halm</v>
      </c>
      <c r="B115" s="192" t="str">
        <f t="shared" si="34"/>
        <v>Halm og strå</v>
      </c>
      <c r="C115" s="192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2">
        <f t="shared" si="35"/>
        <v>2050</v>
      </c>
      <c r="E115" s="190" t="s">
        <v>23</v>
      </c>
      <c r="F115" s="193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2932613.2066284004</v>
      </c>
      <c r="G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358397.79190306552</v>
      </c>
      <c r="H115" s="190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367504.60397489293</v>
      </c>
      <c r="I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0</v>
      </c>
      <c r="K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3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413997.02302441839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1792713.787726023</v>
      </c>
      <c r="N115" s="202">
        <f t="shared" si="23"/>
        <v>0</v>
      </c>
      <c r="O115" s="193">
        <f t="shared" si="20"/>
        <v>0</v>
      </c>
      <c r="P115" s="203">
        <f t="shared" si="24"/>
        <v>413997.02302441839</v>
      </c>
      <c r="Q115" s="190">
        <f>IFERROR(VLOOKUP(A115,[1]Energiindhold!$A$2:$C$11,3,FALSE),IFERROR(VLOOKUP(A115,[1]Biogasudbytte!$A$2:$B$18,2,FALSE)*[1]Energiindhold!$C$10,0))*O115</f>
        <v>0</v>
      </c>
      <c r="R115" s="190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4.2789930549585398</v>
      </c>
      <c r="S115" s="190">
        <f>IFERROR(VLOOKUP(A115,[1]Biogasudbytte!$A$2:$B$18,2,FALSE)*[1]Energiindhold!$C$10,0)*J115*IFERROR(VLOOKUP(A115,Biogasanlæg!$F$3:$G$8,2,FALSE),1)</f>
        <v>0</v>
      </c>
      <c r="T115" s="191">
        <f t="shared" si="25"/>
        <v>4.2789930549585398</v>
      </c>
      <c r="U115" s="189">
        <f>O115*IFERROR(VLOOKUP(A115,[1]Tørstofindhold!A$2:B$24,2,FALSE),0)</f>
        <v>0</v>
      </c>
      <c r="V115" s="190">
        <f>IF(D115=År1,P115,SUM(O115,P115))*IFERROR(VLOOKUP(A115,[1]Tørstofindhold!A$2:B$24,2,FALSE),0)</f>
        <v>351897.46957075561</v>
      </c>
      <c r="W115" s="190">
        <f>J115*IFERROR(VLOOKUP(A115,[1]Tørstofindhold!A$2:B$24,2,FALSE),0)</f>
        <v>0</v>
      </c>
      <c r="X115" s="191">
        <f t="shared" si="26"/>
        <v>351897.46957075561</v>
      </c>
      <c r="Y115" s="171">
        <f t="shared" si="21"/>
        <v>0</v>
      </c>
      <c r="Z115" s="103">
        <f t="shared" si="22"/>
        <v>0</v>
      </c>
    </row>
    <row r="116" spans="1:26" hidden="1" x14ac:dyDescent="0.25">
      <c r="A116" s="192" t="str">
        <f t="shared" si="33"/>
        <v>Have/parkaffald</v>
      </c>
      <c r="B116" s="192" t="str">
        <f t="shared" si="34"/>
        <v>Bionedbrydeligt affald</v>
      </c>
      <c r="C116" s="192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2">
        <f t="shared" si="35"/>
        <v>2050</v>
      </c>
      <c r="E116" s="190" t="s">
        <v>23</v>
      </c>
      <c r="F116" s="193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524881.97503939818</v>
      </c>
      <c r="G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0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427250.44238658639</v>
      </c>
      <c r="K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3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97631.532652811788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2">
        <f t="shared" si="23"/>
        <v>0</v>
      </c>
      <c r="O116" s="193">
        <f t="shared" si="20"/>
        <v>0</v>
      </c>
      <c r="P116" s="203">
        <f t="shared" si="24"/>
        <v>524881.97503939818</v>
      </c>
      <c r="Q116" s="190">
        <f>IFERROR(VLOOKUP(A116,[1]Energiindhold!$A$2:$C$11,3,FALSE),IFERROR(VLOOKUP(A116,[1]Biogasudbytte!$A$2:$B$18,2,FALSE)*[1]Energiindhold!$C$10,0))*O116</f>
        <v>0</v>
      </c>
      <c r="R116" s="190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2.468440809392753</v>
      </c>
      <c r="S116" s="190">
        <f>IFERROR(VLOOKUP(A116,[1]Biogasudbytte!$A$2:$B$18,2,FALSE)*[1]Energiindhold!$C$10,0)*J116*IFERROR(VLOOKUP(A116,Biogasanlæg!$F$3:$G$8,2,FALSE),1)</f>
        <v>0.72550115870339082</v>
      </c>
      <c r="T116" s="191">
        <f t="shared" si="25"/>
        <v>1.7429396506893622</v>
      </c>
      <c r="U116" s="189">
        <f>O116*IFERROR(VLOOKUP(A116,[1]Tørstofindhold!A$2:B$24,2,FALSE),0)</f>
        <v>0</v>
      </c>
      <c r="V116" s="190">
        <f>IF(D116=År1,P116,SUM(O116,P116))*IFERROR(VLOOKUP(A116,[1]Tørstofindhold!A$2:B$24,2,FALSE),0)</f>
        <v>157464.59251181944</v>
      </c>
      <c r="W116" s="190">
        <f>J116*IFERROR(VLOOKUP(A116,[1]Tørstofindhold!A$2:B$24,2,FALSE),0)</f>
        <v>128175.13271597591</v>
      </c>
      <c r="X116" s="191">
        <f t="shared" si="26"/>
        <v>29289.459795843533</v>
      </c>
      <c r="Y116" s="171">
        <f t="shared" si="21"/>
        <v>0</v>
      </c>
      <c r="Z116" s="103">
        <f t="shared" si="22"/>
        <v>0</v>
      </c>
    </row>
    <row r="117" spans="1:26" hidden="1" x14ac:dyDescent="0.25">
      <c r="A117" s="192" t="str">
        <f t="shared" si="33"/>
        <v>Import af foder</v>
      </c>
      <c r="B117" s="192" t="str">
        <f t="shared" si="34"/>
        <v/>
      </c>
      <c r="C117" s="192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2">
        <f t="shared" si="35"/>
        <v>2050</v>
      </c>
      <c r="E117" s="190" t="s">
        <v>23</v>
      </c>
      <c r="F117" s="193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0</v>
      </c>
      <c r="H117" s="190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3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2">
        <f t="shared" si="23"/>
        <v>0</v>
      </c>
      <c r="O117" s="193">
        <f t="shared" si="20"/>
        <v>0</v>
      </c>
      <c r="P117" s="203">
        <f t="shared" si="24"/>
        <v>0</v>
      </c>
      <c r="Q117" s="190">
        <f>IFERROR(VLOOKUP(A117,[1]Energiindhold!$A$2:$C$11,3,FALSE),IFERROR(VLOOKUP(A117,[1]Biogasudbytte!$A$2:$B$18,2,FALSE)*[1]Energiindhold!$C$10,0))*O117</f>
        <v>0</v>
      </c>
      <c r="R117" s="190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0">
        <f>IFERROR(VLOOKUP(A117,[1]Biogasudbytte!$A$2:$B$18,2,FALSE)*[1]Energiindhold!$C$10,0)*J117*IFERROR(VLOOKUP(A117,Biogasanlæg!$F$3:$G$8,2,FALSE),1)</f>
        <v>0</v>
      </c>
      <c r="T117" s="191">
        <f t="shared" si="25"/>
        <v>0</v>
      </c>
      <c r="U117" s="189">
        <f>O117*IFERROR(VLOOKUP(A117,[1]Tørstofindhold!A$2:B$24,2,FALSE),0)</f>
        <v>0</v>
      </c>
      <c r="V117" s="190">
        <f>IF(D117=År1,P117,SUM(O117,P117))*IFERROR(VLOOKUP(A117,[1]Tørstofindhold!A$2:B$24,2,FALSE),0)</f>
        <v>0</v>
      </c>
      <c r="W117" s="190">
        <f>J117*IFERROR(VLOOKUP(A117,[1]Tørstofindhold!A$2:B$24,2,FALSE),0)</f>
        <v>0</v>
      </c>
      <c r="X117" s="191">
        <f t="shared" si="26"/>
        <v>0</v>
      </c>
      <c r="Y117" s="171">
        <f t="shared" si="21"/>
        <v>0</v>
      </c>
      <c r="Z117" s="103">
        <f t="shared" si="22"/>
        <v>0</v>
      </c>
    </row>
    <row r="118" spans="1:26" hidden="1" x14ac:dyDescent="0.25">
      <c r="A118" s="192" t="str">
        <f t="shared" si="33"/>
        <v>Industriaffald</v>
      </c>
      <c r="B118" s="192" t="str">
        <f t="shared" si="34"/>
        <v>Bionedbrydeligt affald</v>
      </c>
      <c r="C118" s="192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2">
        <f t="shared" si="35"/>
        <v>2050</v>
      </c>
      <c r="E118" s="190" t="s">
        <v>23</v>
      </c>
      <c r="F118" s="193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359965.86402345594</v>
      </c>
      <c r="G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0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330372.74489675317</v>
      </c>
      <c r="K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3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2">
        <f t="shared" si="23"/>
        <v>29593.119126702775</v>
      </c>
      <c r="O118" s="193">
        <f t="shared" si="20"/>
        <v>29593.119126702775</v>
      </c>
      <c r="P118" s="203">
        <f t="shared" si="24"/>
        <v>330372.74489675317</v>
      </c>
      <c r="Q118" s="190">
        <f>IFERROR(VLOOKUP(A118,[1]Energiindhold!$A$2:$C$11,3,FALSE),IFERROR(VLOOKUP(A118,[1]Biogasudbytte!$A$2:$B$18,2,FALSE)*[1]Energiindhold!$C$10,0))*O118</f>
        <v>0.1282308322814896</v>
      </c>
      <c r="R118" s="190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1.3450466765617874</v>
      </c>
      <c r="S118" s="190">
        <f>IFERROR(VLOOKUP(A118,[1]Biogasudbytte!$A$2:$B$18,2,FALSE)*[1]Energiindhold!$C$10,0)*J118*IFERROR(VLOOKUP(A118,Biogasanlæg!$F$3:$G$8,2,FALSE),1)</f>
        <v>1.2168158442802979</v>
      </c>
      <c r="T118" s="191">
        <f t="shared" si="25"/>
        <v>0.12823083228148957</v>
      </c>
      <c r="U118" s="189">
        <f>O118*IFERROR(VLOOKUP(A118,[1]Tørstofindhold!A$2:B$24,2,FALSE),0)</f>
        <v>12429.110033215165</v>
      </c>
      <c r="V118" s="190">
        <f>IF(D118=År1,P118,SUM(O118,P118))*IFERROR(VLOOKUP(A118,[1]Tørstofindhold!A$2:B$24,2,FALSE),0)</f>
        <v>151185.66288985149</v>
      </c>
      <c r="W118" s="190">
        <f>J118*IFERROR(VLOOKUP(A118,[1]Tørstofindhold!A$2:B$24,2,FALSE),0)</f>
        <v>138756.55285663632</v>
      </c>
      <c r="X118" s="191">
        <f t="shared" si="26"/>
        <v>12429.110033215169</v>
      </c>
      <c r="Y118" s="171">
        <f t="shared" si="21"/>
        <v>0</v>
      </c>
      <c r="Z118" s="103">
        <f t="shared" si="22"/>
        <v>1</v>
      </c>
    </row>
    <row r="119" spans="1:26" hidden="1" x14ac:dyDescent="0.25">
      <c r="A119" s="192" t="str">
        <f t="shared" si="33"/>
        <v>Juletræer</v>
      </c>
      <c r="B119" s="192" t="str">
        <f t="shared" si="34"/>
        <v/>
      </c>
      <c r="C119" s="192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2">
        <f t="shared" si="35"/>
        <v>2050</v>
      </c>
      <c r="E119" s="190" t="s">
        <v>23</v>
      </c>
      <c r="F119" s="193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520573.94312179892</v>
      </c>
      <c r="G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0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3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2">
        <f t="shared" si="23"/>
        <v>520573.94312179892</v>
      </c>
      <c r="O119" s="193">
        <f t="shared" si="20"/>
        <v>0</v>
      </c>
      <c r="P119" s="203">
        <f t="shared" si="24"/>
        <v>0</v>
      </c>
      <c r="Q119" s="190">
        <f>IFERROR(VLOOKUP(A119,[1]Energiindhold!$A$2:$C$11,3,FALSE),IFERROR(VLOOKUP(A119,[1]Biogasudbytte!$A$2:$B$18,2,FALSE)*[1]Energiindhold!$C$10,0))*O119</f>
        <v>0</v>
      </c>
      <c r="R119" s="190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0">
        <f>IFERROR(VLOOKUP(A119,[1]Biogasudbytte!$A$2:$B$18,2,FALSE)*[1]Energiindhold!$C$10,0)*J119*IFERROR(VLOOKUP(A119,Biogasanlæg!$F$3:$G$8,2,FALSE),1)</f>
        <v>0</v>
      </c>
      <c r="T119" s="191">
        <f t="shared" si="25"/>
        <v>0</v>
      </c>
      <c r="U119" s="189">
        <f>O119*IFERROR(VLOOKUP(A119,[1]Tørstofindhold!A$2:B$24,2,FALSE),0)</f>
        <v>0</v>
      </c>
      <c r="V119" s="190">
        <f>IF(D119=År1,P119,SUM(O119,P119))*IFERROR(VLOOKUP(A119,[1]Tørstofindhold!A$2:B$24,2,FALSE),0)</f>
        <v>0</v>
      </c>
      <c r="W119" s="190">
        <f>J119*IFERROR(VLOOKUP(A119,[1]Tørstofindhold!A$2:B$24,2,FALSE),0)</f>
        <v>0</v>
      </c>
      <c r="X119" s="191">
        <f t="shared" si="26"/>
        <v>0</v>
      </c>
      <c r="Y119" s="171">
        <f t="shared" si="21"/>
        <v>0</v>
      </c>
      <c r="Z119" s="103">
        <f t="shared" si="22"/>
        <v>1</v>
      </c>
    </row>
    <row r="120" spans="1:26" hidden="1" x14ac:dyDescent="0.25">
      <c r="A120" s="192" t="str">
        <f t="shared" si="33"/>
        <v>Kartofler</v>
      </c>
      <c r="B120" s="192" t="str">
        <f t="shared" si="34"/>
        <v/>
      </c>
      <c r="C120" s="192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2">
        <f t="shared" si="35"/>
        <v>2050</v>
      </c>
      <c r="E120" s="190" t="s">
        <v>23</v>
      </c>
      <c r="F120" s="193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1748472.631855153</v>
      </c>
      <c r="G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0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3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2">
        <f t="shared" si="23"/>
        <v>1620124.8331607163</v>
      </c>
      <c r="O120" s="193">
        <f t="shared" si="20"/>
        <v>0</v>
      </c>
      <c r="P120" s="203">
        <f t="shared" si="24"/>
        <v>0</v>
      </c>
      <c r="Q120" s="190">
        <f>IFERROR(VLOOKUP(A120,[1]Energiindhold!$A$2:$C$11,3,FALSE),IFERROR(VLOOKUP(A120,[1]Biogasudbytte!$A$2:$B$18,2,FALSE)*[1]Energiindhold!$C$10,0))*O120</f>
        <v>0</v>
      </c>
      <c r="R120" s="190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0">
        <f>IFERROR(VLOOKUP(A120,[1]Biogasudbytte!$A$2:$B$18,2,FALSE)*[1]Energiindhold!$C$10,0)*J120*IFERROR(VLOOKUP(A120,Biogasanlæg!$F$3:$G$8,2,FALSE),1)</f>
        <v>0</v>
      </c>
      <c r="T120" s="191">
        <f t="shared" si="25"/>
        <v>0</v>
      </c>
      <c r="U120" s="189">
        <f>O120*IFERROR(VLOOKUP(A120,[1]Tørstofindhold!A$2:B$24,2,FALSE),0)</f>
        <v>0</v>
      </c>
      <c r="V120" s="190">
        <f>IF(D120=År1,P120,SUM(O120,P120))*IFERROR(VLOOKUP(A120,[1]Tørstofindhold!A$2:B$24,2,FALSE),0)</f>
        <v>0</v>
      </c>
      <c r="W120" s="190">
        <f>J120*IFERROR(VLOOKUP(A120,[1]Tørstofindhold!A$2:B$24,2,FALSE),0)</f>
        <v>0</v>
      </c>
      <c r="X120" s="191">
        <f t="shared" si="26"/>
        <v>0</v>
      </c>
      <c r="Y120" s="171">
        <f t="shared" si="21"/>
        <v>0</v>
      </c>
      <c r="Z120" s="103">
        <f t="shared" si="22"/>
        <v>1</v>
      </c>
    </row>
    <row r="121" spans="1:26" hidden="1" x14ac:dyDescent="0.25">
      <c r="A121" s="192" t="str">
        <f t="shared" si="33"/>
        <v>Korn</v>
      </c>
      <c r="B121" s="192" t="str">
        <f t="shared" si="34"/>
        <v>Halm og strå</v>
      </c>
      <c r="C121" s="192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2">
        <f t="shared" si="35"/>
        <v>2050</v>
      </c>
      <c r="E121" s="190" t="s">
        <v>23</v>
      </c>
      <c r="F121" s="193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3920720.3662957777</v>
      </c>
      <c r="G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3027382.7402155618</v>
      </c>
      <c r="H121" s="190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0</v>
      </c>
      <c r="K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3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2">
        <f t="shared" si="23"/>
        <v>585867.07536167558</v>
      </c>
      <c r="O121" s="193">
        <f t="shared" si="20"/>
        <v>585867.07536167558</v>
      </c>
      <c r="P121" s="203">
        <f t="shared" si="24"/>
        <v>0</v>
      </c>
      <c r="Q121" s="190">
        <f>IFERROR(VLOOKUP(A121,[1]Energiindhold!$A$2:$C$11,3,FALSE),IFERROR(VLOOKUP(A121,[1]Biogasudbytte!$A$2:$B$18,2,FALSE)*[1]Energiindhold!$C$10,0))*O121</f>
        <v>2.0065127117231887</v>
      </c>
      <c r="R121" s="190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2.0065127117231887</v>
      </c>
      <c r="S121" s="190">
        <f>IFERROR(VLOOKUP(A121,[1]Biogasudbytte!$A$2:$B$18,2,FALSE)*[1]Energiindhold!$C$10,0)*J121*IFERROR(VLOOKUP(A121,Biogasanlæg!$F$3:$G$8,2,FALSE),1)</f>
        <v>0</v>
      </c>
      <c r="T121" s="191">
        <f t="shared" si="25"/>
        <v>2.0065127117231887</v>
      </c>
      <c r="U121" s="189">
        <f>O121*IFERROR(VLOOKUP(A121,[1]Tørstofindhold!A$2:B$24,2,FALSE),0)</f>
        <v>181618.79336211944</v>
      </c>
      <c r="V121" s="190">
        <f>IF(D121=År1,P121,SUM(O121,P121))*IFERROR(VLOOKUP(A121,[1]Tørstofindhold!A$2:B$24,2,FALSE),0)</f>
        <v>181618.79336211944</v>
      </c>
      <c r="W121" s="190">
        <f>J121*IFERROR(VLOOKUP(A121,[1]Tørstofindhold!A$2:B$24,2,FALSE),0)</f>
        <v>0</v>
      </c>
      <c r="X121" s="191">
        <f t="shared" si="26"/>
        <v>181618.79336211944</v>
      </c>
      <c r="Y121" s="171">
        <f t="shared" si="21"/>
        <v>0</v>
      </c>
      <c r="Z121" s="103">
        <f t="shared" si="22"/>
        <v>1</v>
      </c>
    </row>
    <row r="122" spans="1:26" x14ac:dyDescent="0.25">
      <c r="A122" s="192" t="str">
        <f t="shared" si="33"/>
        <v>Kunstgødning</v>
      </c>
      <c r="B122" s="192" t="str">
        <f t="shared" si="34"/>
        <v/>
      </c>
      <c r="C122" s="192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2">
        <f t="shared" si="35"/>
        <v>2050</v>
      </c>
      <c r="E122" s="190" t="s">
        <v>23</v>
      </c>
      <c r="F122" s="193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0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3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1136583.5049650094</v>
      </c>
      <c r="L122" s="193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2">
        <f t="shared" ca="1" si="23"/>
        <v>-1136583.5049650094</v>
      </c>
      <c r="O122" s="193">
        <f t="shared" si="20"/>
        <v>0</v>
      </c>
      <c r="P122" s="203">
        <f t="shared" si="24"/>
        <v>0</v>
      </c>
      <c r="Q122" s="190">
        <f>IFERROR(VLOOKUP(A122,[1]Energiindhold!$A$2:$C$11,3,FALSE),IFERROR(VLOOKUP(A122,[1]Biogasudbytte!$A$2:$B$18,2,FALSE)*[1]Energiindhold!$C$10,0))*O122</f>
        <v>0</v>
      </c>
      <c r="R122" s="190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0">
        <f>IFERROR(VLOOKUP(A122,[1]Biogasudbytte!$A$2:$B$18,2,FALSE)*[1]Energiindhold!$C$10,0)*J122*IFERROR(VLOOKUP(A122,Biogasanlæg!$F$3:$G$8,2,FALSE),1)</f>
        <v>0</v>
      </c>
      <c r="T122" s="191">
        <f t="shared" si="25"/>
        <v>0</v>
      </c>
      <c r="U122" s="189">
        <f>O122*IFERROR(VLOOKUP(A122,[1]Tørstofindhold!A$2:B$24,2,FALSE),0)</f>
        <v>0</v>
      </c>
      <c r="V122" s="190">
        <f>IF(D122=År1,P122,SUM(O122,P122))*IFERROR(VLOOKUP(A122,[1]Tørstofindhold!A$2:B$24,2,FALSE),0)</f>
        <v>0</v>
      </c>
      <c r="W122" s="190">
        <f>J122*IFERROR(VLOOKUP(A122,[1]Tørstofindhold!A$2:B$24,2,FALSE),0)</f>
        <v>0</v>
      </c>
      <c r="X122" s="191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hidden="1" x14ac:dyDescent="0.25">
      <c r="A123" s="192" t="str">
        <f t="shared" si="33"/>
        <v>Kvæggylle</v>
      </c>
      <c r="B123" s="192" t="str">
        <f t="shared" si="34"/>
        <v>Husdyrgødning</v>
      </c>
      <c r="C123" s="192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2">
        <f t="shared" si="35"/>
        <v>2050</v>
      </c>
      <c r="E123" s="190" t="s">
        <v>23</v>
      </c>
      <c r="F123" s="193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6367703.2512749117</v>
      </c>
      <c r="G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0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5094162.6010199301</v>
      </c>
      <c r="K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1273540.6502549821</v>
      </c>
      <c r="L123" s="193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2">
        <f t="shared" si="23"/>
        <v>0</v>
      </c>
      <c r="O123" s="193">
        <f t="shared" si="20"/>
        <v>0</v>
      </c>
      <c r="P123" s="203">
        <f t="shared" si="24"/>
        <v>5094162.6010199301</v>
      </c>
      <c r="Q123" s="190">
        <f>IFERROR(VLOOKUP(A123,[1]Energiindhold!$A$2:$C$11,3,FALSE),IFERROR(VLOOKUP(A123,[1]Biogasudbytte!$A$2:$B$18,2,FALSE)*[1]Energiindhold!$C$10,0))*O123</f>
        <v>0</v>
      </c>
      <c r="R123" s="190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2.5786141670102789</v>
      </c>
      <c r="S123" s="190">
        <f>IFERROR(VLOOKUP(A123,[1]Biogasudbytte!$A$2:$B$18,2,FALSE)*[1]Energiindhold!$C$10,0)*J123*IFERROR(VLOOKUP(A123,Biogasanlæg!$F$3:$G$8,2,FALSE),1)</f>
        <v>2.5786141670102789</v>
      </c>
      <c r="T123" s="191">
        <f t="shared" si="25"/>
        <v>0</v>
      </c>
      <c r="U123" s="189">
        <f>O123*IFERROR(VLOOKUP(A123,[1]Tørstofindhold!A$2:B$24,2,FALSE),0)</f>
        <v>0</v>
      </c>
      <c r="V123" s="190">
        <f>IF(D123=År1,P123,SUM(O123,P123))*IFERROR(VLOOKUP(A123,[1]Tørstofindhold!A$2:B$24,2,FALSE),0)</f>
        <v>387156.35767751466</v>
      </c>
      <c r="W123" s="190">
        <f>J123*IFERROR(VLOOKUP(A123,[1]Tørstofindhold!A$2:B$24,2,FALSE),0)</f>
        <v>387156.35767751466</v>
      </c>
      <c r="X123" s="191">
        <f t="shared" si="26"/>
        <v>0</v>
      </c>
      <c r="Y123" s="171">
        <f t="shared" si="21"/>
        <v>0</v>
      </c>
      <c r="Z123" s="103">
        <f t="shared" si="22"/>
        <v>0</v>
      </c>
    </row>
    <row r="124" spans="1:26" hidden="1" x14ac:dyDescent="0.25">
      <c r="A124" s="192" t="str">
        <f t="shared" si="33"/>
        <v>Mælk til foder</v>
      </c>
      <c r="B124" s="192" t="str">
        <f t="shared" si="34"/>
        <v/>
      </c>
      <c r="C124" s="192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2">
        <f t="shared" si="35"/>
        <v>2050</v>
      </c>
      <c r="E124" s="190" t="s">
        <v>23</v>
      </c>
      <c r="F124" s="193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795441.73503903183</v>
      </c>
      <c r="G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706986.51785111031</v>
      </c>
      <c r="H124" s="190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3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2">
        <f t="shared" si="23"/>
        <v>88455.217187921517</v>
      </c>
      <c r="O124" s="193">
        <f t="shared" si="20"/>
        <v>0</v>
      </c>
      <c r="P124" s="203">
        <f t="shared" si="24"/>
        <v>0</v>
      </c>
      <c r="Q124" s="190">
        <f>IFERROR(VLOOKUP(A124,[1]Energiindhold!$A$2:$C$11,3,FALSE),IFERROR(VLOOKUP(A124,[1]Biogasudbytte!$A$2:$B$18,2,FALSE)*[1]Energiindhold!$C$10,0))*O124</f>
        <v>0</v>
      </c>
      <c r="R124" s="190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0">
        <f>IFERROR(VLOOKUP(A124,[1]Biogasudbytte!$A$2:$B$18,2,FALSE)*[1]Energiindhold!$C$10,0)*J124*IFERROR(VLOOKUP(A124,Biogasanlæg!$F$3:$G$8,2,FALSE),1)</f>
        <v>0</v>
      </c>
      <c r="T124" s="191">
        <f t="shared" si="25"/>
        <v>0</v>
      </c>
      <c r="U124" s="189">
        <f>O124*IFERROR(VLOOKUP(A124,[1]Tørstofindhold!A$2:B$24,2,FALSE),0)</f>
        <v>0</v>
      </c>
      <c r="V124" s="190">
        <f>IF(D124=År1,P124,SUM(O124,P124))*IFERROR(VLOOKUP(A124,[1]Tørstofindhold!A$2:B$24,2,FALSE),0)</f>
        <v>0</v>
      </c>
      <c r="W124" s="190">
        <f>J124*IFERROR(VLOOKUP(A124,[1]Tørstofindhold!A$2:B$24,2,FALSE),0)</f>
        <v>0</v>
      </c>
      <c r="X124" s="191">
        <f t="shared" si="26"/>
        <v>0</v>
      </c>
      <c r="Y124" s="171">
        <f t="shared" si="21"/>
        <v>0</v>
      </c>
      <c r="Z124" s="103">
        <f t="shared" si="22"/>
        <v>1</v>
      </c>
    </row>
    <row r="125" spans="1:26" hidden="1" x14ac:dyDescent="0.25">
      <c r="A125" s="192" t="str">
        <f t="shared" si="33"/>
        <v>Majs</v>
      </c>
      <c r="B125" s="192" t="str">
        <f t="shared" si="34"/>
        <v>Græs og urter</v>
      </c>
      <c r="C125" s="192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2">
        <f t="shared" si="35"/>
        <v>2050</v>
      </c>
      <c r="E125" s="190" t="s">
        <v>23</v>
      </c>
      <c r="F125" s="193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3204301.4084430053</v>
      </c>
      <c r="G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2956471.058206012</v>
      </c>
      <c r="H125" s="190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550329.17750715138</v>
      </c>
      <c r="K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3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2">
        <f t="shared" si="23"/>
        <v>-302498.8272701581</v>
      </c>
      <c r="O125" s="193">
        <f t="shared" si="20"/>
        <v>0</v>
      </c>
      <c r="P125" s="203">
        <f t="shared" si="24"/>
        <v>550329.17750715138</v>
      </c>
      <c r="Q125" s="190">
        <f>IFERROR(VLOOKUP(A125,[1]Energiindhold!$A$2:$C$11,3,FALSE),IFERROR(VLOOKUP(A125,[1]Biogasudbytte!$A$2:$B$18,2,FALSE)*[1]Energiindhold!$C$10,0))*O125</f>
        <v>0</v>
      </c>
      <c r="R125" s="190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1.9756817472506736</v>
      </c>
      <c r="S125" s="190">
        <f>IFERROR(VLOOKUP(A125,[1]Biogasudbytte!$A$2:$B$18,2,FALSE)*[1]Energiindhold!$C$10,0)*J125*IFERROR(VLOOKUP(A125,Biogasanlæg!$F$3:$G$8,2,FALSE),1)</f>
        <v>1.9756817472506736</v>
      </c>
      <c r="T125" s="191">
        <f t="shared" si="25"/>
        <v>0</v>
      </c>
      <c r="U125" s="189">
        <f>O125*IFERROR(VLOOKUP(A125,[1]Tørstofindhold!A$2:B$24,2,FALSE),0)</f>
        <v>0</v>
      </c>
      <c r="V125" s="190">
        <f>IF(D125=År1,P125,SUM(O125,P125))*IFERROR(VLOOKUP(A125,[1]Tørstofindhold!A$2:B$24,2,FALSE),0)</f>
        <v>165098.7532521454</v>
      </c>
      <c r="W125" s="190">
        <f>J125*IFERROR(VLOOKUP(A125,[1]Tørstofindhold!A$2:B$24,2,FALSE),0)</f>
        <v>165098.7532521454</v>
      </c>
      <c r="X125" s="191">
        <f t="shared" si="26"/>
        <v>0</v>
      </c>
      <c r="Y125" s="171">
        <f t="shared" si="21"/>
        <v>0</v>
      </c>
      <c r="Z125" s="103">
        <f t="shared" si="22"/>
        <v>1</v>
      </c>
    </row>
    <row r="126" spans="1:26" hidden="1" x14ac:dyDescent="0.25">
      <c r="A126" s="192" t="str">
        <f t="shared" si="33"/>
        <v>Mejeriprodukter</v>
      </c>
      <c r="B126" s="192" t="str">
        <f t="shared" si="34"/>
        <v/>
      </c>
      <c r="C126" s="192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2">
        <f t="shared" si="35"/>
        <v>2050</v>
      </c>
      <c r="E126" s="190" t="s">
        <v>23</v>
      </c>
      <c r="F126" s="193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1534789.7228421343</v>
      </c>
      <c r="G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0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3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2">
        <f t="shared" si="23"/>
        <v>1043965.1739886844</v>
      </c>
      <c r="O126" s="193">
        <f t="shared" si="20"/>
        <v>0</v>
      </c>
      <c r="P126" s="203">
        <f t="shared" si="24"/>
        <v>0</v>
      </c>
      <c r="Q126" s="190">
        <f>IFERROR(VLOOKUP(A126,[1]Energiindhold!$A$2:$C$11,3,FALSE),IFERROR(VLOOKUP(A126,[1]Biogasudbytte!$A$2:$B$18,2,FALSE)*[1]Energiindhold!$C$10,0))*O126</f>
        <v>0</v>
      </c>
      <c r="R126" s="190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0">
        <f>IFERROR(VLOOKUP(A126,[1]Biogasudbytte!$A$2:$B$18,2,FALSE)*[1]Energiindhold!$C$10,0)*J126*IFERROR(VLOOKUP(A126,Biogasanlæg!$F$3:$G$8,2,FALSE),1)</f>
        <v>0</v>
      </c>
      <c r="T126" s="191">
        <f t="shared" si="25"/>
        <v>0</v>
      </c>
      <c r="U126" s="189">
        <f>O126*IFERROR(VLOOKUP(A126,[1]Tørstofindhold!A$2:B$24,2,FALSE),0)</f>
        <v>0</v>
      </c>
      <c r="V126" s="190">
        <f>IF(D126=År1,P126,SUM(O126,P126))*IFERROR(VLOOKUP(A126,[1]Tørstofindhold!A$2:B$24,2,FALSE),0)</f>
        <v>0</v>
      </c>
      <c r="W126" s="190">
        <f>J126*IFERROR(VLOOKUP(A126,[1]Tørstofindhold!A$2:B$24,2,FALSE),0)</f>
        <v>0</v>
      </c>
      <c r="X126" s="191">
        <f t="shared" si="26"/>
        <v>0</v>
      </c>
      <c r="Y126" s="171">
        <f t="shared" si="21"/>
        <v>0</v>
      </c>
      <c r="Z126" s="103">
        <f t="shared" si="22"/>
        <v>1</v>
      </c>
    </row>
    <row r="127" spans="1:26" hidden="1" x14ac:dyDescent="0.25">
      <c r="A127" s="192" t="str">
        <f t="shared" si="33"/>
        <v>Muslinger</v>
      </c>
      <c r="B127" s="192" t="str">
        <f t="shared" si="34"/>
        <v>Havbiomasse</v>
      </c>
      <c r="C127" s="192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2">
        <f t="shared" si="35"/>
        <v>2050</v>
      </c>
      <c r="E127" s="190" t="s">
        <v>23</v>
      </c>
      <c r="F127" s="193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194761.7983669767</v>
      </c>
      <c r="G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0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3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2">
        <f t="shared" si="23"/>
        <v>194761.7983669767</v>
      </c>
      <c r="O127" s="193">
        <f t="shared" si="20"/>
        <v>194761.7983669767</v>
      </c>
      <c r="P127" s="203">
        <f t="shared" si="24"/>
        <v>0</v>
      </c>
      <c r="Q127" s="190">
        <f>IFERROR(VLOOKUP(A127,[1]Energiindhold!$A$2:$C$11,3,FALSE),IFERROR(VLOOKUP(A127,[1]Biogasudbytte!$A$2:$B$18,2,FALSE)*[1]Energiindhold!$C$10,0))*O127</f>
        <v>0.17479871403436159</v>
      </c>
      <c r="R127" s="190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0">
        <f>IFERROR(VLOOKUP(A127,[1]Biogasudbytte!$A$2:$B$18,2,FALSE)*[1]Energiindhold!$C$10,0)*J127*IFERROR(VLOOKUP(A127,Biogasanlæg!$F$3:$G$8,2,FALSE),1)</f>
        <v>0</v>
      </c>
      <c r="T127" s="191">
        <f t="shared" si="25"/>
        <v>0.17479871403436159</v>
      </c>
      <c r="U127" s="189">
        <f>O127*IFERROR(VLOOKUP(A127,[1]Tørstofindhold!A$2:B$24,2,FALSE),0)</f>
        <v>29214.269755046505</v>
      </c>
      <c r="V127" s="190">
        <f>IF(D127=År1,P127,SUM(O127,P127))*IFERROR(VLOOKUP(A127,[1]Tørstofindhold!A$2:B$24,2,FALSE),0)</f>
        <v>29214.269755046505</v>
      </c>
      <c r="W127" s="190">
        <f>J127*IFERROR(VLOOKUP(A127,[1]Tørstofindhold!A$2:B$24,2,FALSE),0)</f>
        <v>0</v>
      </c>
      <c r="X127" s="191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hidden="1" x14ac:dyDescent="0.25">
      <c r="A128" s="192" t="str">
        <f t="shared" si="33"/>
        <v>Oksekød</v>
      </c>
      <c r="B128" s="192" t="str">
        <f t="shared" si="34"/>
        <v/>
      </c>
      <c r="C128" s="192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2">
        <f t="shared" si="35"/>
        <v>2050</v>
      </c>
      <c r="E128" s="190" t="s">
        <v>23</v>
      </c>
      <c r="F128" s="193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51394.057868840908</v>
      </c>
      <c r="G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0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31184.283836637289</v>
      </c>
      <c r="J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3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2">
        <f t="shared" si="23"/>
        <v>20209.774032203619</v>
      </c>
      <c r="O128" s="193">
        <f t="shared" si="20"/>
        <v>0</v>
      </c>
      <c r="P128" s="203">
        <f t="shared" si="24"/>
        <v>0</v>
      </c>
      <c r="Q128" s="190">
        <f>IFERROR(VLOOKUP(A128,[1]Energiindhold!$A$2:$C$11,3,FALSE),IFERROR(VLOOKUP(A128,[1]Biogasudbytte!$A$2:$B$18,2,FALSE)*[1]Energiindhold!$C$10,0))*O128</f>
        <v>0</v>
      </c>
      <c r="R128" s="190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0">
        <f>IFERROR(VLOOKUP(A128,[1]Biogasudbytte!$A$2:$B$18,2,FALSE)*[1]Energiindhold!$C$10,0)*J128*IFERROR(VLOOKUP(A128,Biogasanlæg!$F$3:$G$8,2,FALSE),1)</f>
        <v>0</v>
      </c>
      <c r="T128" s="191">
        <f t="shared" si="25"/>
        <v>0</v>
      </c>
      <c r="U128" s="189">
        <f>O128*IFERROR(VLOOKUP(A128,[1]Tørstofindhold!A$2:B$24,2,FALSE),0)</f>
        <v>0</v>
      </c>
      <c r="V128" s="190">
        <f>IF(D128=År1,P128,SUM(O128,P128))*IFERROR(VLOOKUP(A128,[1]Tørstofindhold!A$2:B$24,2,FALSE),0)</f>
        <v>0</v>
      </c>
      <c r="W128" s="190">
        <f>J128*IFERROR(VLOOKUP(A128,[1]Tørstofindhold!A$2:B$24,2,FALSE),0)</f>
        <v>0</v>
      </c>
      <c r="X128" s="191">
        <f t="shared" si="26"/>
        <v>0</v>
      </c>
      <c r="Y128" s="171">
        <f t="shared" si="21"/>
        <v>1</v>
      </c>
      <c r="Z128" s="103">
        <f t="shared" si="22"/>
        <v>0</v>
      </c>
    </row>
    <row r="129" spans="1:26" hidden="1" x14ac:dyDescent="0.25">
      <c r="A129" s="192" t="str">
        <f t="shared" si="33"/>
        <v>Øvrige</v>
      </c>
      <c r="B129" s="192" t="str">
        <f t="shared" si="34"/>
        <v/>
      </c>
      <c r="C129" s="192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2">
        <f t="shared" si="35"/>
        <v>2050</v>
      </c>
      <c r="E129" s="190" t="s">
        <v>23</v>
      </c>
      <c r="F129" s="193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1143602.1995332621</v>
      </c>
      <c r="G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0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3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2">
        <f t="shared" si="23"/>
        <v>1143602.1995332621</v>
      </c>
      <c r="O129" s="193">
        <f t="shared" si="20"/>
        <v>0</v>
      </c>
      <c r="P129" s="203">
        <f t="shared" si="24"/>
        <v>0</v>
      </c>
      <c r="Q129" s="190">
        <f>IFERROR(VLOOKUP(A129,[1]Energiindhold!$A$2:$C$11,3,FALSE),IFERROR(VLOOKUP(A129,[1]Biogasudbytte!$A$2:$B$18,2,FALSE)*[1]Energiindhold!$C$10,0))*O129</f>
        <v>0</v>
      </c>
      <c r="R129" s="190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0">
        <f>IFERROR(VLOOKUP(A129,[1]Biogasudbytte!$A$2:$B$18,2,FALSE)*[1]Energiindhold!$C$10,0)*J129*IFERROR(VLOOKUP(A129,Biogasanlæg!$F$3:$G$8,2,FALSE),1)</f>
        <v>0</v>
      </c>
      <c r="T129" s="191">
        <f t="shared" si="25"/>
        <v>0</v>
      </c>
      <c r="U129" s="189">
        <f>O129*IFERROR(VLOOKUP(A129,[1]Tørstofindhold!A$2:B$24,2,FALSE),0)</f>
        <v>0</v>
      </c>
      <c r="V129" s="190">
        <f>IF(D129=År1,P129,SUM(O129,P129))*IFERROR(VLOOKUP(A129,[1]Tørstofindhold!A$2:B$24,2,FALSE),0)</f>
        <v>0</v>
      </c>
      <c r="W129" s="190">
        <f>J129*IFERROR(VLOOKUP(A129,[1]Tørstofindhold!A$2:B$24,2,FALSE),0)</f>
        <v>0</v>
      </c>
      <c r="X129" s="191">
        <f t="shared" si="26"/>
        <v>0</v>
      </c>
      <c r="Y129" s="171">
        <f t="shared" si="21"/>
        <v>0</v>
      </c>
      <c r="Z129" s="103">
        <f t="shared" si="22"/>
        <v>1</v>
      </c>
    </row>
    <row r="130" spans="1:26" hidden="1" x14ac:dyDescent="0.25">
      <c r="A130" s="192" t="str">
        <f t="shared" si="33"/>
        <v>Pil &amp; poppel</v>
      </c>
      <c r="B130" s="192" t="str">
        <f t="shared" si="34"/>
        <v>Vedmasse</v>
      </c>
      <c r="C130" s="192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2">
        <f t="shared" si="35"/>
        <v>2050</v>
      </c>
      <c r="E130" s="190" t="s">
        <v>23</v>
      </c>
      <c r="F130" s="193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97651.319921337825</v>
      </c>
      <c r="G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0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3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97651.319921337825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2">
        <f t="shared" si="23"/>
        <v>0</v>
      </c>
      <c r="O130" s="193">
        <f t="shared" si="20"/>
        <v>0</v>
      </c>
      <c r="P130" s="203">
        <f t="shared" si="24"/>
        <v>97651.319921337825</v>
      </c>
      <c r="Q130" s="190">
        <f>IFERROR(VLOOKUP(A130,[1]Energiindhold!$A$2:$C$11,3,FALSE),IFERROR(VLOOKUP(A130,[1]Biogasudbytte!$A$2:$B$18,2,FALSE)*[1]Energiindhold!$C$10,0))*O130</f>
        <v>0</v>
      </c>
      <c r="R130" s="190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1.7967842865526156</v>
      </c>
      <c r="S130" s="190">
        <f>IFERROR(VLOOKUP(A130,[1]Biogasudbytte!$A$2:$B$18,2,FALSE)*[1]Energiindhold!$C$10,0)*J130*IFERROR(VLOOKUP(A130,Biogasanlæg!$F$3:$G$8,2,FALSE),1)</f>
        <v>0</v>
      </c>
      <c r="T130" s="191">
        <f t="shared" si="25"/>
        <v>1.7967842865526156</v>
      </c>
      <c r="U130" s="189">
        <f>O130*IFERROR(VLOOKUP(A130,[1]Tørstofindhold!A$2:B$24,2,FALSE),0)</f>
        <v>0</v>
      </c>
      <c r="V130" s="190">
        <f>IF(D130=År1,P130,SUM(O130,P130))*IFERROR(VLOOKUP(A130,[1]Tørstofindhold!A$2:B$24,2,FALSE),0)</f>
        <v>40525.297767355201</v>
      </c>
      <c r="W130" s="190">
        <f>J130*IFERROR(VLOOKUP(A130,[1]Tørstofindhold!A$2:B$24,2,FALSE),0)</f>
        <v>0</v>
      </c>
      <c r="X130" s="191">
        <f t="shared" si="26"/>
        <v>40525.297767355201</v>
      </c>
      <c r="Y130" s="171">
        <f t="shared" si="21"/>
        <v>0</v>
      </c>
      <c r="Z130" s="103">
        <f t="shared" si="22"/>
        <v>0</v>
      </c>
    </row>
    <row r="131" spans="1:26" hidden="1" x14ac:dyDescent="0.25">
      <c r="A131" s="192" t="str">
        <f t="shared" ref="A131:A132" si="36">A83</f>
        <v>Pyrolysegas</v>
      </c>
      <c r="B131" s="192" t="str">
        <f t="shared" ref="B131:B132" si="37">IF(B83&lt;&gt;"",B83,"")</f>
        <v>Pyrolyseprodukter</v>
      </c>
      <c r="C131" s="192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2">
        <f t="shared" si="35"/>
        <v>2050</v>
      </c>
      <c r="E131" s="190" t="s">
        <v>23</v>
      </c>
      <c r="F131" s="193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1003919.7211265729</v>
      </c>
      <c r="G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0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3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1003919.7211265729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2">
        <f t="shared" ref="N131:N132" si="38">F131-SUM(G131:M131)</f>
        <v>0</v>
      </c>
      <c r="O131" s="193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3">
        <f t="shared" ref="P131:P132" si="40">SUM(J131,L131)</f>
        <v>1003919.7211265729</v>
      </c>
      <c r="Q131" s="190">
        <f>IFERROR(VLOOKUP(A131,[1]Energiindhold!$A$2:$C$11,3,FALSE),IFERROR(VLOOKUP(A131,[1]Biogasudbytte!$A$2:$B$18,2,FALSE)*[1]Energiindhold!$C$10,0))*O131</f>
        <v>0</v>
      </c>
      <c r="R131" s="190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8.9965548723242712</v>
      </c>
      <c r="S131" s="190">
        <f>IFERROR(VLOOKUP(A131,[1]Biogasudbytte!$A$2:$B$18,2,FALSE)*[1]Energiindhold!$C$10,0)*J131*IFERROR(VLOOKUP(A131,Biogasanlæg!$F$3:$G$8,2,FALSE),1)</f>
        <v>0</v>
      </c>
      <c r="T131" s="191">
        <f t="shared" ref="T131:T132" si="41">R131-S131</f>
        <v>8.9965548723242712</v>
      </c>
      <c r="U131" s="189">
        <f>O131*IFERROR(VLOOKUP(A131,[1]Tørstofindhold!A$2:B$24,2,FALSE),0)</f>
        <v>0</v>
      </c>
      <c r="V131" s="190">
        <f>IF(D131=År1,P131,SUM(O131,P131))*IFERROR(VLOOKUP(A131,[1]Tørstofindhold!A$2:B$24,2,FALSE),0)</f>
        <v>0</v>
      </c>
      <c r="W131" s="190">
        <f>J131*IFERROR(VLOOKUP(A131,[1]Tørstofindhold!A$2:B$24,2,FALSE),0)</f>
        <v>0</v>
      </c>
      <c r="X131" s="191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hidden="1" x14ac:dyDescent="0.25">
      <c r="A132" s="192" t="str">
        <f t="shared" si="36"/>
        <v>Pyrolyseolie</v>
      </c>
      <c r="B132" s="192" t="str">
        <f t="shared" si="37"/>
        <v>Pyrolyseprodukter</v>
      </c>
      <c r="C132" s="192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2">
        <f t="shared" si="35"/>
        <v>2050</v>
      </c>
      <c r="E132" s="190" t="s">
        <v>23</v>
      </c>
      <c r="F132" s="193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250979.93028164323</v>
      </c>
      <c r="G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0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3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250979.93028164323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2">
        <f t="shared" si="38"/>
        <v>0</v>
      </c>
      <c r="O132" s="193">
        <f t="shared" si="39"/>
        <v>0</v>
      </c>
      <c r="P132" s="203">
        <f t="shared" si="40"/>
        <v>250979.93028164323</v>
      </c>
      <c r="Q132" s="190">
        <f>IFERROR(VLOOKUP(A132,[1]Energiindhold!$A$2:$C$11,3,FALSE),IFERROR(VLOOKUP(A132,[1]Biogasudbytte!$A$2:$B$18,2,FALSE)*[1]Energiindhold!$C$10,0))*O132</f>
        <v>0</v>
      </c>
      <c r="R132" s="190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8.349743737712723</v>
      </c>
      <c r="S132" s="190">
        <f>IFERROR(VLOOKUP(A132,[1]Biogasudbytte!$A$2:$B$18,2,FALSE)*[1]Energiindhold!$C$10,0)*J132*IFERROR(VLOOKUP(A132,Biogasanlæg!$F$3:$G$8,2,FALSE),1)</f>
        <v>0</v>
      </c>
      <c r="T132" s="191">
        <f t="shared" si="41"/>
        <v>8.349743737712723</v>
      </c>
      <c r="U132" s="189">
        <f>O132*IFERROR(VLOOKUP(A132,[1]Tørstofindhold!A$2:B$24,2,FALSE),0)</f>
        <v>0</v>
      </c>
      <c r="V132" s="190">
        <f>IF(D132=År1,P132,SUM(O132,P132))*IFERROR(VLOOKUP(A132,[1]Tørstofindhold!A$2:B$24,2,FALSE),0)</f>
        <v>0</v>
      </c>
      <c r="W132" s="190">
        <f>J132*IFERROR(VLOOKUP(A132,[1]Tørstofindhold!A$2:B$24,2,FALSE),0)</f>
        <v>0</v>
      </c>
      <c r="X132" s="191">
        <f t="shared" si="42"/>
        <v>0</v>
      </c>
      <c r="Y132" s="171">
        <f t="shared" si="43"/>
        <v>0</v>
      </c>
      <c r="Z132" s="103">
        <f t="shared" si="44"/>
        <v>0</v>
      </c>
    </row>
    <row r="133" spans="1:26" hidden="1" x14ac:dyDescent="0.25">
      <c r="A133" s="192" t="str">
        <f t="shared" ref="A133:A146" si="45">A85</f>
        <v>Råmælk</v>
      </c>
      <c r="B133" s="192" t="str">
        <f t="shared" ref="B133:B146" si="46">IF(B85&lt;&gt;"",B85,"")</f>
        <v/>
      </c>
      <c r="C133" s="192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2">
        <f t="shared" si="35"/>
        <v>2050</v>
      </c>
      <c r="E133" s="190" t="s">
        <v>23</v>
      </c>
      <c r="F133" s="193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2389980.9824422216</v>
      </c>
      <c r="G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0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3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2">
        <f t="shared" si="23"/>
        <v>2389980.9824422216</v>
      </c>
      <c r="O133" s="193">
        <f t="shared" si="39"/>
        <v>0</v>
      </c>
      <c r="P133" s="203">
        <f t="shared" si="24"/>
        <v>0</v>
      </c>
      <c r="Q133" s="190">
        <f>IFERROR(VLOOKUP(A133,[1]Energiindhold!$A$2:$C$11,3,FALSE),IFERROR(VLOOKUP(A133,[1]Biogasudbytte!$A$2:$B$18,2,FALSE)*[1]Energiindhold!$C$10,0))*O133</f>
        <v>0</v>
      </c>
      <c r="R133" s="190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0">
        <f>IFERROR(VLOOKUP(A133,[1]Biogasudbytte!$A$2:$B$18,2,FALSE)*[1]Energiindhold!$C$10,0)*J133*IFERROR(VLOOKUP(A133,Biogasanlæg!$F$3:$G$8,2,FALSE),1)</f>
        <v>0</v>
      </c>
      <c r="T133" s="191">
        <f t="shared" si="25"/>
        <v>0</v>
      </c>
      <c r="U133" s="189">
        <f>O133*IFERROR(VLOOKUP(A133,[1]Tørstofindhold!A$2:B$24,2,FALSE),0)</f>
        <v>0</v>
      </c>
      <c r="V133" s="190">
        <f>IF(D133=År1,P133,SUM(O133,P133))*IFERROR(VLOOKUP(A133,[1]Tørstofindhold!A$2:B$24,2,FALSE),0)</f>
        <v>0</v>
      </c>
      <c r="W133" s="190">
        <f>J133*IFERROR(VLOOKUP(A133,[1]Tørstofindhold!A$2:B$24,2,FALSE),0)</f>
        <v>0</v>
      </c>
      <c r="X133" s="191">
        <f t="shared" si="26"/>
        <v>0</v>
      </c>
      <c r="Y133" s="171">
        <f t="shared" si="43"/>
        <v>0</v>
      </c>
      <c r="Z133" s="103">
        <f t="shared" si="44"/>
        <v>1</v>
      </c>
    </row>
    <row r="134" spans="1:26" hidden="1" x14ac:dyDescent="0.25">
      <c r="A134" s="192" t="str">
        <f t="shared" si="45"/>
        <v>Raps</v>
      </c>
      <c r="B134" s="192" t="str">
        <f t="shared" si="46"/>
        <v/>
      </c>
      <c r="C134" s="192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2">
        <f t="shared" si="35"/>
        <v>2050</v>
      </c>
      <c r="E134" s="190" t="s">
        <v>23</v>
      </c>
      <c r="F134" s="193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547384.79935736058</v>
      </c>
      <c r="G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0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3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547384.79935736058</v>
      </c>
      <c r="N134" s="202">
        <f t="shared" si="23"/>
        <v>0</v>
      </c>
      <c r="O134" s="193">
        <f t="shared" si="39"/>
        <v>0</v>
      </c>
      <c r="P134" s="203">
        <f t="shared" si="24"/>
        <v>0</v>
      </c>
      <c r="Q134" s="190">
        <f>IFERROR(VLOOKUP(A134,[1]Energiindhold!$A$2:$C$11,3,FALSE),IFERROR(VLOOKUP(A134,[1]Biogasudbytte!$A$2:$B$18,2,FALSE)*[1]Energiindhold!$C$10,0))*O134</f>
        <v>0</v>
      </c>
      <c r="R134" s="190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0">
        <f>IFERROR(VLOOKUP(A134,[1]Biogasudbytte!$A$2:$B$18,2,FALSE)*[1]Energiindhold!$C$10,0)*J134*IFERROR(VLOOKUP(A134,Biogasanlæg!$F$3:$G$8,2,FALSE),1)</f>
        <v>0</v>
      </c>
      <c r="T134" s="191">
        <f t="shared" si="25"/>
        <v>0</v>
      </c>
      <c r="U134" s="189">
        <f>O134*IFERROR(VLOOKUP(A134,[1]Tørstofindhold!A$2:B$24,2,FALSE),0)</f>
        <v>0</v>
      </c>
      <c r="V134" s="190">
        <f>IF(D134=År1,P134,SUM(O134,P134))*IFERROR(VLOOKUP(A134,[1]Tørstofindhold!A$2:B$24,2,FALSE),0)</f>
        <v>0</v>
      </c>
      <c r="W134" s="190">
        <f>J134*IFERROR(VLOOKUP(A134,[1]Tørstofindhold!A$2:B$24,2,FALSE),0)</f>
        <v>0</v>
      </c>
      <c r="X134" s="191">
        <f t="shared" si="26"/>
        <v>0</v>
      </c>
      <c r="Y134" s="171">
        <f t="shared" si="43"/>
        <v>0</v>
      </c>
      <c r="Z134" s="103">
        <f t="shared" si="44"/>
        <v>0</v>
      </c>
    </row>
    <row r="135" spans="1:26" hidden="1" x14ac:dyDescent="0.25">
      <c r="A135" s="192" t="str">
        <f t="shared" si="45"/>
        <v>Rapskage</v>
      </c>
      <c r="B135" s="192" t="str">
        <f t="shared" si="46"/>
        <v/>
      </c>
      <c r="C135" s="192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2">
        <f t="shared" si="35"/>
        <v>2050</v>
      </c>
      <c r="E135" s="190" t="s">
        <v>23</v>
      </c>
      <c r="F135" s="193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273692.39967868029</v>
      </c>
      <c r="G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101314.24095790923</v>
      </c>
      <c r="H135" s="190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3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2">
        <f t="shared" si="23"/>
        <v>172378.15872077105</v>
      </c>
      <c r="O135" s="193">
        <f t="shared" si="39"/>
        <v>0</v>
      </c>
      <c r="P135" s="203">
        <f t="shared" si="24"/>
        <v>0</v>
      </c>
      <c r="Q135" s="190">
        <f>IFERROR(VLOOKUP(A135,[1]Energiindhold!$A$2:$C$11,3,FALSE),IFERROR(VLOOKUP(A135,[1]Biogasudbytte!$A$2:$B$18,2,FALSE)*[1]Energiindhold!$C$10,0))*O135</f>
        <v>0</v>
      </c>
      <c r="R135" s="190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0">
        <f>IFERROR(VLOOKUP(A135,[1]Biogasudbytte!$A$2:$B$18,2,FALSE)*[1]Energiindhold!$C$10,0)*J135*IFERROR(VLOOKUP(A135,Biogasanlæg!$F$3:$G$8,2,FALSE),1)</f>
        <v>0</v>
      </c>
      <c r="T135" s="191">
        <f t="shared" si="25"/>
        <v>0</v>
      </c>
      <c r="U135" s="189">
        <f>O135*IFERROR(VLOOKUP(A135,[1]Tørstofindhold!A$2:B$24,2,FALSE),0)</f>
        <v>0</v>
      </c>
      <c r="V135" s="190">
        <f>IF(D135=År1,P135,SUM(O135,P135))*IFERROR(VLOOKUP(A135,[1]Tørstofindhold!A$2:B$24,2,FALSE),0)</f>
        <v>0</v>
      </c>
      <c r="W135" s="190">
        <f>J135*IFERROR(VLOOKUP(A135,[1]Tørstofindhold!A$2:B$24,2,FALSE),0)</f>
        <v>0</v>
      </c>
      <c r="X135" s="191">
        <f t="shared" si="26"/>
        <v>0</v>
      </c>
      <c r="Y135" s="171">
        <f t="shared" si="43"/>
        <v>0</v>
      </c>
      <c r="Z135" s="103">
        <f t="shared" si="44"/>
        <v>1</v>
      </c>
    </row>
    <row r="136" spans="1:26" hidden="1" x14ac:dyDescent="0.25">
      <c r="A136" s="192" t="str">
        <f t="shared" si="45"/>
        <v>Rapsolie</v>
      </c>
      <c r="B136" s="192" t="str">
        <f t="shared" si="46"/>
        <v>Rapsolie</v>
      </c>
      <c r="C136" s="192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2">
        <f t="shared" si="35"/>
        <v>2050</v>
      </c>
      <c r="E136" s="190" t="s">
        <v>23</v>
      </c>
      <c r="F136" s="193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175163.13579435539</v>
      </c>
      <c r="G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0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3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175163.13579435539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2">
        <f t="shared" si="23"/>
        <v>0</v>
      </c>
      <c r="O136" s="193">
        <f t="shared" si="39"/>
        <v>0</v>
      </c>
      <c r="P136" s="203">
        <f t="shared" si="24"/>
        <v>175163.13579435539</v>
      </c>
      <c r="Q136" s="190">
        <f>IFERROR(VLOOKUP(A136,[1]Energiindhold!$A$2:$C$11,3,FALSE),IFERROR(VLOOKUP(A136,[1]Biogasudbytte!$A$2:$B$18,2,FALSE)*[1]Energiindhold!$C$10,0))*O136</f>
        <v>0</v>
      </c>
      <c r="R136" s="190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6.1307097528024377</v>
      </c>
      <c r="S136" s="190">
        <f>IFERROR(VLOOKUP(A136,[1]Biogasudbytte!$A$2:$B$18,2,FALSE)*[1]Energiindhold!$C$10,0)*J136*IFERROR(VLOOKUP(A136,Biogasanlæg!$F$3:$G$8,2,FALSE),1)</f>
        <v>0</v>
      </c>
      <c r="T136" s="191">
        <f t="shared" si="25"/>
        <v>6.1307097528024377</v>
      </c>
      <c r="U136" s="189">
        <f>O136*IFERROR(VLOOKUP(A136,[1]Tørstofindhold!A$2:B$24,2,FALSE),0)</f>
        <v>0</v>
      </c>
      <c r="V136" s="190">
        <f>IF(D136=År1,P136,SUM(O136,P136))*IFERROR(VLOOKUP(A136,[1]Tørstofindhold!A$2:B$24,2,FALSE),0)</f>
        <v>0</v>
      </c>
      <c r="W136" s="190">
        <f>J136*IFERROR(VLOOKUP(A136,[1]Tørstofindhold!A$2:B$24,2,FALSE),0)</f>
        <v>0</v>
      </c>
      <c r="X136" s="191">
        <f t="shared" si="26"/>
        <v>0</v>
      </c>
      <c r="Y136" s="171">
        <f t="shared" si="43"/>
        <v>0</v>
      </c>
      <c r="Z136" s="103">
        <f t="shared" si="44"/>
        <v>0</v>
      </c>
    </row>
    <row r="137" spans="1:26" hidden="1" x14ac:dyDescent="0.25">
      <c r="A137" s="192" t="str">
        <f t="shared" si="45"/>
        <v>Roer</v>
      </c>
      <c r="B137" s="192" t="str">
        <f t="shared" si="46"/>
        <v>Græs og urter</v>
      </c>
      <c r="C137" s="192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2">
        <f t="shared" si="35"/>
        <v>2050</v>
      </c>
      <c r="E137" s="190" t="s">
        <v>23</v>
      </c>
      <c r="F137" s="193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557517.61958207632</v>
      </c>
      <c r="G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447226.91507024999</v>
      </c>
      <c r="H137" s="190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0</v>
      </c>
      <c r="K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3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2">
        <f t="shared" si="23"/>
        <v>110290.70451182633</v>
      </c>
      <c r="O137" s="193">
        <f t="shared" si="39"/>
        <v>110290.70451182633</v>
      </c>
      <c r="P137" s="203">
        <f t="shared" si="24"/>
        <v>0</v>
      </c>
      <c r="Q137" s="190">
        <f>IFERROR(VLOOKUP(A137,[1]Energiindhold!$A$2:$C$11,3,FALSE),IFERROR(VLOOKUP(A137,[1]Biogasudbytte!$A$2:$B$18,2,FALSE)*[1]Energiindhold!$C$10,0))*O137</f>
        <v>0.29933338367327716</v>
      </c>
      <c r="R137" s="190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0.29933338367327716</v>
      </c>
      <c r="S137" s="190">
        <f>IFERROR(VLOOKUP(A137,[1]Biogasudbytte!$A$2:$B$18,2,FALSE)*[1]Energiindhold!$C$10,0)*J137*IFERROR(VLOOKUP(A137,Biogasanlæg!$F$3:$G$8,2,FALSE),1)</f>
        <v>0</v>
      </c>
      <c r="T137" s="191">
        <f t="shared" si="25"/>
        <v>0.29933338367327716</v>
      </c>
      <c r="U137" s="189">
        <f>O137*IFERROR(VLOOKUP(A137,[1]Tørstofindhold!A$2:B$24,2,FALSE),0)</f>
        <v>22058.140902365267</v>
      </c>
      <c r="V137" s="190">
        <f>IF(D137=År1,P137,SUM(O137,P137))*IFERROR(VLOOKUP(A137,[1]Tørstofindhold!A$2:B$24,2,FALSE),0)</f>
        <v>22058.140902365267</v>
      </c>
      <c r="W137" s="190">
        <f>J137*IFERROR(VLOOKUP(A137,[1]Tørstofindhold!A$2:B$24,2,FALSE),0)</f>
        <v>0</v>
      </c>
      <c r="X137" s="191">
        <f t="shared" si="26"/>
        <v>22058.140902365267</v>
      </c>
      <c r="Y137" s="171">
        <f t="shared" si="43"/>
        <v>0</v>
      </c>
      <c r="Z137" s="103">
        <f t="shared" si="44"/>
        <v>1</v>
      </c>
    </row>
    <row r="138" spans="1:26" hidden="1" x14ac:dyDescent="0.25">
      <c r="A138" s="192" t="str">
        <f t="shared" si="45"/>
        <v>Slagteriaffald til andet</v>
      </c>
      <c r="B138" s="192" t="str">
        <f t="shared" si="46"/>
        <v/>
      </c>
      <c r="C138" s="192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2">
        <f t="shared" si="35"/>
        <v>2050</v>
      </c>
      <c r="E138" s="190" t="s">
        <v>23</v>
      </c>
      <c r="F138" s="193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92783.580859109119</v>
      </c>
      <c r="G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0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3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2">
        <f t="shared" si="23"/>
        <v>92783.580859109119</v>
      </c>
      <c r="O138" s="193">
        <f t="shared" si="39"/>
        <v>0</v>
      </c>
      <c r="P138" s="203">
        <f t="shared" si="24"/>
        <v>0</v>
      </c>
      <c r="Q138" s="190">
        <f>IFERROR(VLOOKUP(A138,[1]Energiindhold!$A$2:$C$11,3,FALSE),IFERROR(VLOOKUP(A138,[1]Biogasudbytte!$A$2:$B$18,2,FALSE)*[1]Energiindhold!$C$10,0))*O138</f>
        <v>0</v>
      </c>
      <c r="R138" s="190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0">
        <f>IFERROR(VLOOKUP(A138,[1]Biogasudbytte!$A$2:$B$18,2,FALSE)*[1]Energiindhold!$C$10,0)*J138*IFERROR(VLOOKUP(A138,Biogasanlæg!$F$3:$G$8,2,FALSE),1)</f>
        <v>0</v>
      </c>
      <c r="T138" s="191">
        <f t="shared" si="25"/>
        <v>0</v>
      </c>
      <c r="U138" s="189">
        <f>O138*IFERROR(VLOOKUP(A138,[1]Tørstofindhold!A$2:B$24,2,FALSE),0)</f>
        <v>0</v>
      </c>
      <c r="V138" s="190">
        <f>IF(D138=År1,P138,SUM(O138,P138))*IFERROR(VLOOKUP(A138,[1]Tørstofindhold!A$2:B$24,2,FALSE),0)</f>
        <v>0</v>
      </c>
      <c r="W138" s="190">
        <f>J138*IFERROR(VLOOKUP(A138,[1]Tørstofindhold!A$2:B$24,2,FALSE),0)</f>
        <v>0</v>
      </c>
      <c r="X138" s="191">
        <f t="shared" si="26"/>
        <v>0</v>
      </c>
      <c r="Y138" s="171">
        <f t="shared" si="43"/>
        <v>0</v>
      </c>
      <c r="Z138" s="103">
        <f t="shared" si="44"/>
        <v>1</v>
      </c>
    </row>
    <row r="139" spans="1:26" hidden="1" x14ac:dyDescent="0.25">
      <c r="A139" s="192" t="str">
        <f t="shared" si="45"/>
        <v>Slagteriaffald til foder</v>
      </c>
      <c r="B139" s="192" t="str">
        <f t="shared" si="46"/>
        <v/>
      </c>
      <c r="C139" s="192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2">
        <f t="shared" si="35"/>
        <v>2050</v>
      </c>
      <c r="E139" s="190" t="s">
        <v>23</v>
      </c>
      <c r="F139" s="193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63050.124133731362</v>
      </c>
      <c r="G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24766.559727</v>
      </c>
      <c r="H139" s="190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3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2">
        <f t="shared" si="23"/>
        <v>38283.564406731362</v>
      </c>
      <c r="O139" s="193">
        <f t="shared" si="39"/>
        <v>0</v>
      </c>
      <c r="P139" s="203">
        <f t="shared" si="24"/>
        <v>0</v>
      </c>
      <c r="Q139" s="190">
        <f>IFERROR(VLOOKUP(A139,[1]Energiindhold!$A$2:$C$11,3,FALSE),IFERROR(VLOOKUP(A139,[1]Biogasudbytte!$A$2:$B$18,2,FALSE)*[1]Energiindhold!$C$10,0))*O139</f>
        <v>0</v>
      </c>
      <c r="R139" s="190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0">
        <f>IFERROR(VLOOKUP(A139,[1]Biogasudbytte!$A$2:$B$18,2,FALSE)*[1]Energiindhold!$C$10,0)*J139*IFERROR(VLOOKUP(A139,Biogasanlæg!$F$3:$G$8,2,FALSE),1)</f>
        <v>0</v>
      </c>
      <c r="T139" s="191">
        <f t="shared" si="25"/>
        <v>0</v>
      </c>
      <c r="U139" s="189">
        <f>O139*IFERROR(VLOOKUP(A139,[1]Tørstofindhold!A$2:B$24,2,FALSE),0)</f>
        <v>0</v>
      </c>
      <c r="V139" s="190">
        <f>IF(D139=År1,P139,SUM(O139,P139))*IFERROR(VLOOKUP(A139,[1]Tørstofindhold!A$2:B$24,2,FALSE),0)</f>
        <v>0</v>
      </c>
      <c r="W139" s="190">
        <f>J139*IFERROR(VLOOKUP(A139,[1]Tørstofindhold!A$2:B$24,2,FALSE),0)</f>
        <v>0</v>
      </c>
      <c r="X139" s="191">
        <f t="shared" si="26"/>
        <v>0</v>
      </c>
      <c r="Y139" s="171">
        <f t="shared" si="43"/>
        <v>0</v>
      </c>
      <c r="Z139" s="103">
        <f t="shared" si="44"/>
        <v>1</v>
      </c>
    </row>
    <row r="140" spans="1:26" hidden="1" x14ac:dyDescent="0.25">
      <c r="A140" s="192" t="str">
        <f t="shared" si="45"/>
        <v>Spildevandsslam</v>
      </c>
      <c r="B140" s="192" t="str">
        <f t="shared" si="46"/>
        <v>Bionedbrydeligt affald</v>
      </c>
      <c r="C140" s="192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2">
        <f t="shared" si="35"/>
        <v>2050</v>
      </c>
      <c r="E140" s="190" t="s">
        <v>23</v>
      </c>
      <c r="F140" s="193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4062083.073222735</v>
      </c>
      <c r="G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0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3249666.458578188</v>
      </c>
      <c r="K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3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2">
        <f t="shared" si="23"/>
        <v>812416.61464454699</v>
      </c>
      <c r="O140" s="193">
        <f t="shared" si="39"/>
        <v>812416.61464454699</v>
      </c>
      <c r="P140" s="203">
        <f t="shared" si="24"/>
        <v>3249666.458578188</v>
      </c>
      <c r="Q140" s="190">
        <f>IFERROR(VLOOKUP(A140,[1]Energiindhold!$A$2:$C$11,3,FALSE),IFERROR(VLOOKUP(A140,[1]Biogasudbytte!$A$2:$B$18,2,FALSE)*[1]Energiindhold!$C$10,0))*O140</f>
        <v>0.40540401487377548</v>
      </c>
      <c r="R140" s="190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2.0270200743688775</v>
      </c>
      <c r="S140" s="190">
        <f>IFERROR(VLOOKUP(A140,[1]Biogasudbytte!$A$2:$B$18,2,FALSE)*[1]Energiindhold!$C$10,0)*J140*IFERROR(VLOOKUP(A140,Biogasanlæg!$F$3:$G$8,2,FALSE),1)</f>
        <v>1.6216160594951019</v>
      </c>
      <c r="T140" s="191">
        <f t="shared" si="25"/>
        <v>0.40540401487377564</v>
      </c>
      <c r="U140" s="189">
        <f>O140*IFERROR(VLOOKUP(A140,[1]Tørstofindhold!A$2:B$24,2,FALSE),0)</f>
        <v>48744.99687867282</v>
      </c>
      <c r="V140" s="190">
        <f>IF(D140=År1,P140,SUM(O140,P140))*IFERROR(VLOOKUP(A140,[1]Tørstofindhold!A$2:B$24,2,FALSE),0)</f>
        <v>243724.98439336408</v>
      </c>
      <c r="W140" s="190">
        <f>J140*IFERROR(VLOOKUP(A140,[1]Tørstofindhold!A$2:B$24,2,FALSE),0)</f>
        <v>194979.98751469128</v>
      </c>
      <c r="X140" s="191">
        <f t="shared" si="26"/>
        <v>48744.996878672799</v>
      </c>
      <c r="Y140" s="171">
        <f t="shared" si="43"/>
        <v>0</v>
      </c>
      <c r="Z140" s="103">
        <f t="shared" si="44"/>
        <v>1</v>
      </c>
    </row>
    <row r="141" spans="1:26" hidden="1" x14ac:dyDescent="0.25">
      <c r="A141" s="192" t="str">
        <f t="shared" si="45"/>
        <v>Svinegylle</v>
      </c>
      <c r="B141" s="192" t="str">
        <f t="shared" si="46"/>
        <v>Husdyrgødning</v>
      </c>
      <c r="C141" s="192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2">
        <f t="shared" si="35"/>
        <v>2050</v>
      </c>
      <c r="E141" s="190" t="s">
        <v>23</v>
      </c>
      <c r="F141" s="193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7216145.8837897805</v>
      </c>
      <c r="G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0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5772916.7070318246</v>
      </c>
      <c r="K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1443229.1767579557</v>
      </c>
      <c r="L141" s="193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2">
        <f t="shared" si="23"/>
        <v>0</v>
      </c>
      <c r="O141" s="193">
        <f t="shared" si="39"/>
        <v>0</v>
      </c>
      <c r="P141" s="203">
        <f t="shared" si="24"/>
        <v>5772916.7070318246</v>
      </c>
      <c r="Q141" s="190">
        <f>IFERROR(VLOOKUP(A141,[1]Energiindhold!$A$2:$C$11,3,FALSE),IFERROR(VLOOKUP(A141,[1]Biogasudbytte!$A$2:$B$18,2,FALSE)*[1]Energiindhold!$C$10,0))*O141</f>
        <v>0</v>
      </c>
      <c r="R141" s="190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2.4869725173893107</v>
      </c>
      <c r="S141" s="190">
        <f>IFERROR(VLOOKUP(A141,[1]Biogasudbytte!$A$2:$B$18,2,FALSE)*[1]Energiindhold!$C$10,0)*J141*IFERROR(VLOOKUP(A141,Biogasanlæg!$F$3:$G$8,2,FALSE),1)</f>
        <v>2.4869725173893107</v>
      </c>
      <c r="T141" s="191">
        <f t="shared" si="25"/>
        <v>0</v>
      </c>
      <c r="U141" s="189">
        <f>O141*IFERROR(VLOOKUP(A141,[1]Tørstofindhold!A$2:B$24,2,FALSE),0)</f>
        <v>0</v>
      </c>
      <c r="V141" s="190">
        <f>IF(D141=År1,P141,SUM(O141,P141))*IFERROR(VLOOKUP(A141,[1]Tørstofindhold!A$2:B$24,2,FALSE),0)</f>
        <v>288645.83535159123</v>
      </c>
      <c r="W141" s="190">
        <f>J141*IFERROR(VLOOKUP(A141,[1]Tørstofindhold!A$2:B$24,2,FALSE),0)</f>
        <v>288645.83535159123</v>
      </c>
      <c r="X141" s="191">
        <f t="shared" si="26"/>
        <v>0</v>
      </c>
      <c r="Y141" s="171">
        <f t="shared" si="43"/>
        <v>0</v>
      </c>
      <c r="Z141" s="103">
        <f t="shared" si="44"/>
        <v>0</v>
      </c>
    </row>
    <row r="142" spans="1:26" hidden="1" x14ac:dyDescent="0.25">
      <c r="A142" s="192" t="str">
        <f t="shared" si="45"/>
        <v>Svinekød</v>
      </c>
      <c r="B142" s="192" t="str">
        <f t="shared" si="46"/>
        <v/>
      </c>
      <c r="C142" s="192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2">
        <f t="shared" si="35"/>
        <v>2050</v>
      </c>
      <c r="E142" s="190" t="s">
        <v>23</v>
      </c>
      <c r="F142" s="193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670075.43744177814</v>
      </c>
      <c r="G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0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63313.545971354491</v>
      </c>
      <c r="J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3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2">
        <f t="shared" si="23"/>
        <v>606761.89147042367</v>
      </c>
      <c r="O142" s="193">
        <f t="shared" si="39"/>
        <v>0</v>
      </c>
      <c r="P142" s="203">
        <f t="shared" si="24"/>
        <v>0</v>
      </c>
      <c r="Q142" s="190">
        <f>IFERROR(VLOOKUP(A142,[1]Energiindhold!$A$2:$C$11,3,FALSE),IFERROR(VLOOKUP(A142,[1]Biogasudbytte!$A$2:$B$18,2,FALSE)*[1]Energiindhold!$C$10,0))*O142</f>
        <v>0</v>
      </c>
      <c r="R142" s="190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0">
        <f>IFERROR(VLOOKUP(A142,[1]Biogasudbytte!$A$2:$B$18,2,FALSE)*[1]Energiindhold!$C$10,0)*J142*IFERROR(VLOOKUP(A142,Biogasanlæg!$F$3:$G$8,2,FALSE),1)</f>
        <v>0</v>
      </c>
      <c r="T142" s="191">
        <f t="shared" si="25"/>
        <v>0</v>
      </c>
      <c r="U142" s="189">
        <f>O142*IFERROR(VLOOKUP(A142,[1]Tørstofindhold!A$2:B$24,2,FALSE),0)</f>
        <v>0</v>
      </c>
      <c r="V142" s="190">
        <f>IF(D142=År1,P142,SUM(O142,P142))*IFERROR(VLOOKUP(A142,[1]Tørstofindhold!A$2:B$24,2,FALSE),0)</f>
        <v>0</v>
      </c>
      <c r="W142" s="190">
        <f>J142*IFERROR(VLOOKUP(A142,[1]Tørstofindhold!A$2:B$24,2,FALSE),0)</f>
        <v>0</v>
      </c>
      <c r="X142" s="191">
        <f t="shared" si="26"/>
        <v>0</v>
      </c>
      <c r="Y142" s="171">
        <f t="shared" si="43"/>
        <v>0</v>
      </c>
      <c r="Z142" s="103">
        <f t="shared" si="44"/>
        <v>1</v>
      </c>
    </row>
    <row r="143" spans="1:26" hidden="1" x14ac:dyDescent="0.25">
      <c r="A143" s="192" t="str">
        <f t="shared" si="45"/>
        <v>Tang</v>
      </c>
      <c r="B143" s="192" t="str">
        <f t="shared" si="46"/>
        <v>Havbiomasse</v>
      </c>
      <c r="C143" s="192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2">
        <f t="shared" si="35"/>
        <v>2050</v>
      </c>
      <c r="E143" s="190" t="s">
        <v>23</v>
      </c>
      <c r="F143" s="193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13500</v>
      </c>
      <c r="G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0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3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2">
        <f t="shared" si="23"/>
        <v>13500</v>
      </c>
      <c r="O143" s="193">
        <f t="shared" si="39"/>
        <v>13500</v>
      </c>
      <c r="P143" s="203">
        <f t="shared" si="24"/>
        <v>0</v>
      </c>
      <c r="Q143" s="190">
        <f>IFERROR(VLOOKUP(A143,[1]Energiindhold!$A$2:$C$11,3,FALSE),IFERROR(VLOOKUP(A143,[1]Biogasudbytte!$A$2:$B$18,2,FALSE)*[1]Energiindhold!$C$10,0))*O143</f>
        <v>1.2116250000000002E-2</v>
      </c>
      <c r="R143" s="190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0">
        <f>IFERROR(VLOOKUP(A143,[1]Biogasudbytte!$A$2:$B$18,2,FALSE)*[1]Energiindhold!$C$10,0)*J143*IFERROR(VLOOKUP(A143,Biogasanlæg!$F$3:$G$8,2,FALSE),1)</f>
        <v>0</v>
      </c>
      <c r="T143" s="191">
        <f t="shared" si="25"/>
        <v>1.2116250000000002E-2</v>
      </c>
      <c r="U143" s="189">
        <f>O143*IFERROR(VLOOKUP(A143,[1]Tørstofindhold!A$2:B$24,2,FALSE),0)</f>
        <v>2025</v>
      </c>
      <c r="V143" s="190">
        <f>IF(D143=År1,P143,SUM(O143,P143))*IFERROR(VLOOKUP(A143,[1]Tørstofindhold!A$2:B$24,2,FALSE),0)</f>
        <v>2025</v>
      </c>
      <c r="W143" s="190">
        <f>J143*IFERROR(VLOOKUP(A143,[1]Tørstofindhold!A$2:B$24,2,FALSE),0)</f>
        <v>0</v>
      </c>
      <c r="X143" s="191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hidden="1" x14ac:dyDescent="0.25">
      <c r="A144" s="192" t="str">
        <f t="shared" si="45"/>
        <v>Total til biogas</v>
      </c>
      <c r="B144" s="192" t="str">
        <f t="shared" si="46"/>
        <v/>
      </c>
      <c r="C144" s="192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2">
        <f t="shared" si="35"/>
        <v>2050</v>
      </c>
      <c r="E144" s="190" t="s">
        <v>23</v>
      </c>
      <c r="F144" s="193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0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3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2">
        <f t="shared" si="23"/>
        <v>0</v>
      </c>
      <c r="O144" s="193">
        <f t="shared" si="39"/>
        <v>0</v>
      </c>
      <c r="P144" s="203">
        <f t="shared" si="24"/>
        <v>0</v>
      </c>
      <c r="Q144" s="190">
        <f>IFERROR(VLOOKUP(A144,[1]Energiindhold!$A$2:$C$11,3,FALSE),IFERROR(VLOOKUP(A144,[1]Biogasudbytte!$A$2:$B$18,2,FALSE)*[1]Energiindhold!$C$10,0))*O144</f>
        <v>0</v>
      </c>
      <c r="R144" s="190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0">
        <f>IFERROR(VLOOKUP(A144,[1]Biogasudbytte!$A$2:$B$18,2,FALSE)*[1]Energiindhold!$C$10,0)*J144*IFERROR(VLOOKUP(A144,Biogasanlæg!$F$3:$G$8,2,FALSE),1)</f>
        <v>0</v>
      </c>
      <c r="T144" s="191">
        <f t="shared" si="25"/>
        <v>0</v>
      </c>
      <c r="U144" s="189">
        <f>O144*IFERROR(VLOOKUP(A144,[1]Tørstofindhold!A$2:B$24,2,FALSE),0)</f>
        <v>0</v>
      </c>
      <c r="V144" s="190">
        <f>IF(D144=År1,P144,SUM(O144,P144))*IFERROR(VLOOKUP(A144,[1]Tørstofindhold!A$2:B$24,2,FALSE),0)</f>
        <v>0</v>
      </c>
      <c r="W144" s="190">
        <f>J144*IFERROR(VLOOKUP(A144,[1]Tørstofindhold!A$2:B$24,2,FALSE),0)</f>
        <v>0</v>
      </c>
      <c r="X144" s="191">
        <f t="shared" si="26"/>
        <v>0</v>
      </c>
      <c r="Y144" s="171">
        <f t="shared" si="43"/>
        <v>0</v>
      </c>
      <c r="Z144" s="103">
        <f t="shared" si="44"/>
        <v>0</v>
      </c>
    </row>
    <row r="145" spans="1:26" hidden="1" x14ac:dyDescent="0.25">
      <c r="A145" s="192" t="str">
        <f t="shared" si="45"/>
        <v>Træ til energi</v>
      </c>
      <c r="B145" s="192" t="str">
        <f t="shared" si="46"/>
        <v>Vedmasse</v>
      </c>
      <c r="C145" s="192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2">
        <f t="shared" si="35"/>
        <v>2050</v>
      </c>
      <c r="E145" s="190" t="s">
        <v>23</v>
      </c>
      <c r="F145" s="193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2347927.0937342439</v>
      </c>
      <c r="G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0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3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2347927.0937342439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2">
        <f t="shared" si="23"/>
        <v>0</v>
      </c>
      <c r="O145" s="193">
        <f t="shared" si="39"/>
        <v>0</v>
      </c>
      <c r="P145" s="203">
        <f t="shared" si="24"/>
        <v>2347927.0937342439</v>
      </c>
      <c r="Q145" s="190">
        <f>IFERROR(VLOOKUP(A145,[1]Energiindhold!$A$2:$C$11,3,FALSE),IFERROR(VLOOKUP(A145,[1]Biogasudbytte!$A$2:$B$18,2,FALSE)*[1]Energiindhold!$C$10,0))*O145</f>
        <v>0</v>
      </c>
      <c r="R145" s="190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34.029843107034417</v>
      </c>
      <c r="S145" s="190">
        <f>IFERROR(VLOOKUP(A145,[1]Biogasudbytte!$A$2:$B$18,2,FALSE)*[1]Energiindhold!$C$10,0)*J145*IFERROR(VLOOKUP(A145,Biogasanlæg!$F$3:$G$8,2,FALSE),1)</f>
        <v>0</v>
      </c>
      <c r="T145" s="191">
        <f t="shared" si="25"/>
        <v>34.029843107034417</v>
      </c>
      <c r="U145" s="189">
        <f>O145*IFERROR(VLOOKUP(A145,[1]Tørstofindhold!A$2:B$24,2,FALSE),0)</f>
        <v>0</v>
      </c>
      <c r="V145" s="190">
        <f>IF(D145=År1,P145,SUM(O145,P145))*IFERROR(VLOOKUP(A145,[1]Tørstofindhold!A$2:B$24,2,FALSE),0)</f>
        <v>1161245.6084427282</v>
      </c>
      <c r="W145" s="190">
        <f>J145*IFERROR(VLOOKUP(A145,[1]Tørstofindhold!A$2:B$24,2,FALSE),0)</f>
        <v>0</v>
      </c>
      <c r="X145" s="191">
        <f t="shared" si="26"/>
        <v>1161245.6084427282</v>
      </c>
      <c r="Y145" s="171">
        <f t="shared" si="43"/>
        <v>0</v>
      </c>
      <c r="Z145" s="103">
        <f t="shared" si="44"/>
        <v>0</v>
      </c>
    </row>
    <row r="146" spans="1:26" hidden="1" x14ac:dyDescent="0.25">
      <c r="A146" s="192" t="str">
        <f t="shared" si="45"/>
        <v>Træmaterialer</v>
      </c>
      <c r="B146" s="192" t="str">
        <f t="shared" si="46"/>
        <v/>
      </c>
      <c r="C146" s="192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2">
        <f t="shared" si="35"/>
        <v>2050</v>
      </c>
      <c r="E146" s="190" t="s">
        <v>23</v>
      </c>
      <c r="F146" s="193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691748.76447704039</v>
      </c>
      <c r="G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0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3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691748.76447704039</v>
      </c>
      <c r="N146" s="202">
        <f t="shared" si="23"/>
        <v>0</v>
      </c>
      <c r="O146" s="193">
        <f t="shared" si="39"/>
        <v>0</v>
      </c>
      <c r="P146" s="203">
        <f t="shared" si="24"/>
        <v>0</v>
      </c>
      <c r="Q146" s="190">
        <f>IFERROR(VLOOKUP(A146,[1]Energiindhold!$A$2:$C$11,3,FALSE),IFERROR(VLOOKUP(A146,[1]Biogasudbytte!$A$2:$B$18,2,FALSE)*[1]Energiindhold!$C$10,0))*O146</f>
        <v>0</v>
      </c>
      <c r="R146" s="190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0">
        <f>IFERROR(VLOOKUP(A146,[1]Biogasudbytte!$A$2:$B$18,2,FALSE)*[1]Energiindhold!$C$10,0)*J146*IFERROR(VLOOKUP(A146,Biogasanlæg!$F$3:$G$8,2,FALSE),1)</f>
        <v>0</v>
      </c>
      <c r="T146" s="191">
        <f t="shared" si="25"/>
        <v>0</v>
      </c>
      <c r="U146" s="189">
        <f>O146*IFERROR(VLOOKUP(A146,[1]Tørstofindhold!A$2:B$24,2,FALSE),0)</f>
        <v>0</v>
      </c>
      <c r="V146" s="190">
        <f>IF(D146=År1,P146,SUM(O146,P146))*IFERROR(VLOOKUP(A146,[1]Tørstofindhold!A$2:B$24,2,FALSE),0)</f>
        <v>0</v>
      </c>
      <c r="W146" s="190">
        <f>J146*IFERROR(VLOOKUP(A146,[1]Tørstofindhold!A$2:B$24,2,FALSE),0)</f>
        <v>0</v>
      </c>
      <c r="X146" s="191">
        <f t="shared" si="26"/>
        <v>0</v>
      </c>
      <c r="Y146" s="171">
        <f t="shared" si="43"/>
        <v>0</v>
      </c>
      <c r="Z146" s="103">
        <f t="shared" si="44"/>
        <v>0</v>
      </c>
    </row>
    <row r="147" spans="1:26" hidden="1" x14ac:dyDescent="0.25">
      <c r="A147" s="192" t="s">
        <v>15</v>
      </c>
      <c r="B147" s="192"/>
      <c r="C147" s="192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2">
        <f t="shared" ref="D147:D194" si="47">År1</f>
        <v>2019</v>
      </c>
      <c r="E147" s="190" t="s">
        <v>24</v>
      </c>
      <c r="F147" s="193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18450.007031483605</v>
      </c>
      <c r="G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0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3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2">
        <f t="shared" si="23"/>
        <v>-8430.5352358472264</v>
      </c>
      <c r="O147" s="193">
        <f t="shared" si="39"/>
        <v>0</v>
      </c>
      <c r="P147" s="203">
        <f t="shared" si="24"/>
        <v>0</v>
      </c>
      <c r="Q147" s="190">
        <f>IFERROR(VLOOKUP(A147,[1]Energiindhold!$A$2:$C$11,3,FALSE),IFERROR(VLOOKUP(A147,[1]Biogasudbytte!$A$2:$B$18,2,FALSE)*[1]Energiindhold!$C$10,0))*O147</f>
        <v>0</v>
      </c>
      <c r="R147" s="190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0">
        <f>IFERROR(VLOOKUP(A147,[1]Biogasudbytte!$A$2:$B$18,2,FALSE)*[1]Energiindhold!$C$10,0)*J147*IFERROR(VLOOKUP(A147,Biogasanlæg!$F$3:$G$8,2,FALSE),1)</f>
        <v>0</v>
      </c>
      <c r="T147" s="191">
        <f t="shared" si="25"/>
        <v>0</v>
      </c>
      <c r="U147" s="189">
        <f>O147*IFERROR(VLOOKUP(A147,[1]Tørstofindhold!A$2:B$24,2,FALSE),0)</f>
        <v>0</v>
      </c>
      <c r="V147" s="190">
        <f>IF(D147=År1,P147,SUM(O147,P147))*IFERROR(VLOOKUP(A147,[1]Tørstofindhold!A$2:B$24,2,FALSE),0)</f>
        <v>0</v>
      </c>
      <c r="W147" s="190">
        <f>J147*IFERROR(VLOOKUP(A147,[1]Tørstofindhold!A$2:B$24,2,FALSE),0)</f>
        <v>0</v>
      </c>
      <c r="X147" s="191">
        <f t="shared" si="26"/>
        <v>0</v>
      </c>
      <c r="Y147" s="171">
        <f t="shared" si="43"/>
        <v>0</v>
      </c>
      <c r="Z147" s="103">
        <f t="shared" si="44"/>
        <v>1</v>
      </c>
    </row>
    <row r="148" spans="1:26" hidden="1" x14ac:dyDescent="0.25">
      <c r="A148" s="192" t="s">
        <v>49</v>
      </c>
      <c r="B148" s="192"/>
      <c r="C148" s="192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2">
        <f t="shared" si="47"/>
        <v>2019</v>
      </c>
      <c r="E148" s="190" t="s">
        <v>24</v>
      </c>
      <c r="F148" s="193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27039.772448692573</v>
      </c>
      <c r="G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0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3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2">
        <f t="shared" si="23"/>
        <v>19123.155694952475</v>
      </c>
      <c r="O148" s="193">
        <f t="shared" si="39"/>
        <v>0</v>
      </c>
      <c r="P148" s="203">
        <f t="shared" si="24"/>
        <v>0</v>
      </c>
      <c r="Q148" s="190">
        <f>IFERROR(VLOOKUP(A148,[1]Energiindhold!$A$2:$C$11,3,FALSE),IFERROR(VLOOKUP(A148,[1]Biogasudbytte!$A$2:$B$18,2,FALSE)*[1]Energiindhold!$C$10,0))*O148</f>
        <v>0</v>
      </c>
      <c r="R148" s="190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0">
        <f>IFERROR(VLOOKUP(A148,[1]Biogasudbytte!$A$2:$B$18,2,FALSE)*[1]Energiindhold!$C$10,0)*J148*IFERROR(VLOOKUP(A148,Biogasanlæg!$F$3:$G$8,2,FALSE),1)</f>
        <v>0</v>
      </c>
      <c r="T148" s="191">
        <f t="shared" si="25"/>
        <v>0</v>
      </c>
      <c r="U148" s="189">
        <f>O148*IFERROR(VLOOKUP(A148,[1]Tørstofindhold!A$2:B$24,2,FALSE),0)</f>
        <v>0</v>
      </c>
      <c r="V148" s="190">
        <f>IF(D148=År1,P148,SUM(O148,P148))*IFERROR(VLOOKUP(A148,[1]Tørstofindhold!A$2:B$24,2,FALSE),0)</f>
        <v>0</v>
      </c>
      <c r="W148" s="190">
        <f>J148*IFERROR(VLOOKUP(A148,[1]Tørstofindhold!A$2:B$24,2,FALSE),0)</f>
        <v>0</v>
      </c>
      <c r="X148" s="191">
        <f t="shared" si="26"/>
        <v>0</v>
      </c>
      <c r="Y148" s="171">
        <f t="shared" si="43"/>
        <v>0</v>
      </c>
      <c r="Z148" s="103">
        <f t="shared" si="44"/>
        <v>1</v>
      </c>
    </row>
    <row r="149" spans="1:26" hidden="1" x14ac:dyDescent="0.25">
      <c r="A149" s="192" t="s">
        <v>103</v>
      </c>
      <c r="B149" s="192" t="s">
        <v>231</v>
      </c>
      <c r="C149" s="192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2">
        <f t="shared" si="47"/>
        <v>2019</v>
      </c>
      <c r="E149" s="190" t="s">
        <v>24</v>
      </c>
      <c r="F149" s="193">
        <f ca="1"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165083.0224523381</v>
      </c>
      <c r="G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0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3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3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2">
        <f t="shared" ca="1" si="23"/>
        <v>-170507.33327986751</v>
      </c>
      <c r="O149" s="193">
        <f t="shared" ca="1" si="39"/>
        <v>0</v>
      </c>
      <c r="P149" s="203">
        <f t="shared" ca="1" si="24"/>
        <v>335590.35573220561</v>
      </c>
      <c r="Q149" s="190">
        <f ca="1">IFERROR(VLOOKUP(A149,[1]Energiindhold!$A$2:$C$11,3,FALSE),IFERROR(VLOOKUP(A149,[1]Biogasudbytte!$A$2:$B$18,2,FALSE)*[1]Energiindhold!$C$10,0))*O149</f>
        <v>0</v>
      </c>
      <c r="R149" s="190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0">
        <f ca="1">IFERROR(VLOOKUP(A149,[1]Biogasudbytte!$A$2:$B$18,2,FALSE)*[1]Energiindhold!$C$10,0)*J149*IFERROR(VLOOKUP(A149,Biogasanlæg!$F$3:$G$8,2,FALSE),1)</f>
        <v>1.1433261388476088</v>
      </c>
      <c r="T149" s="191">
        <f t="shared" ca="1" si="25"/>
        <v>0</v>
      </c>
      <c r="U149" s="189">
        <f ca="1">O149*IFERROR(VLOOKUP(A149,[1]Tørstofindhold!A$2:B$24,2,FALSE),0)</f>
        <v>0</v>
      </c>
      <c r="V149" s="190">
        <f ca="1">IF(D149=År1,P149,SUM(O149,P149))*IFERROR(VLOOKUP(A149,[1]Tørstofindhold!A$2:B$24,2,FALSE),0)</f>
        <v>93965.299605017586</v>
      </c>
      <c r="W149" s="190">
        <f ca="1">J149*IFERROR(VLOOKUP(A149,[1]Tørstofindhold!A$2:B$24,2,FALSE),0)</f>
        <v>93965.299605017586</v>
      </c>
      <c r="X149" s="191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hidden="1" x14ac:dyDescent="0.25">
      <c r="A150" s="192" t="s">
        <v>110</v>
      </c>
      <c r="B150" s="192"/>
      <c r="C150" s="192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2">
        <f t="shared" si="47"/>
        <v>2019</v>
      </c>
      <c r="E150" s="190" t="s">
        <v>24</v>
      </c>
      <c r="F150" s="193">
        <f ca="1"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110817031.25294524</v>
      </c>
      <c r="G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0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3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2">
        <f t="shared" ref="N150:N215" ca="1" si="48">F150-SUM(G150:M150)</f>
        <v>0</v>
      </c>
      <c r="O150" s="193">
        <f t="shared" ca="1" si="39"/>
        <v>0</v>
      </c>
      <c r="P150" s="203">
        <f t="shared" ref="P150:P215" ca="1" si="49">SUM(J150,L150)</f>
        <v>110817031.25294524</v>
      </c>
      <c r="Q150" s="190">
        <f ca="1">IFERROR(VLOOKUP(A150,[1]Energiindhold!$A$2:$C$11,3,FALSE),IFERROR(VLOOKUP(A150,[1]Biogasudbytte!$A$2:$B$18,2,FALSE)*[1]Energiindhold!$C$10,0))*O150</f>
        <v>0</v>
      </c>
      <c r="R150" s="190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0">
        <f>IFERROR(VLOOKUP(A150,[1]Biogasudbytte!$A$2:$B$18,2,FALSE)*[1]Energiindhold!$C$10,0)*J150*IFERROR(VLOOKUP(A150,Biogasanlæg!$F$3:$G$8,2,FALSE),1)</f>
        <v>0</v>
      </c>
      <c r="T150" s="191">
        <f t="shared" ref="T150:T215" si="50">R150-S150</f>
        <v>0</v>
      </c>
      <c r="U150" s="189">
        <f ca="1">O150*IFERROR(VLOOKUP(A150,[1]Tørstofindhold!A$2:B$24,2,FALSE),0)</f>
        <v>0</v>
      </c>
      <c r="V150" s="190">
        <f ca="1">IF(D150=År1,P150,SUM(O150,P150))*IFERROR(VLOOKUP(A150,[1]Tørstofindhold!A$2:B$24,2,FALSE),0)</f>
        <v>0</v>
      </c>
      <c r="W150" s="190">
        <f>J150*IFERROR(VLOOKUP(A150,[1]Tørstofindhold!A$2:B$24,2,FALSE),0)</f>
        <v>0</v>
      </c>
      <c r="X150" s="191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hidden="1" x14ac:dyDescent="0.25">
      <c r="A151" s="192" t="s">
        <v>111</v>
      </c>
      <c r="B151" s="192"/>
      <c r="C151" s="192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2">
        <f t="shared" si="47"/>
        <v>2019</v>
      </c>
      <c r="E151" s="190" t="s">
        <v>24</v>
      </c>
      <c r="F151" s="193">
        <f ca="1"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2462895.6491667829</v>
      </c>
      <c r="G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0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3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3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2">
        <f t="shared" ca="1" si="48"/>
        <v>661163.5565235524</v>
      </c>
      <c r="O151" s="193">
        <f t="shared" si="39"/>
        <v>0</v>
      </c>
      <c r="P151" s="203">
        <f t="shared" si="49"/>
        <v>0</v>
      </c>
      <c r="Q151" s="190">
        <f>IFERROR(VLOOKUP(A151,[1]Energiindhold!$A$2:$C$11,3,FALSE),IFERROR(VLOOKUP(A151,[1]Biogasudbytte!$A$2:$B$18,2,FALSE)*[1]Energiindhold!$C$10,0))*O151</f>
        <v>0</v>
      </c>
      <c r="R151" s="190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0">
        <f>IFERROR(VLOOKUP(A151,[1]Biogasudbytte!$A$2:$B$18,2,FALSE)*[1]Energiindhold!$C$10,0)*J151*IFERROR(VLOOKUP(A151,Biogasanlæg!$F$3:$G$8,2,FALSE),1)</f>
        <v>0</v>
      </c>
      <c r="T151" s="191">
        <f t="shared" si="50"/>
        <v>0</v>
      </c>
      <c r="U151" s="189">
        <f>O151*IFERROR(VLOOKUP(A151,[1]Tørstofindhold!A$2:B$24,2,FALSE),0)</f>
        <v>0</v>
      </c>
      <c r="V151" s="190">
        <f>IF(D151=År1,P151,SUM(O151,P151))*IFERROR(VLOOKUP(A151,[1]Tørstofindhold!A$2:B$24,2,FALSE),0)</f>
        <v>0</v>
      </c>
      <c r="W151" s="190">
        <f>J151*IFERROR(VLOOKUP(A151,[1]Tørstofindhold!A$2:B$24,2,FALSE),0)</f>
        <v>0</v>
      </c>
      <c r="X151" s="191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hidden="1" x14ac:dyDescent="0.25">
      <c r="A152" s="192" t="s">
        <v>209</v>
      </c>
      <c r="B152" s="192" t="s">
        <v>231</v>
      </c>
      <c r="C152" s="192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2">
        <f t="shared" si="47"/>
        <v>2019</v>
      </c>
      <c r="E152" s="190" t="s">
        <v>24</v>
      </c>
      <c r="F152" s="193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0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3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2">
        <f t="shared" si="48"/>
        <v>0</v>
      </c>
      <c r="O152" s="193">
        <f t="shared" si="39"/>
        <v>0</v>
      </c>
      <c r="P152" s="203">
        <f t="shared" si="49"/>
        <v>0</v>
      </c>
      <c r="Q152" s="190">
        <f>IFERROR(VLOOKUP(A152,[1]Energiindhold!$A$2:$C$11,3,FALSE),IFERROR(VLOOKUP(A152,[1]Biogasudbytte!$A$2:$B$18,2,FALSE)*[1]Energiindhold!$C$10,0))*O152</f>
        <v>0</v>
      </c>
      <c r="R152" s="190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0">
        <f>IFERROR(VLOOKUP(A152,[1]Biogasudbytte!$A$2:$B$18,2,FALSE)*[1]Energiindhold!$C$10,0)*J152*IFERROR(VLOOKUP(A152,Biogasanlæg!$F$3:$G$8,2,FALSE),1)</f>
        <v>0</v>
      </c>
      <c r="T152" s="191">
        <f t="shared" si="50"/>
        <v>0</v>
      </c>
      <c r="U152" s="189">
        <f>O152*IFERROR(VLOOKUP(A152,[1]Tørstofindhold!A$2:B$24,2,FALSE),0)</f>
        <v>0</v>
      </c>
      <c r="V152" s="190">
        <f>IF(D152=År1,P152,SUM(O152,P152))*IFERROR(VLOOKUP(A152,[1]Tørstofindhold!A$2:B$24,2,FALSE),0)</f>
        <v>0</v>
      </c>
      <c r="W152" s="190">
        <f>J152*IFERROR(VLOOKUP(A152,[1]Tørstofindhold!A$2:B$24,2,FALSE),0)</f>
        <v>0</v>
      </c>
      <c r="X152" s="191">
        <f t="shared" si="51"/>
        <v>0</v>
      </c>
      <c r="Y152" s="171">
        <f t="shared" si="43"/>
        <v>0</v>
      </c>
      <c r="Z152" s="103">
        <f t="shared" si="44"/>
        <v>0</v>
      </c>
    </row>
    <row r="153" spans="1:26" hidden="1" x14ac:dyDescent="0.25">
      <c r="A153" s="190" t="s">
        <v>102</v>
      </c>
      <c r="B153" s="192" t="s">
        <v>223</v>
      </c>
      <c r="C153" s="192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2">
        <f t="shared" si="47"/>
        <v>2019</v>
      </c>
      <c r="E153" s="190" t="s">
        <v>24</v>
      </c>
      <c r="F153" s="193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332759.92297580565</v>
      </c>
      <c r="G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0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3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2">
        <f t="shared" si="48"/>
        <v>153410.57659836096</v>
      </c>
      <c r="O153" s="193">
        <f t="shared" si="39"/>
        <v>153410.57659836096</v>
      </c>
      <c r="P153" s="203">
        <f t="shared" si="49"/>
        <v>85892.328449707566</v>
      </c>
      <c r="Q153" s="190">
        <f>IFERROR(VLOOKUP(A153,[1]Energiindhold!$A$2:$C$11,3,FALSE),IFERROR(VLOOKUP(A153,[1]Biogasudbytte!$A$2:$B$18,2,FALSE)*[1]Energiindhold!$C$10,0))*O153</f>
        <v>0.33044638199286952</v>
      </c>
      <c r="R153" s="190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0">
        <f>IFERROR(VLOOKUP(A153,[1]Biogasudbytte!$A$2:$B$18,2,FALSE)*[1]Energiindhold!$C$10,0)*J153*IFERROR(VLOOKUP(A153,Biogasanlæg!$F$3:$G$8,2,FALSE),1)</f>
        <v>0.18501207548067011</v>
      </c>
      <c r="T153" s="191">
        <f t="shared" si="50"/>
        <v>0</v>
      </c>
      <c r="U153" s="189">
        <f>O153*IFERROR(VLOOKUP(A153,[1]Tørstofindhold!A$2:B$24,2,FALSE),0)</f>
        <v>46023.172979508287</v>
      </c>
      <c r="V153" s="190">
        <f>IF(D153=År1,P153,SUM(O153,P153))*IFERROR(VLOOKUP(A153,[1]Tørstofindhold!A$2:B$24,2,FALSE),0)</f>
        <v>25767.69853491227</v>
      </c>
      <c r="W153" s="190">
        <f>J153*IFERROR(VLOOKUP(A153,[1]Tørstofindhold!A$2:B$24,2,FALSE),0)</f>
        <v>25767.69853491227</v>
      </c>
      <c r="X153" s="191">
        <f t="shared" si="51"/>
        <v>0</v>
      </c>
      <c r="Y153" s="171">
        <f t="shared" si="43"/>
        <v>0</v>
      </c>
      <c r="Z153" s="103">
        <f t="shared" si="44"/>
        <v>1</v>
      </c>
    </row>
    <row r="154" spans="1:26" hidden="1" x14ac:dyDescent="0.25">
      <c r="A154" s="190" t="s">
        <v>205</v>
      </c>
      <c r="B154" s="192"/>
      <c r="C154" s="192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2">
        <f t="shared" si="47"/>
        <v>2019</v>
      </c>
      <c r="E154" s="190" t="s">
        <v>24</v>
      </c>
      <c r="F154" s="193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0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3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2">
        <f t="shared" si="48"/>
        <v>0</v>
      </c>
      <c r="O154" s="193">
        <f t="shared" si="39"/>
        <v>0</v>
      </c>
      <c r="P154" s="203">
        <f t="shared" si="49"/>
        <v>0</v>
      </c>
      <c r="Q154" s="190">
        <f>IFERROR(VLOOKUP(A154,[1]Energiindhold!$A$2:$C$11,3,FALSE),IFERROR(VLOOKUP(A154,[1]Biogasudbytte!$A$2:$B$18,2,FALSE)*[1]Energiindhold!$C$10,0))*O154</f>
        <v>0</v>
      </c>
      <c r="R154" s="190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0">
        <f>IFERROR(VLOOKUP(A154,[1]Biogasudbytte!$A$2:$B$18,2,FALSE)*[1]Energiindhold!$C$10,0)*J154*IFERROR(VLOOKUP(A154,Biogasanlæg!$F$3:$G$8,2,FALSE),1)</f>
        <v>0</v>
      </c>
      <c r="T154" s="191">
        <f t="shared" si="50"/>
        <v>0</v>
      </c>
      <c r="U154" s="189">
        <f>O154*IFERROR(VLOOKUP(A154,[1]Tørstofindhold!A$2:B$24,2,FALSE),0)</f>
        <v>0</v>
      </c>
      <c r="V154" s="190">
        <f>IF(D154=År1,P154,SUM(O154,P154))*IFERROR(VLOOKUP(A154,[1]Tørstofindhold!A$2:B$24,2,FALSE),0)</f>
        <v>0</v>
      </c>
      <c r="W154" s="190">
        <f>J154*IFERROR(VLOOKUP(A154,[1]Tørstofindhold!A$2:B$24,2,FALSE),0)</f>
        <v>0</v>
      </c>
      <c r="X154" s="191">
        <f t="shared" si="51"/>
        <v>0</v>
      </c>
      <c r="Y154" s="171">
        <f t="shared" si="43"/>
        <v>0</v>
      </c>
      <c r="Z154" s="103">
        <f t="shared" si="44"/>
        <v>0</v>
      </c>
    </row>
    <row r="155" spans="1:26" hidden="1" x14ac:dyDescent="0.25">
      <c r="A155" s="190" t="s">
        <v>138</v>
      </c>
      <c r="B155" s="192" t="s">
        <v>223</v>
      </c>
      <c r="C155" s="192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2">
        <f t="shared" si="47"/>
        <v>2019</v>
      </c>
      <c r="E155" s="190" t="s">
        <v>24</v>
      </c>
      <c r="F155" s="193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675.387643904882</v>
      </c>
      <c r="G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0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3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2">
        <f t="shared" si="48"/>
        <v>0</v>
      </c>
      <c r="O155" s="193">
        <f t="shared" si="39"/>
        <v>0</v>
      </c>
      <c r="P155" s="203">
        <f t="shared" si="49"/>
        <v>337.693821952441</v>
      </c>
      <c r="Q155" s="190">
        <f>IFERROR(VLOOKUP(A155,[1]Energiindhold!$A$2:$C$11,3,FALSE),IFERROR(VLOOKUP(A155,[1]Biogasudbytte!$A$2:$B$18,2,FALSE)*[1]Energiindhold!$C$10,0))*O155</f>
        <v>0</v>
      </c>
      <c r="R155" s="190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0">
        <f>IFERROR(VLOOKUP(A155,[1]Biogasudbytte!$A$2:$B$18,2,FALSE)*[1]Energiindhold!$C$10,0)*J155*IFERROR(VLOOKUP(A155,Biogasanlæg!$F$3:$G$8,2,FALSE),1)</f>
        <v>1.5881402752601349E-4</v>
      </c>
      <c r="T155" s="191">
        <f t="shared" si="50"/>
        <v>0</v>
      </c>
      <c r="U155" s="189">
        <f>O155*IFERROR(VLOOKUP(A155,[1]Tørstofindhold!A$2:B$24,2,FALSE),0)</f>
        <v>0</v>
      </c>
      <c r="V155" s="190">
        <f>IF(D155=År1,P155,SUM(O155,P155))*IFERROR(VLOOKUP(A155,[1]Tørstofindhold!A$2:B$24,2,FALSE),0)</f>
        <v>21.274710783003783</v>
      </c>
      <c r="W155" s="190">
        <f>J155*IFERROR(VLOOKUP(A155,[1]Tørstofindhold!A$2:B$24,2,FALSE),0)</f>
        <v>21.274710783003783</v>
      </c>
      <c r="X155" s="191">
        <f t="shared" si="51"/>
        <v>0</v>
      </c>
      <c r="Y155" s="171">
        <f t="shared" si="43"/>
        <v>0</v>
      </c>
      <c r="Z155" s="103">
        <f t="shared" si="44"/>
        <v>0</v>
      </c>
    </row>
    <row r="156" spans="1:26" hidden="1" x14ac:dyDescent="0.25">
      <c r="A156" s="190" t="s">
        <v>97</v>
      </c>
      <c r="B156" s="192"/>
      <c r="C156" s="192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2">
        <f t="shared" si="47"/>
        <v>2019</v>
      </c>
      <c r="E156" s="190" t="s">
        <v>24</v>
      </c>
      <c r="F156" s="193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15969.006082579654</v>
      </c>
      <c r="G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0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3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2">
        <f t="shared" si="48"/>
        <v>-13151.581373695415</v>
      </c>
      <c r="O156" s="193">
        <f t="shared" si="39"/>
        <v>0</v>
      </c>
      <c r="P156" s="203">
        <f t="shared" si="49"/>
        <v>0</v>
      </c>
      <c r="Q156" s="190">
        <f>IFERROR(VLOOKUP(A156,[1]Energiindhold!$A$2:$C$11,3,FALSE),IFERROR(VLOOKUP(A156,[1]Biogasudbytte!$A$2:$B$18,2,FALSE)*[1]Energiindhold!$C$10,0))*O156</f>
        <v>0</v>
      </c>
      <c r="R156" s="190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0">
        <f>IFERROR(VLOOKUP(A156,[1]Biogasudbytte!$A$2:$B$18,2,FALSE)*[1]Energiindhold!$C$10,0)*J156*IFERROR(VLOOKUP(A156,Biogasanlæg!$F$3:$G$8,2,FALSE),1)</f>
        <v>0</v>
      </c>
      <c r="T156" s="191">
        <f t="shared" si="50"/>
        <v>0</v>
      </c>
      <c r="U156" s="189">
        <f>O156*IFERROR(VLOOKUP(A156,[1]Tørstofindhold!A$2:B$24,2,FALSE),0)</f>
        <v>0</v>
      </c>
      <c r="V156" s="190">
        <f>IF(D156=År1,P156,SUM(O156,P156))*IFERROR(VLOOKUP(A156,[1]Tørstofindhold!A$2:B$24,2,FALSE),0)</f>
        <v>0</v>
      </c>
      <c r="W156" s="190">
        <f>J156*IFERROR(VLOOKUP(A156,[1]Tørstofindhold!A$2:B$24,2,FALSE),0)</f>
        <v>0</v>
      </c>
      <c r="X156" s="191">
        <f t="shared" si="51"/>
        <v>0</v>
      </c>
      <c r="Y156" s="171">
        <f t="shared" si="43"/>
        <v>0</v>
      </c>
      <c r="Z156" s="103">
        <f t="shared" si="44"/>
        <v>1</v>
      </c>
    </row>
    <row r="157" spans="1:26" hidden="1" x14ac:dyDescent="0.25">
      <c r="A157" s="190" t="s">
        <v>114</v>
      </c>
      <c r="B157" s="192"/>
      <c r="C157" s="192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2">
        <f t="shared" si="47"/>
        <v>2019</v>
      </c>
      <c r="E157" s="190" t="s">
        <v>24</v>
      </c>
      <c r="F157" s="193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612515.4514426298</v>
      </c>
      <c r="G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0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3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2">
        <f t="shared" si="48"/>
        <v>612515.4514426298</v>
      </c>
      <c r="O157" s="193">
        <f t="shared" si="39"/>
        <v>0</v>
      </c>
      <c r="P157" s="203">
        <f t="shared" si="49"/>
        <v>0</v>
      </c>
      <c r="Q157" s="190">
        <f>IFERROR(VLOOKUP(A157,[1]Energiindhold!$A$2:$C$11,3,FALSE),IFERROR(VLOOKUP(A157,[1]Biogasudbytte!$A$2:$B$18,2,FALSE)*[1]Energiindhold!$C$10,0))*O157</f>
        <v>0</v>
      </c>
      <c r="R157" s="190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0">
        <f>IFERROR(VLOOKUP(A157,[1]Biogasudbytte!$A$2:$B$18,2,FALSE)*[1]Energiindhold!$C$10,0)*J157*IFERROR(VLOOKUP(A157,Biogasanlæg!$F$3:$G$8,2,FALSE),1)</f>
        <v>0</v>
      </c>
      <c r="T157" s="191">
        <f t="shared" si="50"/>
        <v>0</v>
      </c>
      <c r="U157" s="189">
        <f>O157*IFERROR(VLOOKUP(A157,[1]Tørstofindhold!A$2:B$24,2,FALSE),0)</f>
        <v>0</v>
      </c>
      <c r="V157" s="190">
        <f>IF(D157=År1,P157,SUM(O157,P157))*IFERROR(VLOOKUP(A157,[1]Tørstofindhold!A$2:B$24,2,FALSE),0)</f>
        <v>0</v>
      </c>
      <c r="W157" s="190">
        <f>J157*IFERROR(VLOOKUP(A157,[1]Tørstofindhold!A$2:B$24,2,FALSE),0)</f>
        <v>0</v>
      </c>
      <c r="X157" s="191">
        <f t="shared" si="51"/>
        <v>0</v>
      </c>
      <c r="Y157" s="171">
        <f t="shared" si="43"/>
        <v>0</v>
      </c>
      <c r="Z157" s="103">
        <f t="shared" si="44"/>
        <v>1</v>
      </c>
    </row>
    <row r="158" spans="1:26" hidden="1" x14ac:dyDescent="0.25">
      <c r="A158" s="190" t="s">
        <v>54</v>
      </c>
      <c r="B158" s="192"/>
      <c r="C158" s="192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2">
        <f t="shared" si="47"/>
        <v>2019</v>
      </c>
      <c r="E158" s="190" t="s">
        <v>24</v>
      </c>
      <c r="F158" s="193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15804.526381892863</v>
      </c>
      <c r="G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0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3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2">
        <f t="shared" si="48"/>
        <v>-196999.76656780957</v>
      </c>
      <c r="O158" s="193">
        <f t="shared" si="39"/>
        <v>0</v>
      </c>
      <c r="P158" s="203">
        <f t="shared" si="49"/>
        <v>0</v>
      </c>
      <c r="Q158" s="190">
        <f>IFERROR(VLOOKUP(A158,[1]Energiindhold!$A$2:$C$11,3,FALSE),IFERROR(VLOOKUP(A158,[1]Biogasudbytte!$A$2:$B$18,2,FALSE)*[1]Energiindhold!$C$10,0))*O158</f>
        <v>0</v>
      </c>
      <c r="R158" s="190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0">
        <f>IFERROR(VLOOKUP(A158,[1]Biogasudbytte!$A$2:$B$18,2,FALSE)*[1]Energiindhold!$C$10,0)*J158*IFERROR(VLOOKUP(A158,Biogasanlæg!$F$3:$G$8,2,FALSE),1)</f>
        <v>0</v>
      </c>
      <c r="T158" s="191">
        <f t="shared" si="50"/>
        <v>0</v>
      </c>
      <c r="U158" s="189">
        <f>O158*IFERROR(VLOOKUP(A158,[1]Tørstofindhold!A$2:B$24,2,FALSE),0)</f>
        <v>0</v>
      </c>
      <c r="V158" s="190">
        <f>IF(D158=År1,P158,SUM(O158,P158))*IFERROR(VLOOKUP(A158,[1]Tørstofindhold!A$2:B$24,2,FALSE),0)</f>
        <v>0</v>
      </c>
      <c r="W158" s="190">
        <f>J158*IFERROR(VLOOKUP(A158,[1]Tørstofindhold!A$2:B$24,2,FALSE),0)</f>
        <v>0</v>
      </c>
      <c r="X158" s="191">
        <f t="shared" si="51"/>
        <v>0</v>
      </c>
      <c r="Y158" s="171">
        <f t="shared" si="43"/>
        <v>1</v>
      </c>
      <c r="Z158" s="103">
        <f t="shared" si="44"/>
        <v>0</v>
      </c>
    </row>
    <row r="159" spans="1:26" hidden="1" x14ac:dyDescent="0.25">
      <c r="A159" s="192" t="s">
        <v>159</v>
      </c>
      <c r="B159" s="192" t="s">
        <v>159</v>
      </c>
      <c r="C159" s="192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2">
        <f t="shared" si="47"/>
        <v>2019</v>
      </c>
      <c r="E159" s="190" t="s">
        <v>24</v>
      </c>
      <c r="F159" s="193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0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3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2">
        <f t="shared" si="48"/>
        <v>-28548.400000000001</v>
      </c>
      <c r="O159" s="193">
        <f t="shared" si="39"/>
        <v>0</v>
      </c>
      <c r="P159" s="203">
        <f t="shared" si="49"/>
        <v>28548.400000000001</v>
      </c>
      <c r="Q159" s="190">
        <f>IFERROR(VLOOKUP(A159,[1]Energiindhold!$A$2:$C$11,3,FALSE),IFERROR(VLOOKUP(A159,[1]Biogasudbytte!$A$2:$B$18,2,FALSE)*[1]Energiindhold!$C$10,0))*O159</f>
        <v>0</v>
      </c>
      <c r="R159" s="190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0">
        <f>IFERROR(VLOOKUP(A159,[1]Biogasudbytte!$A$2:$B$18,2,FALSE)*[1]Energiindhold!$C$10,0)*J159*IFERROR(VLOOKUP(A159,Biogasanlæg!$F$3:$G$8,2,FALSE),1)</f>
        <v>0.43389639740160008</v>
      </c>
      <c r="T159" s="191">
        <f t="shared" si="50"/>
        <v>0</v>
      </c>
      <c r="U159" s="189">
        <f>O159*IFERROR(VLOOKUP(A159,[1]Tørstofindhold!A$2:B$24,2,FALSE),0)</f>
        <v>0</v>
      </c>
      <c r="V159" s="190">
        <f>IF(D159=År1,P159,SUM(O159,P159))*IFERROR(VLOOKUP(A159,[1]Tørstofindhold!A$2:B$24,2,FALSE),0)</f>
        <v>25693.56</v>
      </c>
      <c r="W159" s="190">
        <f>J159*IFERROR(VLOOKUP(A159,[1]Tørstofindhold!A$2:B$24,2,FALSE),0)</f>
        <v>25693.56</v>
      </c>
      <c r="X159" s="191">
        <f t="shared" si="51"/>
        <v>0</v>
      </c>
      <c r="Y159" s="171">
        <f t="shared" si="43"/>
        <v>1</v>
      </c>
      <c r="Z159" s="103">
        <f t="shared" si="44"/>
        <v>0</v>
      </c>
    </row>
    <row r="160" spans="1:26" hidden="1" x14ac:dyDescent="0.25">
      <c r="A160" s="192" t="s">
        <v>51</v>
      </c>
      <c r="B160" s="192" t="s">
        <v>225</v>
      </c>
      <c r="C160" s="192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2">
        <f t="shared" si="47"/>
        <v>2019</v>
      </c>
      <c r="E160" s="190" t="s">
        <v>24</v>
      </c>
      <c r="F160" s="193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2079827.1270254222</v>
      </c>
      <c r="G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0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3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2">
        <f t="shared" si="48"/>
        <v>567828.21491337055</v>
      </c>
      <c r="O160" s="193">
        <f t="shared" si="39"/>
        <v>567828.21491337055</v>
      </c>
      <c r="P160" s="203">
        <f t="shared" si="49"/>
        <v>9930.836100337272</v>
      </c>
      <c r="Q160" s="190">
        <f>IFERROR(VLOOKUP(A160,[1]Energiindhold!$A$2:$C$11,3,FALSE),IFERROR(VLOOKUP(A160,[1]Biogasudbytte!$A$2:$B$18,2,FALSE)*[1]Energiindhold!$C$10,0))*O160</f>
        <v>1.0447329369137377</v>
      </c>
      <c r="R160" s="190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0">
        <f>IFERROR(VLOOKUP(A160,[1]Biogasudbytte!$A$2:$B$18,2,FALSE)*[1]Energiindhold!$C$10,0)*J160*IFERROR(VLOOKUP(A160,Biogasanlæg!$F$3:$G$8,2,FALSE),1)</f>
        <v>1.8271497070108039E-2</v>
      </c>
      <c r="T160" s="191">
        <f t="shared" si="50"/>
        <v>0</v>
      </c>
      <c r="U160" s="189">
        <f>O160*IFERROR(VLOOKUP(A160,[1]Tørstofindhold!A$2:B$24,2,FALSE),0)</f>
        <v>158991.90017574377</v>
      </c>
      <c r="V160" s="190">
        <f>IF(D160=År1,P160,SUM(O160,P160))*IFERROR(VLOOKUP(A160,[1]Tørstofindhold!A$2:B$24,2,FALSE),0)</f>
        <v>2780.6341080944362</v>
      </c>
      <c r="W160" s="190">
        <f>J160*IFERROR(VLOOKUP(A160,[1]Tørstofindhold!A$2:B$24,2,FALSE),0)</f>
        <v>2780.6341080944362</v>
      </c>
      <c r="X160" s="191">
        <f t="shared" si="51"/>
        <v>0</v>
      </c>
      <c r="Y160" s="171">
        <f t="shared" si="43"/>
        <v>0</v>
      </c>
      <c r="Z160" s="103">
        <f t="shared" si="44"/>
        <v>1</v>
      </c>
    </row>
    <row r="161" spans="1:26" hidden="1" x14ac:dyDescent="0.25">
      <c r="A161" s="192" t="s">
        <v>204</v>
      </c>
      <c r="B161" s="192"/>
      <c r="C161" s="192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2">
        <f t="shared" si="47"/>
        <v>2019</v>
      </c>
      <c r="E161" s="190" t="s">
        <v>24</v>
      </c>
      <c r="F161" s="193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0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3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2">
        <f t="shared" si="48"/>
        <v>0</v>
      </c>
      <c r="O161" s="193">
        <f t="shared" si="39"/>
        <v>0</v>
      </c>
      <c r="P161" s="203">
        <f t="shared" si="49"/>
        <v>0</v>
      </c>
      <c r="Q161" s="190">
        <f>IFERROR(VLOOKUP(A161,[1]Energiindhold!$A$2:$C$11,3,FALSE),IFERROR(VLOOKUP(A161,[1]Biogasudbytte!$A$2:$B$18,2,FALSE)*[1]Energiindhold!$C$10,0))*O161</f>
        <v>0</v>
      </c>
      <c r="R161" s="190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0">
        <f>IFERROR(VLOOKUP(A161,[1]Biogasudbytte!$A$2:$B$18,2,FALSE)*[1]Energiindhold!$C$10,0)*J161*IFERROR(VLOOKUP(A161,Biogasanlæg!$F$3:$G$8,2,FALSE),1)</f>
        <v>0</v>
      </c>
      <c r="T161" s="191">
        <f t="shared" si="50"/>
        <v>0</v>
      </c>
      <c r="U161" s="189">
        <f>O161*IFERROR(VLOOKUP(A161,[1]Tørstofindhold!A$2:B$24,2,FALSE),0)</f>
        <v>0</v>
      </c>
      <c r="V161" s="190">
        <f>IF(D161=År1,P161,SUM(O161,P161))*IFERROR(VLOOKUP(A161,[1]Tørstofindhold!A$2:B$24,2,FALSE),0)</f>
        <v>0</v>
      </c>
      <c r="W161" s="190">
        <f>J161*IFERROR(VLOOKUP(A161,[1]Tørstofindhold!A$2:B$24,2,FALSE),0)</f>
        <v>0</v>
      </c>
      <c r="X161" s="191">
        <f t="shared" si="51"/>
        <v>0</v>
      </c>
      <c r="Y161" s="171">
        <f t="shared" si="43"/>
        <v>0</v>
      </c>
      <c r="Z161" s="103">
        <f t="shared" si="44"/>
        <v>0</v>
      </c>
    </row>
    <row r="162" spans="1:26" hidden="1" x14ac:dyDescent="0.25">
      <c r="A162" s="192" t="s">
        <v>6</v>
      </c>
      <c r="B162" s="192"/>
      <c r="C162" s="192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2">
        <f t="shared" si="47"/>
        <v>2019</v>
      </c>
      <c r="E162" s="190" t="s">
        <v>24</v>
      </c>
      <c r="F162" s="193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96079.800747233821</v>
      </c>
      <c r="G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0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3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2">
        <f t="shared" si="48"/>
        <v>-126804.69555271766</v>
      </c>
      <c r="O162" s="193">
        <f t="shared" si="39"/>
        <v>0</v>
      </c>
      <c r="P162" s="203">
        <f t="shared" si="49"/>
        <v>0</v>
      </c>
      <c r="Q162" s="190">
        <f>IFERROR(VLOOKUP(A162,[1]Energiindhold!$A$2:$C$11,3,FALSE),IFERROR(VLOOKUP(A162,[1]Biogasudbytte!$A$2:$B$18,2,FALSE)*[1]Energiindhold!$C$10,0))*O162</f>
        <v>0</v>
      </c>
      <c r="R162" s="190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0">
        <f>IFERROR(VLOOKUP(A162,[1]Biogasudbytte!$A$2:$B$18,2,FALSE)*[1]Energiindhold!$C$10,0)*J162*IFERROR(VLOOKUP(A162,Biogasanlæg!$F$3:$G$8,2,FALSE),1)</f>
        <v>0</v>
      </c>
      <c r="T162" s="191">
        <f t="shared" si="50"/>
        <v>0</v>
      </c>
      <c r="U162" s="189">
        <f>O162*IFERROR(VLOOKUP(A162,[1]Tørstofindhold!A$2:B$24,2,FALSE),0)</f>
        <v>0</v>
      </c>
      <c r="V162" s="190">
        <f>IF(D162=År1,P162,SUM(O162,P162))*IFERROR(VLOOKUP(A162,[1]Tørstofindhold!A$2:B$24,2,FALSE),0)</f>
        <v>0</v>
      </c>
      <c r="W162" s="190">
        <f>J162*IFERROR(VLOOKUP(A162,[1]Tørstofindhold!A$2:B$24,2,FALSE),0)</f>
        <v>0</v>
      </c>
      <c r="X162" s="191">
        <f t="shared" si="51"/>
        <v>0</v>
      </c>
      <c r="Y162" s="171">
        <f t="shared" si="43"/>
        <v>1</v>
      </c>
      <c r="Z162" s="103">
        <f t="shared" si="44"/>
        <v>0</v>
      </c>
    </row>
    <row r="163" spans="1:26" hidden="1" x14ac:dyDescent="0.25">
      <c r="A163" s="192" t="s">
        <v>68</v>
      </c>
      <c r="B163" s="192" t="s">
        <v>228</v>
      </c>
      <c r="C163" s="192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2">
        <f t="shared" si="47"/>
        <v>2019</v>
      </c>
      <c r="E163" s="190" t="s">
        <v>24</v>
      </c>
      <c r="F163" s="193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955988.04344506538</v>
      </c>
      <c r="G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0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104128.58905499999</v>
      </c>
      <c r="I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3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2">
        <f t="shared" si="48"/>
        <v>0</v>
      </c>
      <c r="O163" s="193">
        <f t="shared" si="39"/>
        <v>0</v>
      </c>
      <c r="P163" s="203">
        <f t="shared" si="49"/>
        <v>756970.00635565282</v>
      </c>
      <c r="Q163" s="190">
        <f>IFERROR(VLOOKUP(A163,[1]Energiindhold!$A$2:$C$11,3,FALSE),IFERROR(VLOOKUP(A163,[1]Biogasudbytte!$A$2:$B$18,2,FALSE)*[1]Energiindhold!$C$10,0))*O163</f>
        <v>0</v>
      </c>
      <c r="R163" s="190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0">
        <f>IFERROR(VLOOKUP(A163,[1]Biogasudbytte!$A$2:$B$18,2,FALSE)*[1]Energiindhold!$C$10,0)*J163*IFERROR(VLOOKUP(A163,Biogasanlæg!$F$3:$G$8,2,FALSE),1)</f>
        <v>0.13142610267053248</v>
      </c>
      <c r="T163" s="191">
        <f t="shared" si="50"/>
        <v>7.5882895761801983</v>
      </c>
      <c r="U163" s="189">
        <f>O163*IFERROR(VLOOKUP(A163,[1]Tørstofindhold!A$2:B$24,2,FALSE),0)</f>
        <v>0</v>
      </c>
      <c r="V163" s="190">
        <f>IF(D163=År1,P163,SUM(O163,P163))*IFERROR(VLOOKUP(A163,[1]Tørstofindhold!A$2:B$24,2,FALSE),0)</f>
        <v>643424.50540230493</v>
      </c>
      <c r="W163" s="190">
        <f>J163*IFERROR(VLOOKUP(A163,[1]Tørstofindhold!A$2:B$24,2,FALSE),0)</f>
        <v>19375.841164913018</v>
      </c>
      <c r="X163" s="191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hidden="1" x14ac:dyDescent="0.25">
      <c r="A164" s="192" t="s">
        <v>163</v>
      </c>
      <c r="B164" s="192" t="s">
        <v>231</v>
      </c>
      <c r="C164" s="192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2">
        <f t="shared" si="47"/>
        <v>2019</v>
      </c>
      <c r="E164" s="190" t="s">
        <v>24</v>
      </c>
      <c r="F164" s="193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452346.51233766804</v>
      </c>
      <c r="G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0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3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2">
        <f t="shared" si="48"/>
        <v>0</v>
      </c>
      <c r="O164" s="193">
        <f t="shared" si="39"/>
        <v>0</v>
      </c>
      <c r="P164" s="203">
        <f t="shared" si="49"/>
        <v>452346.51233766804</v>
      </c>
      <c r="Q164" s="190">
        <f>IFERROR(VLOOKUP(A164,[1]Energiindhold!$A$2:$C$11,3,FALSE),IFERROR(VLOOKUP(A164,[1]Biogasudbytte!$A$2:$B$18,2,FALSE)*[1]Energiindhold!$C$10,0))*O164</f>
        <v>0</v>
      </c>
      <c r="R164" s="190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0">
        <f>IFERROR(VLOOKUP(A164,[1]Biogasudbytte!$A$2:$B$18,2,FALSE)*[1]Energiindhold!$C$10,0)*J164*IFERROR(VLOOKUP(A164,Biogasanlæg!$F$3:$G$8,2,FALSE),1)</f>
        <v>6.0961032399995807E-5</v>
      </c>
      <c r="T164" s="191">
        <f t="shared" si="50"/>
        <v>8.0747487919351268</v>
      </c>
      <c r="U164" s="189">
        <f>O164*IFERROR(VLOOKUP(A164,[1]Tørstofindhold!A$2:B$24,2,FALSE),0)</f>
        <v>0</v>
      </c>
      <c r="V164" s="190">
        <f>IF(D164=År1,P164,SUM(O164,P164))*IFERROR(VLOOKUP(A164,[1]Tørstofindhold!A$2:B$24,2,FALSE),0)</f>
        <v>135703.9537013004</v>
      </c>
      <c r="W164" s="190">
        <f>J164*IFERROR(VLOOKUP(A164,[1]Tørstofindhold!A$2:B$24,2,FALSE),0)</f>
        <v>10.77005642876839</v>
      </c>
      <c r="X164" s="191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hidden="1" x14ac:dyDescent="0.25">
      <c r="A165" s="190" t="s">
        <v>160</v>
      </c>
      <c r="B165" s="192"/>
      <c r="C165" s="192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2">
        <f t="shared" si="47"/>
        <v>2019</v>
      </c>
      <c r="E165" s="190" t="s">
        <v>24</v>
      </c>
      <c r="F165" s="193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0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3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2">
        <f t="shared" si="48"/>
        <v>-592646.72642582108</v>
      </c>
      <c r="O165" s="193">
        <f t="shared" si="39"/>
        <v>0</v>
      </c>
      <c r="P165" s="203">
        <f t="shared" si="49"/>
        <v>0</v>
      </c>
      <c r="Q165" s="190">
        <f>IFERROR(VLOOKUP(A165,[1]Energiindhold!$A$2:$C$11,3,FALSE),IFERROR(VLOOKUP(A165,[1]Biogasudbytte!$A$2:$B$18,2,FALSE)*[1]Energiindhold!$C$10,0))*O165</f>
        <v>0</v>
      </c>
      <c r="R165" s="190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0">
        <f>IFERROR(VLOOKUP(A165,[1]Biogasudbytte!$A$2:$B$18,2,FALSE)*[1]Energiindhold!$C$10,0)*J165*IFERROR(VLOOKUP(A165,Biogasanlæg!$F$3:$G$8,2,FALSE),1)</f>
        <v>0</v>
      </c>
      <c r="T165" s="191">
        <f t="shared" si="50"/>
        <v>0</v>
      </c>
      <c r="U165" s="189">
        <f>O165*IFERROR(VLOOKUP(A165,[1]Tørstofindhold!A$2:B$24,2,FALSE),0)</f>
        <v>0</v>
      </c>
      <c r="V165" s="190">
        <f>IF(D165=År1,P165,SUM(O165,P165))*IFERROR(VLOOKUP(A165,[1]Tørstofindhold!A$2:B$24,2,FALSE),0)</f>
        <v>0</v>
      </c>
      <c r="W165" s="190">
        <f>J165*IFERROR(VLOOKUP(A165,[1]Tørstofindhold!A$2:B$24,2,FALSE),0)</f>
        <v>0</v>
      </c>
      <c r="X165" s="191">
        <f t="shared" si="51"/>
        <v>0</v>
      </c>
      <c r="Y165" s="171">
        <f t="shared" si="43"/>
        <v>1</v>
      </c>
      <c r="Z165" s="103">
        <f t="shared" si="44"/>
        <v>0</v>
      </c>
    </row>
    <row r="166" spans="1:26" hidden="1" x14ac:dyDescent="0.25">
      <c r="A166" s="192" t="s">
        <v>104</v>
      </c>
      <c r="B166" s="192" t="s">
        <v>231</v>
      </c>
      <c r="C166" s="192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2">
        <f t="shared" si="47"/>
        <v>2019</v>
      </c>
      <c r="E166" s="190" t="s">
        <v>24</v>
      </c>
      <c r="F166" s="193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200279.74928693369</v>
      </c>
      <c r="G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0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3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2">
        <f t="shared" si="48"/>
        <v>-79270.498677373223</v>
      </c>
      <c r="O166" s="193">
        <f t="shared" si="39"/>
        <v>0</v>
      </c>
      <c r="P166" s="203">
        <f t="shared" si="49"/>
        <v>279550.24796430691</v>
      </c>
      <c r="Q166" s="190">
        <f>IFERROR(VLOOKUP(A166,[1]Energiindhold!$A$2:$C$11,3,FALSE),IFERROR(VLOOKUP(A166,[1]Biogasudbytte!$A$2:$B$18,2,FALSE)*[1]Energiindhold!$C$10,0))*O166</f>
        <v>0</v>
      </c>
      <c r="R166" s="190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0">
        <f>IFERROR(VLOOKUP(A166,[1]Biogasudbytte!$A$2:$B$18,2,FALSE)*[1]Energiindhold!$C$10,0)*J166*IFERROR(VLOOKUP(A166,Biogasanlæg!$F$3:$G$8,2,FALSE),1)</f>
        <v>1.0296284310673407</v>
      </c>
      <c r="T166" s="191">
        <f t="shared" si="50"/>
        <v>0</v>
      </c>
      <c r="U166" s="189">
        <f>O166*IFERROR(VLOOKUP(A166,[1]Tørstofindhold!A$2:B$24,2,FALSE),0)</f>
        <v>0</v>
      </c>
      <c r="V166" s="190">
        <f>IF(D166=År1,P166,SUM(O166,P166))*IFERROR(VLOOKUP(A166,[1]Tørstofindhold!A$2:B$24,2,FALSE),0)</f>
        <v>117411.1041450089</v>
      </c>
      <c r="W166" s="190">
        <f>J166*IFERROR(VLOOKUP(A166,[1]Tørstofindhold!A$2:B$24,2,FALSE),0)</f>
        <v>117411.1041450089</v>
      </c>
      <c r="X166" s="191">
        <f t="shared" si="51"/>
        <v>0</v>
      </c>
      <c r="Y166" s="171">
        <f t="shared" si="43"/>
        <v>1</v>
      </c>
      <c r="Z166" s="103">
        <f t="shared" si="44"/>
        <v>0</v>
      </c>
    </row>
    <row r="167" spans="1:26" hidden="1" x14ac:dyDescent="0.25">
      <c r="A167" s="192" t="s">
        <v>56</v>
      </c>
      <c r="B167" s="192"/>
      <c r="C167" s="192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2">
        <f t="shared" si="47"/>
        <v>2019</v>
      </c>
      <c r="E167" s="190" t="s">
        <v>24</v>
      </c>
      <c r="F167" s="193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145851.60720031991</v>
      </c>
      <c r="G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0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3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2">
        <f t="shared" si="48"/>
        <v>145851.60720031991</v>
      </c>
      <c r="O167" s="193">
        <f t="shared" si="39"/>
        <v>0</v>
      </c>
      <c r="P167" s="203">
        <f t="shared" si="49"/>
        <v>0</v>
      </c>
      <c r="Q167" s="190">
        <f>IFERROR(VLOOKUP(A167,[1]Energiindhold!$A$2:$C$11,3,FALSE),IFERROR(VLOOKUP(A167,[1]Biogasudbytte!$A$2:$B$18,2,FALSE)*[1]Energiindhold!$C$10,0))*O167</f>
        <v>0</v>
      </c>
      <c r="R167" s="190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0">
        <f>IFERROR(VLOOKUP(A167,[1]Biogasudbytte!$A$2:$B$18,2,FALSE)*[1]Energiindhold!$C$10,0)*J167*IFERROR(VLOOKUP(A167,Biogasanlæg!$F$3:$G$8,2,FALSE),1)</f>
        <v>0</v>
      </c>
      <c r="T167" s="191">
        <f t="shared" si="50"/>
        <v>0</v>
      </c>
      <c r="U167" s="189">
        <f>O167*IFERROR(VLOOKUP(A167,[1]Tørstofindhold!A$2:B$24,2,FALSE),0)</f>
        <v>0</v>
      </c>
      <c r="V167" s="190">
        <f>IF(D167=År1,P167,SUM(O167,P167))*IFERROR(VLOOKUP(A167,[1]Tørstofindhold!A$2:B$24,2,FALSE),0)</f>
        <v>0</v>
      </c>
      <c r="W167" s="190">
        <f>J167*IFERROR(VLOOKUP(A167,[1]Tørstofindhold!A$2:B$24,2,FALSE),0)</f>
        <v>0</v>
      </c>
      <c r="X167" s="191">
        <f t="shared" si="51"/>
        <v>0</v>
      </c>
      <c r="Y167" s="171">
        <f t="shared" si="43"/>
        <v>0</v>
      </c>
      <c r="Z167" s="103">
        <f t="shared" si="44"/>
        <v>1</v>
      </c>
    </row>
    <row r="168" spans="1:26" hidden="1" x14ac:dyDescent="0.25">
      <c r="A168" s="192" t="s">
        <v>12</v>
      </c>
      <c r="B168" s="192"/>
      <c r="C168" s="192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2">
        <f t="shared" si="47"/>
        <v>2019</v>
      </c>
      <c r="E168" s="190" t="s">
        <v>24</v>
      </c>
      <c r="F168" s="193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116414.7916544996</v>
      </c>
      <c r="G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0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3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2">
        <f t="shared" si="48"/>
        <v>14492.735557536857</v>
      </c>
      <c r="O168" s="193">
        <f t="shared" si="39"/>
        <v>0</v>
      </c>
      <c r="P168" s="203">
        <f t="shared" si="49"/>
        <v>0</v>
      </c>
      <c r="Q168" s="190">
        <f>IFERROR(VLOOKUP(A168,[1]Energiindhold!$A$2:$C$11,3,FALSE),IFERROR(VLOOKUP(A168,[1]Biogasudbytte!$A$2:$B$18,2,FALSE)*[1]Energiindhold!$C$10,0))*O168</f>
        <v>0</v>
      </c>
      <c r="R168" s="190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0">
        <f>IFERROR(VLOOKUP(A168,[1]Biogasudbytte!$A$2:$B$18,2,FALSE)*[1]Energiindhold!$C$10,0)*J168*IFERROR(VLOOKUP(A168,Biogasanlæg!$F$3:$G$8,2,FALSE),1)</f>
        <v>0</v>
      </c>
      <c r="T168" s="191">
        <f t="shared" si="50"/>
        <v>0</v>
      </c>
      <c r="U168" s="189">
        <f>O168*IFERROR(VLOOKUP(A168,[1]Tørstofindhold!A$2:B$24,2,FALSE),0)</f>
        <v>0</v>
      </c>
      <c r="V168" s="190">
        <f>IF(D168=År1,P168,SUM(O168,P168))*IFERROR(VLOOKUP(A168,[1]Tørstofindhold!A$2:B$24,2,FALSE),0)</f>
        <v>0</v>
      </c>
      <c r="W168" s="190">
        <f>J168*IFERROR(VLOOKUP(A168,[1]Tørstofindhold!A$2:B$24,2,FALSE),0)</f>
        <v>0</v>
      </c>
      <c r="X168" s="191">
        <f t="shared" si="51"/>
        <v>0</v>
      </c>
      <c r="Y168" s="171">
        <f t="shared" si="43"/>
        <v>0</v>
      </c>
      <c r="Z168" s="103">
        <f t="shared" si="44"/>
        <v>1</v>
      </c>
    </row>
    <row r="169" spans="1:26" hidden="1" x14ac:dyDescent="0.25">
      <c r="A169" s="192" t="s">
        <v>48</v>
      </c>
      <c r="B169" s="192" t="s">
        <v>228</v>
      </c>
      <c r="C169" s="192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2">
        <f t="shared" si="47"/>
        <v>2019</v>
      </c>
      <c r="E169" s="190" t="s">
        <v>24</v>
      </c>
      <c r="F169" s="193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2275797.9689121391</v>
      </c>
      <c r="G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0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3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2">
        <f t="shared" si="48"/>
        <v>1309065.6209408126</v>
      </c>
      <c r="O169" s="193">
        <f t="shared" si="39"/>
        <v>1309065.6209408126</v>
      </c>
      <c r="P169" s="203">
        <f t="shared" si="49"/>
        <v>945.81467090137289</v>
      </c>
      <c r="Q169" s="190">
        <f>IFERROR(VLOOKUP(A169,[1]Energiindhold!$A$2:$C$11,3,FALSE),IFERROR(VLOOKUP(A169,[1]Biogasudbytte!$A$2:$B$18,2,FALSE)*[1]Energiindhold!$C$10,0))*O169</f>
        <v>4.4833664825353523</v>
      </c>
      <c r="R169" s="190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0">
        <f>IFERROR(VLOOKUP(A169,[1]Biogasudbytte!$A$2:$B$18,2,FALSE)*[1]Energiindhold!$C$10,0)*J169*IFERROR(VLOOKUP(A169,Biogasanlæg!$F$3:$G$8,2,FALSE),1)</f>
        <v>3.2392828337832764E-3</v>
      </c>
      <c r="T169" s="191">
        <f t="shared" si="50"/>
        <v>0</v>
      </c>
      <c r="U169" s="189">
        <f>O169*IFERROR(VLOOKUP(A169,[1]Tørstofindhold!A$2:B$24,2,FALSE),0)</f>
        <v>405810.34249165189</v>
      </c>
      <c r="V169" s="190">
        <f>IF(D169=År1,P169,SUM(O169,P169))*IFERROR(VLOOKUP(A169,[1]Tørstofindhold!A$2:B$24,2,FALSE),0)</f>
        <v>293.20254797942562</v>
      </c>
      <c r="W169" s="190">
        <f>J169*IFERROR(VLOOKUP(A169,[1]Tørstofindhold!A$2:B$24,2,FALSE),0)</f>
        <v>293.20254797942562</v>
      </c>
      <c r="X169" s="191">
        <f t="shared" si="51"/>
        <v>0</v>
      </c>
      <c r="Y169" s="171">
        <f t="shared" si="43"/>
        <v>0</v>
      </c>
      <c r="Z169" s="103">
        <f t="shared" si="44"/>
        <v>1</v>
      </c>
    </row>
    <row r="170" spans="1:26" hidden="1" x14ac:dyDescent="0.25">
      <c r="A170" s="192" t="s">
        <v>116</v>
      </c>
      <c r="B170" s="192"/>
      <c r="C170" s="192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2">
        <f t="shared" si="47"/>
        <v>2019</v>
      </c>
      <c r="E170" s="190" t="s">
        <v>24</v>
      </c>
      <c r="F170" s="193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0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3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3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2">
        <f t="shared" ca="1" si="48"/>
        <v>-377069.89971696056</v>
      </c>
      <c r="O170" s="193">
        <f t="shared" si="39"/>
        <v>0</v>
      </c>
      <c r="P170" s="203">
        <f t="shared" si="49"/>
        <v>0</v>
      </c>
      <c r="Q170" s="190">
        <f>IFERROR(VLOOKUP(A170,[1]Energiindhold!$A$2:$C$11,3,FALSE),IFERROR(VLOOKUP(A170,[1]Biogasudbytte!$A$2:$B$18,2,FALSE)*[1]Energiindhold!$C$10,0))*O170</f>
        <v>0</v>
      </c>
      <c r="R170" s="190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0">
        <f>IFERROR(VLOOKUP(A170,[1]Biogasudbytte!$A$2:$B$18,2,FALSE)*[1]Energiindhold!$C$10,0)*J170*IFERROR(VLOOKUP(A170,Biogasanlæg!$F$3:$G$8,2,FALSE),1)</f>
        <v>0</v>
      </c>
      <c r="T170" s="191">
        <f t="shared" si="50"/>
        <v>0</v>
      </c>
      <c r="U170" s="189">
        <f>O170*IFERROR(VLOOKUP(A170,[1]Tørstofindhold!A$2:B$24,2,FALSE),0)</f>
        <v>0</v>
      </c>
      <c r="V170" s="190">
        <f>IF(D170=År1,P170,SUM(O170,P170))*IFERROR(VLOOKUP(A170,[1]Tørstofindhold!A$2:B$24,2,FALSE),0)</f>
        <v>0</v>
      </c>
      <c r="W170" s="190">
        <f>J170*IFERROR(VLOOKUP(A170,[1]Tørstofindhold!A$2:B$24,2,FALSE),0)</f>
        <v>0</v>
      </c>
      <c r="X170" s="191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hidden="1" x14ac:dyDescent="0.25">
      <c r="A171" s="192" t="s">
        <v>137</v>
      </c>
      <c r="B171" s="192" t="s">
        <v>223</v>
      </c>
      <c r="C171" s="192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2">
        <f t="shared" si="47"/>
        <v>2019</v>
      </c>
      <c r="E171" s="190" t="s">
        <v>24</v>
      </c>
      <c r="F171" s="193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925084.21922943438</v>
      </c>
      <c r="G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0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3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2">
        <f t="shared" si="48"/>
        <v>0</v>
      </c>
      <c r="O171" s="193">
        <f t="shared" si="39"/>
        <v>0</v>
      </c>
      <c r="P171" s="203">
        <f t="shared" si="49"/>
        <v>286645.05985025823</v>
      </c>
      <c r="Q171" s="190">
        <f>IFERROR(VLOOKUP(A171,[1]Energiindhold!$A$2:$C$11,3,FALSE),IFERROR(VLOOKUP(A171,[1]Biogasudbytte!$A$2:$B$18,2,FALSE)*[1]Energiindhold!$C$10,0))*O171</f>
        <v>0</v>
      </c>
      <c r="R171" s="190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0">
        <f>IFERROR(VLOOKUP(A171,[1]Biogasudbytte!$A$2:$B$18,2,FALSE)*[1]Energiindhold!$C$10,0)*J171*IFERROR(VLOOKUP(A171,Biogasanlæg!$F$3:$G$8,2,FALSE),1)</f>
        <v>0.14509686284560222</v>
      </c>
      <c r="T171" s="191">
        <f t="shared" si="50"/>
        <v>0</v>
      </c>
      <c r="U171" s="189">
        <f>O171*IFERROR(VLOOKUP(A171,[1]Tørstofindhold!A$2:B$24,2,FALSE),0)</f>
        <v>0</v>
      </c>
      <c r="V171" s="190">
        <f>IF(D171=År1,P171,SUM(O171,P171))*IFERROR(VLOOKUP(A171,[1]Tørstofindhold!A$2:B$24,2,FALSE),0)</f>
        <v>21785.024548619625</v>
      </c>
      <c r="W171" s="190">
        <f>J171*IFERROR(VLOOKUP(A171,[1]Tørstofindhold!A$2:B$24,2,FALSE),0)</f>
        <v>21785.024548619625</v>
      </c>
      <c r="X171" s="191">
        <f t="shared" si="51"/>
        <v>0</v>
      </c>
      <c r="Y171" s="171">
        <f t="shared" si="43"/>
        <v>0</v>
      </c>
      <c r="Z171" s="103">
        <f t="shared" si="44"/>
        <v>0</v>
      </c>
    </row>
    <row r="172" spans="1:26" hidden="1" x14ac:dyDescent="0.25">
      <c r="A172" s="192" t="s">
        <v>109</v>
      </c>
      <c r="B172" s="192"/>
      <c r="C172" s="192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2">
        <f t="shared" si="47"/>
        <v>2019</v>
      </c>
      <c r="E172" s="190" t="s">
        <v>24</v>
      </c>
      <c r="F172" s="193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115489.08079619991</v>
      </c>
      <c r="G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0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3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2">
        <f t="shared" si="48"/>
        <v>-70551.412916692323</v>
      </c>
      <c r="O172" s="193">
        <f t="shared" si="39"/>
        <v>0</v>
      </c>
      <c r="P172" s="203">
        <f t="shared" si="49"/>
        <v>0</v>
      </c>
      <c r="Q172" s="190">
        <f>IFERROR(VLOOKUP(A172,[1]Energiindhold!$A$2:$C$11,3,FALSE),IFERROR(VLOOKUP(A172,[1]Biogasudbytte!$A$2:$B$18,2,FALSE)*[1]Energiindhold!$C$10,0))*O172</f>
        <v>0</v>
      </c>
      <c r="R172" s="190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0">
        <f>IFERROR(VLOOKUP(A172,[1]Biogasudbytte!$A$2:$B$18,2,FALSE)*[1]Energiindhold!$C$10,0)*J172*IFERROR(VLOOKUP(A172,Biogasanlæg!$F$3:$G$8,2,FALSE),1)</f>
        <v>0</v>
      </c>
      <c r="T172" s="191">
        <f t="shared" si="50"/>
        <v>0</v>
      </c>
      <c r="U172" s="189">
        <f>O172*IFERROR(VLOOKUP(A172,[1]Tørstofindhold!A$2:B$24,2,FALSE),0)</f>
        <v>0</v>
      </c>
      <c r="V172" s="190">
        <f>IF(D172=År1,P172,SUM(O172,P172))*IFERROR(VLOOKUP(A172,[1]Tørstofindhold!A$2:B$24,2,FALSE),0)</f>
        <v>0</v>
      </c>
      <c r="W172" s="190">
        <f>J172*IFERROR(VLOOKUP(A172,[1]Tørstofindhold!A$2:B$24,2,FALSE),0)</f>
        <v>0</v>
      </c>
      <c r="X172" s="191">
        <f t="shared" si="51"/>
        <v>0</v>
      </c>
      <c r="Y172" s="171">
        <f t="shared" si="43"/>
        <v>0</v>
      </c>
      <c r="Z172" s="103">
        <f t="shared" si="44"/>
        <v>1</v>
      </c>
    </row>
    <row r="173" spans="1:26" hidden="1" x14ac:dyDescent="0.25">
      <c r="A173" s="190" t="s">
        <v>53</v>
      </c>
      <c r="B173" s="192" t="s">
        <v>225</v>
      </c>
      <c r="C173" s="192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2">
        <f t="shared" si="47"/>
        <v>2019</v>
      </c>
      <c r="E173" s="190" t="s">
        <v>24</v>
      </c>
      <c r="F173" s="193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366156.75807184458</v>
      </c>
      <c r="G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0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3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2">
        <f t="shared" si="48"/>
        <v>-343401.0681058818</v>
      </c>
      <c r="O173" s="193">
        <f t="shared" si="39"/>
        <v>0</v>
      </c>
      <c r="P173" s="203">
        <f t="shared" si="49"/>
        <v>15204.565068438918</v>
      </c>
      <c r="Q173" s="190">
        <f>IFERROR(VLOOKUP(A173,[1]Energiindhold!$A$2:$C$11,3,FALSE),IFERROR(VLOOKUP(A173,[1]Biogasudbytte!$A$2:$B$18,2,FALSE)*[1]Energiindhold!$C$10,0))*O173</f>
        <v>0</v>
      </c>
      <c r="R173" s="190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0">
        <f>IFERROR(VLOOKUP(A173,[1]Biogasudbytte!$A$2:$B$18,2,FALSE)*[1]Energiindhold!$C$10,0)*J173*IFERROR(VLOOKUP(A173,Biogasanlæg!$F$3:$G$8,2,FALSE),1)</f>
        <v>5.4584388595695719E-2</v>
      </c>
      <c r="T173" s="191">
        <f t="shared" si="50"/>
        <v>0</v>
      </c>
      <c r="U173" s="189">
        <f>O173*IFERROR(VLOOKUP(A173,[1]Tørstofindhold!A$2:B$24,2,FALSE),0)</f>
        <v>0</v>
      </c>
      <c r="V173" s="190">
        <f>IF(D173=År1,P173,SUM(O173,P173))*IFERROR(VLOOKUP(A173,[1]Tørstofindhold!A$2:B$24,2,FALSE),0)</f>
        <v>4561.3695205316753</v>
      </c>
      <c r="W173" s="190">
        <f>J173*IFERROR(VLOOKUP(A173,[1]Tørstofindhold!A$2:B$24,2,FALSE),0)</f>
        <v>4561.3695205316753</v>
      </c>
      <c r="X173" s="191">
        <f t="shared" si="51"/>
        <v>0</v>
      </c>
      <c r="Y173" s="171">
        <f t="shared" si="43"/>
        <v>0</v>
      </c>
      <c r="Z173" s="103">
        <f t="shared" si="44"/>
        <v>1</v>
      </c>
    </row>
    <row r="174" spans="1:26" hidden="1" x14ac:dyDescent="0.25">
      <c r="A174" s="192" t="s">
        <v>117</v>
      </c>
      <c r="B174" s="192"/>
      <c r="C174" s="192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2">
        <f t="shared" si="47"/>
        <v>2019</v>
      </c>
      <c r="E174" s="190" t="s">
        <v>24</v>
      </c>
      <c r="F174" s="193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222833.98833453824</v>
      </c>
      <c r="G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0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3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2">
        <f t="shared" si="48"/>
        <v>-166933.87454175885</v>
      </c>
      <c r="O174" s="193">
        <f t="shared" si="39"/>
        <v>0</v>
      </c>
      <c r="P174" s="203">
        <f t="shared" si="49"/>
        <v>0</v>
      </c>
      <c r="Q174" s="190">
        <f>IFERROR(VLOOKUP(A174,[1]Energiindhold!$A$2:$C$11,3,FALSE),IFERROR(VLOOKUP(A174,[1]Biogasudbytte!$A$2:$B$18,2,FALSE)*[1]Energiindhold!$C$10,0))*O174</f>
        <v>0</v>
      </c>
      <c r="R174" s="190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0">
        <f>IFERROR(VLOOKUP(A174,[1]Biogasudbytte!$A$2:$B$18,2,FALSE)*[1]Energiindhold!$C$10,0)*J174*IFERROR(VLOOKUP(A174,Biogasanlæg!$F$3:$G$8,2,FALSE),1)</f>
        <v>0</v>
      </c>
      <c r="T174" s="191">
        <f t="shared" si="50"/>
        <v>0</v>
      </c>
      <c r="U174" s="189">
        <f>O174*IFERROR(VLOOKUP(A174,[1]Tørstofindhold!A$2:B$24,2,FALSE),0)</f>
        <v>0</v>
      </c>
      <c r="V174" s="190">
        <f>IF(D174=År1,P174,SUM(O174,P174))*IFERROR(VLOOKUP(A174,[1]Tørstofindhold!A$2:B$24,2,FALSE),0)</f>
        <v>0</v>
      </c>
      <c r="W174" s="190">
        <f>J174*IFERROR(VLOOKUP(A174,[1]Tørstofindhold!A$2:B$24,2,FALSE),0)</f>
        <v>0</v>
      </c>
      <c r="X174" s="191">
        <f t="shared" si="51"/>
        <v>0</v>
      </c>
      <c r="Y174" s="171">
        <f t="shared" si="43"/>
        <v>0</v>
      </c>
      <c r="Z174" s="103">
        <f t="shared" si="44"/>
        <v>1</v>
      </c>
    </row>
    <row r="175" spans="1:26" hidden="1" x14ac:dyDescent="0.25">
      <c r="A175" s="192" t="s">
        <v>107</v>
      </c>
      <c r="B175" s="192" t="s">
        <v>227</v>
      </c>
      <c r="C175" s="192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2">
        <f t="shared" si="47"/>
        <v>2019</v>
      </c>
      <c r="E175" s="190" t="s">
        <v>24</v>
      </c>
      <c r="F175" s="193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1.1976865502381491</v>
      </c>
      <c r="G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0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3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2">
        <f t="shared" si="48"/>
        <v>1.1976865502381491</v>
      </c>
      <c r="O175" s="193">
        <f t="shared" si="39"/>
        <v>1.1976865502381491</v>
      </c>
      <c r="P175" s="203">
        <f t="shared" si="49"/>
        <v>0</v>
      </c>
      <c r="Q175" s="190">
        <f>IFERROR(VLOOKUP(A175,[1]Energiindhold!$A$2:$C$11,3,FALSE),IFERROR(VLOOKUP(A175,[1]Biogasudbytte!$A$2:$B$18,2,FALSE)*[1]Energiindhold!$C$10,0))*O175</f>
        <v>1.0749236788387388E-6</v>
      </c>
      <c r="R175" s="190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0">
        <f>IFERROR(VLOOKUP(A175,[1]Biogasudbytte!$A$2:$B$18,2,FALSE)*[1]Energiindhold!$C$10,0)*J175*IFERROR(VLOOKUP(A175,Biogasanlæg!$F$3:$G$8,2,FALSE),1)</f>
        <v>0</v>
      </c>
      <c r="T175" s="191">
        <f t="shared" si="50"/>
        <v>0</v>
      </c>
      <c r="U175" s="189">
        <f>O175*IFERROR(VLOOKUP(A175,[1]Tørstofindhold!A$2:B$24,2,FALSE),0)</f>
        <v>0.17965298253572234</v>
      </c>
      <c r="V175" s="190">
        <f>IF(D175=År1,P175,SUM(O175,P175))*IFERROR(VLOOKUP(A175,[1]Tørstofindhold!A$2:B$24,2,FALSE),0)</f>
        <v>0</v>
      </c>
      <c r="W175" s="190">
        <f>J175*IFERROR(VLOOKUP(A175,[1]Tørstofindhold!A$2:B$24,2,FALSE),0)</f>
        <v>0</v>
      </c>
      <c r="X175" s="191">
        <f t="shared" si="51"/>
        <v>0</v>
      </c>
      <c r="Y175" s="171">
        <f t="shared" si="43"/>
        <v>0</v>
      </c>
      <c r="Z175" s="103">
        <f t="shared" si="44"/>
        <v>1</v>
      </c>
    </row>
    <row r="176" spans="1:26" hidden="1" x14ac:dyDescent="0.25">
      <c r="A176" s="192" t="s">
        <v>14</v>
      </c>
      <c r="B176" s="192"/>
      <c r="C176" s="192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2">
        <f t="shared" si="47"/>
        <v>2019</v>
      </c>
      <c r="E176" s="190" t="s">
        <v>24</v>
      </c>
      <c r="F176" s="193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7577.0634215631153</v>
      </c>
      <c r="G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0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3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2">
        <f t="shared" si="48"/>
        <v>-41950.335705993944</v>
      </c>
      <c r="O176" s="193">
        <f t="shared" si="39"/>
        <v>0</v>
      </c>
      <c r="P176" s="203">
        <f t="shared" si="49"/>
        <v>0</v>
      </c>
      <c r="Q176" s="190">
        <f>IFERROR(VLOOKUP(A176,[1]Energiindhold!$A$2:$C$11,3,FALSE),IFERROR(VLOOKUP(A176,[1]Biogasudbytte!$A$2:$B$18,2,FALSE)*[1]Energiindhold!$C$10,0))*O176</f>
        <v>0</v>
      </c>
      <c r="R176" s="190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0">
        <f>IFERROR(VLOOKUP(A176,[1]Biogasudbytte!$A$2:$B$18,2,FALSE)*[1]Energiindhold!$C$10,0)*J176*IFERROR(VLOOKUP(A176,Biogasanlæg!$F$3:$G$8,2,FALSE),1)</f>
        <v>0</v>
      </c>
      <c r="T176" s="191">
        <f t="shared" si="50"/>
        <v>0</v>
      </c>
      <c r="U176" s="189">
        <f>O176*IFERROR(VLOOKUP(A176,[1]Tørstofindhold!A$2:B$24,2,FALSE),0)</f>
        <v>0</v>
      </c>
      <c r="V176" s="190">
        <f>IF(D176=År1,P176,SUM(O176,P176))*IFERROR(VLOOKUP(A176,[1]Tørstofindhold!A$2:B$24,2,FALSE),0)</f>
        <v>0</v>
      </c>
      <c r="W176" s="190">
        <f>J176*IFERROR(VLOOKUP(A176,[1]Tørstofindhold!A$2:B$24,2,FALSE),0)</f>
        <v>0</v>
      </c>
      <c r="X176" s="191">
        <f t="shared" si="51"/>
        <v>0</v>
      </c>
      <c r="Y176" s="171">
        <f t="shared" si="43"/>
        <v>0</v>
      </c>
      <c r="Z176" s="103">
        <f t="shared" si="44"/>
        <v>1</v>
      </c>
    </row>
    <row r="177" spans="1:26" hidden="1" x14ac:dyDescent="0.25">
      <c r="A177" s="192" t="s">
        <v>55</v>
      </c>
      <c r="B177" s="192"/>
      <c r="C177" s="192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2">
        <f t="shared" si="47"/>
        <v>2019</v>
      </c>
      <c r="E177" s="190" t="s">
        <v>24</v>
      </c>
      <c r="F177" s="193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396057.87190930446</v>
      </c>
      <c r="G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0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3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2">
        <f t="shared" si="48"/>
        <v>396057.87190930446</v>
      </c>
      <c r="O177" s="193">
        <f t="shared" si="39"/>
        <v>0</v>
      </c>
      <c r="P177" s="203">
        <f t="shared" si="49"/>
        <v>0</v>
      </c>
      <c r="Q177" s="190">
        <f>IFERROR(VLOOKUP(A177,[1]Energiindhold!$A$2:$C$11,3,FALSE),IFERROR(VLOOKUP(A177,[1]Biogasudbytte!$A$2:$B$18,2,FALSE)*[1]Energiindhold!$C$10,0))*O177</f>
        <v>0</v>
      </c>
      <c r="R177" s="190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0">
        <f>IFERROR(VLOOKUP(A177,[1]Biogasudbytte!$A$2:$B$18,2,FALSE)*[1]Energiindhold!$C$10,0)*J177*IFERROR(VLOOKUP(A177,Biogasanlæg!$F$3:$G$8,2,FALSE),1)</f>
        <v>0</v>
      </c>
      <c r="T177" s="191">
        <f t="shared" si="50"/>
        <v>0</v>
      </c>
      <c r="U177" s="189">
        <f>O177*IFERROR(VLOOKUP(A177,[1]Tørstofindhold!A$2:B$24,2,FALSE),0)</f>
        <v>0</v>
      </c>
      <c r="V177" s="190">
        <f>IF(D177=År1,P177,SUM(O177,P177))*IFERROR(VLOOKUP(A177,[1]Tørstofindhold!A$2:B$24,2,FALSE),0)</f>
        <v>0</v>
      </c>
      <c r="W177" s="190">
        <f>J177*IFERROR(VLOOKUP(A177,[1]Tørstofindhold!A$2:B$24,2,FALSE),0)</f>
        <v>0</v>
      </c>
      <c r="X177" s="191">
        <f t="shared" si="51"/>
        <v>0</v>
      </c>
      <c r="Y177" s="171">
        <f t="shared" si="43"/>
        <v>0</v>
      </c>
      <c r="Z177" s="103">
        <f t="shared" si="44"/>
        <v>1</v>
      </c>
    </row>
    <row r="178" spans="1:26" hidden="1" x14ac:dyDescent="0.25">
      <c r="A178" s="192" t="s">
        <v>96</v>
      </c>
      <c r="B178" s="192" t="s">
        <v>226</v>
      </c>
      <c r="C178" s="192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2">
        <f t="shared" si="47"/>
        <v>2019</v>
      </c>
      <c r="E178" s="190" t="s">
        <v>24</v>
      </c>
      <c r="F178" s="193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37577.319945022478</v>
      </c>
      <c r="G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0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3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2">
        <f t="shared" si="48"/>
        <v>0</v>
      </c>
      <c r="O178" s="193">
        <f t="shared" si="39"/>
        <v>0</v>
      </c>
      <c r="P178" s="203">
        <f t="shared" si="49"/>
        <v>37577.319945022478</v>
      </c>
      <c r="Q178" s="190">
        <f>IFERROR(VLOOKUP(A178,[1]Energiindhold!$A$2:$C$11,3,FALSE),IFERROR(VLOOKUP(A178,[1]Biogasudbytte!$A$2:$B$18,2,FALSE)*[1]Energiindhold!$C$10,0))*O178</f>
        <v>0</v>
      </c>
      <c r="R178" s="190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0">
        <f>IFERROR(VLOOKUP(A178,[1]Biogasudbytte!$A$2:$B$18,2,FALSE)*[1]Energiindhold!$C$10,0)*J178*IFERROR(VLOOKUP(A178,Biogasanlæg!$F$3:$G$8,2,FALSE),1)</f>
        <v>0</v>
      </c>
      <c r="T178" s="191">
        <f t="shared" si="50"/>
        <v>0.69142268698841347</v>
      </c>
      <c r="U178" s="189">
        <f>O178*IFERROR(VLOOKUP(A178,[1]Tørstofindhold!A$2:B$24,2,FALSE),0)</f>
        <v>0</v>
      </c>
      <c r="V178" s="190">
        <f>IF(D178=År1,P178,SUM(O178,P178))*IFERROR(VLOOKUP(A178,[1]Tørstofindhold!A$2:B$24,2,FALSE),0)</f>
        <v>15594.58777718433</v>
      </c>
      <c r="W178" s="190">
        <f>J178*IFERROR(VLOOKUP(A178,[1]Tørstofindhold!A$2:B$24,2,FALSE),0)</f>
        <v>0</v>
      </c>
      <c r="X178" s="191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hidden="1" x14ac:dyDescent="0.25">
      <c r="A179" s="192" t="s">
        <v>316</v>
      </c>
      <c r="B179" s="192" t="s">
        <v>322</v>
      </c>
      <c r="C179" s="192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2">
        <f t="shared" si="47"/>
        <v>2019</v>
      </c>
      <c r="E179" s="190" t="s">
        <v>24</v>
      </c>
      <c r="F179" s="193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0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3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2">
        <f t="shared" ref="N179:N180" si="52">F179-SUM(G179:M179)</f>
        <v>0</v>
      </c>
      <c r="O179" s="193">
        <f t="shared" si="39"/>
        <v>0</v>
      </c>
      <c r="P179" s="203">
        <f t="shared" ref="P179:P180" si="53">SUM(J179,L179)</f>
        <v>0</v>
      </c>
      <c r="Q179" s="190">
        <f>IFERROR(VLOOKUP(A179,[1]Energiindhold!$A$2:$C$11,3,FALSE),IFERROR(VLOOKUP(A179,[1]Biogasudbytte!$A$2:$B$18,2,FALSE)*[1]Energiindhold!$C$10,0))*O179</f>
        <v>0</v>
      </c>
      <c r="R179" s="190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0">
        <f>IFERROR(VLOOKUP(A179,[1]Biogasudbytte!$A$2:$B$18,2,FALSE)*[1]Energiindhold!$C$10,0)*J179*IFERROR(VLOOKUP(A179,Biogasanlæg!$F$3:$G$8,2,FALSE),1)</f>
        <v>0</v>
      </c>
      <c r="T179" s="191">
        <f t="shared" ref="T179:T180" si="54">R179-S179</f>
        <v>0</v>
      </c>
      <c r="U179" s="189">
        <f>O179*IFERROR(VLOOKUP(A179,[1]Tørstofindhold!A$2:B$24,2,FALSE),0)</f>
        <v>0</v>
      </c>
      <c r="V179" s="190">
        <f>IF(D179=År1,P179,SUM(O179,P179))*IFERROR(VLOOKUP(A179,[1]Tørstofindhold!A$2:B$24,2,FALSE),0)</f>
        <v>0</v>
      </c>
      <c r="W179" s="190">
        <f>J179*IFERROR(VLOOKUP(A179,[1]Tørstofindhold!A$2:B$24,2,FALSE),0)</f>
        <v>0</v>
      </c>
      <c r="X179" s="191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hidden="1" x14ac:dyDescent="0.25">
      <c r="A180" s="192" t="s">
        <v>317</v>
      </c>
      <c r="B180" s="192" t="s">
        <v>322</v>
      </c>
      <c r="C180" s="192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2">
        <f t="shared" si="47"/>
        <v>2019</v>
      </c>
      <c r="E180" s="190" t="s">
        <v>24</v>
      </c>
      <c r="F180" s="193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0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3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2">
        <f t="shared" si="52"/>
        <v>0</v>
      </c>
      <c r="O180" s="193">
        <f t="shared" si="39"/>
        <v>0</v>
      </c>
      <c r="P180" s="203">
        <f t="shared" si="53"/>
        <v>0</v>
      </c>
      <c r="Q180" s="190">
        <f>IFERROR(VLOOKUP(A180,[1]Energiindhold!$A$2:$C$11,3,FALSE),IFERROR(VLOOKUP(A180,[1]Biogasudbytte!$A$2:$B$18,2,FALSE)*[1]Energiindhold!$C$10,0))*O180</f>
        <v>0</v>
      </c>
      <c r="R180" s="190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0">
        <f>IFERROR(VLOOKUP(A180,[1]Biogasudbytte!$A$2:$B$18,2,FALSE)*[1]Energiindhold!$C$10,0)*J180*IFERROR(VLOOKUP(A180,Biogasanlæg!$F$3:$G$8,2,FALSE),1)</f>
        <v>0</v>
      </c>
      <c r="T180" s="191">
        <f t="shared" si="54"/>
        <v>0</v>
      </c>
      <c r="U180" s="189">
        <f>O180*IFERROR(VLOOKUP(A180,[1]Tørstofindhold!A$2:B$24,2,FALSE),0)</f>
        <v>0</v>
      </c>
      <c r="V180" s="190">
        <f>IF(D180=År1,P180,SUM(O180,P180))*IFERROR(VLOOKUP(A180,[1]Tørstofindhold!A$2:B$24,2,FALSE),0)</f>
        <v>0</v>
      </c>
      <c r="W180" s="190">
        <f>J180*IFERROR(VLOOKUP(A180,[1]Tørstofindhold!A$2:B$24,2,FALSE),0)</f>
        <v>0</v>
      </c>
      <c r="X180" s="191">
        <f t="shared" si="55"/>
        <v>0</v>
      </c>
      <c r="Y180" s="171">
        <f t="shared" si="43"/>
        <v>0</v>
      </c>
      <c r="Z180" s="103">
        <f t="shared" si="44"/>
        <v>0</v>
      </c>
    </row>
    <row r="181" spans="1:26" hidden="1" x14ac:dyDescent="0.25">
      <c r="A181" s="192" t="s">
        <v>118</v>
      </c>
      <c r="B181" s="192"/>
      <c r="C181" s="192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2">
        <f t="shared" si="47"/>
        <v>2019</v>
      </c>
      <c r="E181" s="190" t="s">
        <v>24</v>
      </c>
      <c r="F181" s="193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346998.01962126989</v>
      </c>
      <c r="G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0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3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2">
        <f t="shared" si="48"/>
        <v>346998.01962126989</v>
      </c>
      <c r="O181" s="193">
        <f t="shared" si="39"/>
        <v>0</v>
      </c>
      <c r="P181" s="203">
        <f t="shared" si="49"/>
        <v>0</v>
      </c>
      <c r="Q181" s="190">
        <f>IFERROR(VLOOKUP(A181,[1]Energiindhold!$A$2:$C$11,3,FALSE),IFERROR(VLOOKUP(A181,[1]Biogasudbytte!$A$2:$B$18,2,FALSE)*[1]Energiindhold!$C$10,0))*O181</f>
        <v>0</v>
      </c>
      <c r="R181" s="190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0">
        <f>IFERROR(VLOOKUP(A181,[1]Biogasudbytte!$A$2:$B$18,2,FALSE)*[1]Energiindhold!$C$10,0)*J181*IFERROR(VLOOKUP(A181,Biogasanlæg!$F$3:$G$8,2,FALSE),1)</f>
        <v>0</v>
      </c>
      <c r="T181" s="191">
        <f t="shared" si="50"/>
        <v>0</v>
      </c>
      <c r="U181" s="189">
        <f>O181*IFERROR(VLOOKUP(A181,[1]Tørstofindhold!A$2:B$24,2,FALSE),0)</f>
        <v>0</v>
      </c>
      <c r="V181" s="190">
        <f>IF(D181=År1,P181,SUM(O181,P181))*IFERROR(VLOOKUP(A181,[1]Tørstofindhold!A$2:B$24,2,FALSE),0)</f>
        <v>0</v>
      </c>
      <c r="W181" s="190">
        <f>J181*IFERROR(VLOOKUP(A181,[1]Tørstofindhold!A$2:B$24,2,FALSE),0)</f>
        <v>0</v>
      </c>
      <c r="X181" s="191">
        <f t="shared" si="51"/>
        <v>0</v>
      </c>
      <c r="Y181" s="171">
        <f t="shared" si="43"/>
        <v>0</v>
      </c>
      <c r="Z181" s="103">
        <f t="shared" si="44"/>
        <v>1</v>
      </c>
    </row>
    <row r="182" spans="1:26" hidden="1" x14ac:dyDescent="0.25">
      <c r="A182" s="190" t="s">
        <v>50</v>
      </c>
      <c r="B182" s="192"/>
      <c r="C182" s="192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2">
        <f t="shared" si="47"/>
        <v>2019</v>
      </c>
      <c r="E182" s="190" t="s">
        <v>24</v>
      </c>
      <c r="F182" s="193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193574.13238370849</v>
      </c>
      <c r="G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0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3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2">
        <f t="shared" si="48"/>
        <v>0</v>
      </c>
      <c r="O182" s="193">
        <f t="shared" si="39"/>
        <v>0</v>
      </c>
      <c r="P182" s="203">
        <f t="shared" si="49"/>
        <v>0</v>
      </c>
      <c r="Q182" s="190">
        <f>IFERROR(VLOOKUP(A182,[1]Energiindhold!$A$2:$C$11,3,FALSE),IFERROR(VLOOKUP(A182,[1]Biogasudbytte!$A$2:$B$18,2,FALSE)*[1]Energiindhold!$C$10,0))*O182</f>
        <v>0</v>
      </c>
      <c r="R182" s="190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0">
        <f>IFERROR(VLOOKUP(A182,[1]Biogasudbytte!$A$2:$B$18,2,FALSE)*[1]Energiindhold!$C$10,0)*J182*IFERROR(VLOOKUP(A182,Biogasanlæg!$F$3:$G$8,2,FALSE),1)</f>
        <v>0</v>
      </c>
      <c r="T182" s="191">
        <f t="shared" si="50"/>
        <v>0</v>
      </c>
      <c r="U182" s="189">
        <f>O182*IFERROR(VLOOKUP(A182,[1]Tørstofindhold!A$2:B$24,2,FALSE),0)</f>
        <v>0</v>
      </c>
      <c r="V182" s="190">
        <f>IF(D182=År1,P182,SUM(O182,P182))*IFERROR(VLOOKUP(A182,[1]Tørstofindhold!A$2:B$24,2,FALSE),0)</f>
        <v>0</v>
      </c>
      <c r="W182" s="190">
        <f>J182*IFERROR(VLOOKUP(A182,[1]Tørstofindhold!A$2:B$24,2,FALSE),0)</f>
        <v>0</v>
      </c>
      <c r="X182" s="191">
        <f t="shared" si="51"/>
        <v>0</v>
      </c>
      <c r="Y182" s="171">
        <f t="shared" si="43"/>
        <v>0</v>
      </c>
      <c r="Z182" s="103">
        <f t="shared" si="44"/>
        <v>0</v>
      </c>
    </row>
    <row r="183" spans="1:26" hidden="1" x14ac:dyDescent="0.25">
      <c r="A183" s="190" t="s">
        <v>239</v>
      </c>
      <c r="B183" s="192"/>
      <c r="C183" s="192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2">
        <f t="shared" si="47"/>
        <v>2019</v>
      </c>
      <c r="E183" s="190" t="s">
        <v>24</v>
      </c>
      <c r="F183" s="193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96787.066191854246</v>
      </c>
      <c r="G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0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3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2">
        <f t="shared" si="48"/>
        <v>70508.296689855866</v>
      </c>
      <c r="O183" s="193">
        <f t="shared" si="39"/>
        <v>0</v>
      </c>
      <c r="P183" s="203">
        <f t="shared" si="49"/>
        <v>0</v>
      </c>
      <c r="Q183" s="190">
        <f>IFERROR(VLOOKUP(A183,[1]Energiindhold!$A$2:$C$11,3,FALSE),IFERROR(VLOOKUP(A183,[1]Biogasudbytte!$A$2:$B$18,2,FALSE)*[1]Energiindhold!$C$10,0))*O183</f>
        <v>0</v>
      </c>
      <c r="R183" s="190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0">
        <f>IFERROR(VLOOKUP(A183,[1]Biogasudbytte!$A$2:$B$18,2,FALSE)*[1]Energiindhold!$C$10,0)*J183*IFERROR(VLOOKUP(A183,Biogasanlæg!$F$3:$G$8,2,FALSE),1)</f>
        <v>0</v>
      </c>
      <c r="T183" s="191">
        <f t="shared" si="50"/>
        <v>0</v>
      </c>
      <c r="U183" s="189">
        <f>O183*IFERROR(VLOOKUP(A183,[1]Tørstofindhold!A$2:B$24,2,FALSE),0)</f>
        <v>0</v>
      </c>
      <c r="V183" s="190">
        <f>IF(D183=År1,P183,SUM(O183,P183))*IFERROR(VLOOKUP(A183,[1]Tørstofindhold!A$2:B$24,2,FALSE),0)</f>
        <v>0</v>
      </c>
      <c r="W183" s="190">
        <f>J183*IFERROR(VLOOKUP(A183,[1]Tørstofindhold!A$2:B$24,2,FALSE),0)</f>
        <v>0</v>
      </c>
      <c r="X183" s="191">
        <f t="shared" si="51"/>
        <v>0</v>
      </c>
      <c r="Y183" s="171">
        <f t="shared" si="43"/>
        <v>0</v>
      </c>
      <c r="Z183" s="103">
        <f t="shared" si="44"/>
        <v>1</v>
      </c>
    </row>
    <row r="184" spans="1:26" hidden="1" x14ac:dyDescent="0.25">
      <c r="A184" s="190" t="s">
        <v>232</v>
      </c>
      <c r="B184" s="192" t="s">
        <v>232</v>
      </c>
      <c r="C184" s="192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2">
        <f t="shared" si="47"/>
        <v>2019</v>
      </c>
      <c r="E184" s="190" t="s">
        <v>24</v>
      </c>
      <c r="F184" s="193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61943.722362786721</v>
      </c>
      <c r="G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0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3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2">
        <f t="shared" si="48"/>
        <v>0</v>
      </c>
      <c r="O184" s="193">
        <f t="shared" si="39"/>
        <v>0</v>
      </c>
      <c r="P184" s="203">
        <f t="shared" si="49"/>
        <v>32210.735628649098</v>
      </c>
      <c r="Q184" s="190">
        <f>IFERROR(VLOOKUP(A184,[1]Energiindhold!$A$2:$C$11,3,FALSE),IFERROR(VLOOKUP(A184,[1]Biogasudbytte!$A$2:$B$18,2,FALSE)*[1]Energiindhold!$C$10,0))*O184</f>
        <v>0</v>
      </c>
      <c r="R184" s="190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90">
        <f>IFERROR(VLOOKUP(A184,[1]Biogasudbytte!$A$2:$B$18,2,FALSE)*[1]Energiindhold!$C$10,0)*J184*IFERROR(VLOOKUP(A184,Biogasanlæg!$F$3:$G$8,2,FALSE),1)</f>
        <v>0</v>
      </c>
      <c r="T184" s="191">
        <f t="shared" si="50"/>
        <v>1.1273757470027184</v>
      </c>
      <c r="U184" s="189">
        <f>O184*IFERROR(VLOOKUP(A184,[1]Tørstofindhold!A$2:B$24,2,FALSE),0)</f>
        <v>0</v>
      </c>
      <c r="V184" s="190">
        <f>IF(D184=År1,P184,SUM(O184,P184))*IFERROR(VLOOKUP(A184,[1]Tørstofindhold!A$2:B$24,2,FALSE),0)</f>
        <v>0</v>
      </c>
      <c r="W184" s="190">
        <f>J184*IFERROR(VLOOKUP(A184,[1]Tørstofindhold!A$2:B$24,2,FALSE),0)</f>
        <v>0</v>
      </c>
      <c r="X184" s="191">
        <f t="shared" si="51"/>
        <v>0</v>
      </c>
      <c r="Y184" s="171">
        <f t="shared" si="43"/>
        <v>0</v>
      </c>
      <c r="Z184" s="103">
        <f t="shared" si="44"/>
        <v>0</v>
      </c>
    </row>
    <row r="185" spans="1:26" hidden="1" x14ac:dyDescent="0.25">
      <c r="A185" s="190" t="s">
        <v>52</v>
      </c>
      <c r="B185" s="192" t="s">
        <v>225</v>
      </c>
      <c r="C185" s="192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2">
        <f t="shared" si="47"/>
        <v>2019</v>
      </c>
      <c r="E185" s="190" t="s">
        <v>24</v>
      </c>
      <c r="F185" s="193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2252973.7408705982</v>
      </c>
      <c r="G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0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3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2">
        <f t="shared" si="48"/>
        <v>2125183.9129647682</v>
      </c>
      <c r="O185" s="193">
        <f t="shared" si="39"/>
        <v>1656364.6415009145</v>
      </c>
      <c r="P185" s="203">
        <f t="shared" si="49"/>
        <v>24543.951075802775</v>
      </c>
      <c r="Q185" s="190">
        <f>IFERROR(VLOOKUP(A185,[1]Energiindhold!$A$2:$C$11,3,FALSE),IFERROR(VLOOKUP(A185,[1]Biogasudbytte!$A$2:$B$18,2,FALSE)*[1]Energiindhold!$C$10,0))*O185</f>
        <v>4.4954398916191423</v>
      </c>
      <c r="R185" s="190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0">
        <f>IFERROR(VLOOKUP(A185,[1]Biogasudbytte!$A$2:$B$18,2,FALSE)*[1]Energiindhold!$C$10,0)*J185*IFERROR(VLOOKUP(A185,Biogasanlæg!$F$3:$G$8,2,FALSE),1)</f>
        <v>6.6613264977771772E-2</v>
      </c>
      <c r="T185" s="191">
        <f t="shared" si="50"/>
        <v>0</v>
      </c>
      <c r="U185" s="189">
        <f>O185*IFERROR(VLOOKUP(A185,[1]Tørstofindhold!A$2:B$24,2,FALSE),0)</f>
        <v>331272.92830018292</v>
      </c>
      <c r="V185" s="190">
        <f>IF(D185=År1,P185,SUM(O185,P185))*IFERROR(VLOOKUP(A185,[1]Tørstofindhold!A$2:B$24,2,FALSE),0)</f>
        <v>4908.7902151605549</v>
      </c>
      <c r="W185" s="190">
        <f>J185*IFERROR(VLOOKUP(A185,[1]Tørstofindhold!A$2:B$24,2,FALSE),0)</f>
        <v>4908.7902151605549</v>
      </c>
      <c r="X185" s="191">
        <f t="shared" si="51"/>
        <v>0</v>
      </c>
      <c r="Y185" s="171">
        <f t="shared" si="43"/>
        <v>0</v>
      </c>
      <c r="Z185" s="103">
        <f t="shared" si="44"/>
        <v>1</v>
      </c>
    </row>
    <row r="186" spans="1:26" hidden="1" x14ac:dyDescent="0.25">
      <c r="A186" s="190" t="s">
        <v>122</v>
      </c>
      <c r="B186" s="192"/>
      <c r="C186" s="192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2">
        <f t="shared" si="47"/>
        <v>2019</v>
      </c>
      <c r="E186" s="190" t="s">
        <v>24</v>
      </c>
      <c r="F186" s="193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23179.475218292017</v>
      </c>
      <c r="G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0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3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2">
        <f t="shared" si="48"/>
        <v>23179.475218292017</v>
      </c>
      <c r="O186" s="193">
        <f t="shared" si="39"/>
        <v>0</v>
      </c>
      <c r="P186" s="203">
        <f t="shared" si="49"/>
        <v>0</v>
      </c>
      <c r="Q186" s="190">
        <f>IFERROR(VLOOKUP(A186,[1]Energiindhold!$A$2:$C$11,3,FALSE),IFERROR(VLOOKUP(A186,[1]Biogasudbytte!$A$2:$B$18,2,FALSE)*[1]Energiindhold!$C$10,0))*O186</f>
        <v>0</v>
      </c>
      <c r="R186" s="190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0">
        <f>IFERROR(VLOOKUP(A186,[1]Biogasudbytte!$A$2:$B$18,2,FALSE)*[1]Energiindhold!$C$10,0)*J186*IFERROR(VLOOKUP(A186,Biogasanlæg!$F$3:$G$8,2,FALSE),1)</f>
        <v>0</v>
      </c>
      <c r="T186" s="191">
        <f t="shared" si="50"/>
        <v>0</v>
      </c>
      <c r="U186" s="189">
        <f>O186*IFERROR(VLOOKUP(A186,[1]Tørstofindhold!A$2:B$24,2,FALSE),0)</f>
        <v>0</v>
      </c>
      <c r="V186" s="190">
        <f>IF(D186=År1,P186,SUM(O186,P186))*IFERROR(VLOOKUP(A186,[1]Tørstofindhold!A$2:B$24,2,FALSE),0)</f>
        <v>0</v>
      </c>
      <c r="W186" s="190">
        <f>J186*IFERROR(VLOOKUP(A186,[1]Tørstofindhold!A$2:B$24,2,FALSE),0)</f>
        <v>0</v>
      </c>
      <c r="X186" s="191">
        <f t="shared" si="51"/>
        <v>0</v>
      </c>
      <c r="Y186" s="171">
        <f t="shared" si="43"/>
        <v>0</v>
      </c>
      <c r="Z186" s="103">
        <f t="shared" si="44"/>
        <v>1</v>
      </c>
    </row>
    <row r="187" spans="1:26" hidden="1" x14ac:dyDescent="0.25">
      <c r="A187" s="190" t="s">
        <v>108</v>
      </c>
      <c r="B187" s="192"/>
      <c r="C187" s="192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2">
        <f t="shared" si="47"/>
        <v>2019</v>
      </c>
      <c r="E187" s="190" t="s">
        <v>24</v>
      </c>
      <c r="F187" s="193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18923.903166389329</v>
      </c>
      <c r="G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0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3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2">
        <f t="shared" si="48"/>
        <v>14085.970705770382</v>
      </c>
      <c r="O187" s="193">
        <f t="shared" si="39"/>
        <v>0</v>
      </c>
      <c r="P187" s="203">
        <f t="shared" si="49"/>
        <v>0</v>
      </c>
      <c r="Q187" s="190">
        <f>IFERROR(VLOOKUP(A187,[1]Energiindhold!$A$2:$C$11,3,FALSE),IFERROR(VLOOKUP(A187,[1]Biogasudbytte!$A$2:$B$18,2,FALSE)*[1]Energiindhold!$C$10,0))*O187</f>
        <v>0</v>
      </c>
      <c r="R187" s="190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0">
        <f>IFERROR(VLOOKUP(A187,[1]Biogasudbytte!$A$2:$B$18,2,FALSE)*[1]Energiindhold!$C$10,0)*J187*IFERROR(VLOOKUP(A187,Biogasanlæg!$F$3:$G$8,2,FALSE),1)</f>
        <v>0</v>
      </c>
      <c r="T187" s="191">
        <f t="shared" si="50"/>
        <v>0</v>
      </c>
      <c r="U187" s="189">
        <f>O187*IFERROR(VLOOKUP(A187,[1]Tørstofindhold!A$2:B$24,2,FALSE),0)</f>
        <v>0</v>
      </c>
      <c r="V187" s="190">
        <f>IF(D187=År1,P187,SUM(O187,P187))*IFERROR(VLOOKUP(A187,[1]Tørstofindhold!A$2:B$24,2,FALSE),0)</f>
        <v>0</v>
      </c>
      <c r="W187" s="190">
        <f>J187*IFERROR(VLOOKUP(A187,[1]Tørstofindhold!A$2:B$24,2,FALSE),0)</f>
        <v>0</v>
      </c>
      <c r="X187" s="191">
        <f t="shared" si="51"/>
        <v>0</v>
      </c>
      <c r="Y187" s="171">
        <f t="shared" si="43"/>
        <v>0</v>
      </c>
      <c r="Z187" s="103">
        <f t="shared" si="44"/>
        <v>1</v>
      </c>
    </row>
    <row r="188" spans="1:26" hidden="1" x14ac:dyDescent="0.25">
      <c r="A188" s="192" t="s">
        <v>141</v>
      </c>
      <c r="B188" s="192" t="s">
        <v>231</v>
      </c>
      <c r="C188" s="192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2">
        <f t="shared" si="47"/>
        <v>2019</v>
      </c>
      <c r="E188" s="190" t="s">
        <v>24</v>
      </c>
      <c r="F188" s="193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3186961.3614372411</v>
      </c>
      <c r="G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0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3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2">
        <f t="shared" si="48"/>
        <v>1978309.9489030582</v>
      </c>
      <c r="O188" s="193">
        <f t="shared" si="39"/>
        <v>1978309.9489030582</v>
      </c>
      <c r="P188" s="203">
        <f t="shared" si="49"/>
        <v>1208651.4125341829</v>
      </c>
      <c r="Q188" s="190">
        <f>IFERROR(VLOOKUP(A188,[1]Energiindhold!$A$2:$C$11,3,FALSE),IFERROR(VLOOKUP(A188,[1]Biogasudbytte!$A$2:$B$18,2,FALSE)*[1]Energiindhold!$C$10,0))*O188</f>
        <v>0.98719644760211522</v>
      </c>
      <c r="R188" s="190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0">
        <f>IFERROR(VLOOKUP(A188,[1]Biogasudbytte!$A$2:$B$18,2,FALSE)*[1]Energiindhold!$C$10,0)*J188*IFERROR(VLOOKUP(A188,Biogasanlæg!$F$3:$G$8,2,FALSE),1)</f>
        <v>0.60312914136868268</v>
      </c>
      <c r="T188" s="191">
        <f t="shared" si="50"/>
        <v>0</v>
      </c>
      <c r="U188" s="189">
        <f>O188*IFERROR(VLOOKUP(A188,[1]Tørstofindhold!A$2:B$24,2,FALSE),0)</f>
        <v>118698.59693418349</v>
      </c>
      <c r="V188" s="190">
        <f>IF(D188=År1,P188,SUM(O188,P188))*IFERROR(VLOOKUP(A188,[1]Tørstofindhold!A$2:B$24,2,FALSE),0)</f>
        <v>72519.084752050971</v>
      </c>
      <c r="W188" s="190">
        <f>J188*IFERROR(VLOOKUP(A188,[1]Tørstofindhold!A$2:B$24,2,FALSE),0)</f>
        <v>72519.084752050971</v>
      </c>
      <c r="X188" s="191">
        <f t="shared" si="51"/>
        <v>0</v>
      </c>
      <c r="Y188" s="171">
        <f t="shared" si="43"/>
        <v>0</v>
      </c>
      <c r="Z188" s="103">
        <f t="shared" si="44"/>
        <v>1</v>
      </c>
    </row>
    <row r="189" spans="1:26" hidden="1" x14ac:dyDescent="0.25">
      <c r="A189" s="192" t="s">
        <v>136</v>
      </c>
      <c r="B189" s="192" t="s">
        <v>223</v>
      </c>
      <c r="C189" s="192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2">
        <f t="shared" si="47"/>
        <v>2019</v>
      </c>
      <c r="E189" s="190" t="s">
        <v>24</v>
      </c>
      <c r="F189" s="193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2304461.4931079326</v>
      </c>
      <c r="G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0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3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2">
        <f t="shared" si="48"/>
        <v>0</v>
      </c>
      <c r="O189" s="193">
        <f t="shared" si="39"/>
        <v>0</v>
      </c>
      <c r="P189" s="203">
        <f t="shared" si="49"/>
        <v>380427.26035611134</v>
      </c>
      <c r="Q189" s="190">
        <f>IFERROR(VLOOKUP(A189,[1]Energiindhold!$A$2:$C$11,3,FALSE),IFERROR(VLOOKUP(A189,[1]Biogasudbytte!$A$2:$B$18,2,FALSE)*[1]Energiindhold!$C$10,0))*O189</f>
        <v>0</v>
      </c>
      <c r="R189" s="190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0">
        <f>IFERROR(VLOOKUP(A189,[1]Biogasudbytte!$A$2:$B$18,2,FALSE)*[1]Energiindhold!$C$10,0)*J189*IFERROR(VLOOKUP(A189,Biogasanlæg!$F$3:$G$8,2,FALSE),1)</f>
        <v>0.16388806376141279</v>
      </c>
      <c r="T189" s="191">
        <f t="shared" si="50"/>
        <v>0</v>
      </c>
      <c r="U189" s="189">
        <f>O189*IFERROR(VLOOKUP(A189,[1]Tørstofindhold!A$2:B$24,2,FALSE),0)</f>
        <v>0</v>
      </c>
      <c r="V189" s="190">
        <f>IF(D189=År1,P189,SUM(O189,P189))*IFERROR(VLOOKUP(A189,[1]Tørstofindhold!A$2:B$24,2,FALSE),0)</f>
        <v>19021.363017805568</v>
      </c>
      <c r="W189" s="190">
        <f>J189*IFERROR(VLOOKUP(A189,[1]Tørstofindhold!A$2:B$24,2,FALSE),0)</f>
        <v>19021.363017805568</v>
      </c>
      <c r="X189" s="191">
        <f t="shared" si="51"/>
        <v>0</v>
      </c>
      <c r="Y189" s="171">
        <f t="shared" si="43"/>
        <v>0</v>
      </c>
      <c r="Z189" s="103">
        <f t="shared" si="44"/>
        <v>0</v>
      </c>
    </row>
    <row r="190" spans="1:26" hidden="1" x14ac:dyDescent="0.25">
      <c r="A190" s="192" t="s">
        <v>13</v>
      </c>
      <c r="B190" s="192"/>
      <c r="C190" s="192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2">
        <f t="shared" si="47"/>
        <v>2019</v>
      </c>
      <c r="E190" s="190" t="s">
        <v>24</v>
      </c>
      <c r="F190" s="193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206750.71206041813</v>
      </c>
      <c r="G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0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3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2">
        <f t="shared" si="48"/>
        <v>106195.08352871139</v>
      </c>
      <c r="O190" s="193">
        <f t="shared" si="39"/>
        <v>0</v>
      </c>
      <c r="P190" s="203">
        <f t="shared" si="49"/>
        <v>0</v>
      </c>
      <c r="Q190" s="190">
        <f>IFERROR(VLOOKUP(A190,[1]Energiindhold!$A$2:$C$11,3,FALSE),IFERROR(VLOOKUP(A190,[1]Biogasudbytte!$A$2:$B$18,2,FALSE)*[1]Energiindhold!$C$10,0))*O190</f>
        <v>0</v>
      </c>
      <c r="R190" s="190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0">
        <f>IFERROR(VLOOKUP(A190,[1]Biogasudbytte!$A$2:$B$18,2,FALSE)*[1]Energiindhold!$C$10,0)*J190*IFERROR(VLOOKUP(A190,Biogasanlæg!$F$3:$G$8,2,FALSE),1)</f>
        <v>0</v>
      </c>
      <c r="T190" s="191">
        <f t="shared" si="50"/>
        <v>0</v>
      </c>
      <c r="U190" s="189">
        <f>O190*IFERROR(VLOOKUP(A190,[1]Tørstofindhold!A$2:B$24,2,FALSE),0)</f>
        <v>0</v>
      </c>
      <c r="V190" s="190">
        <f>IF(D190=År1,P190,SUM(O190,P190))*IFERROR(VLOOKUP(A190,[1]Tørstofindhold!A$2:B$24,2,FALSE),0)</f>
        <v>0</v>
      </c>
      <c r="W190" s="190">
        <f>J190*IFERROR(VLOOKUP(A190,[1]Tørstofindhold!A$2:B$24,2,FALSE),0)</f>
        <v>0</v>
      </c>
      <c r="X190" s="191">
        <f t="shared" si="51"/>
        <v>0</v>
      </c>
      <c r="Y190" s="171">
        <f t="shared" si="43"/>
        <v>0</v>
      </c>
      <c r="Z190" s="103">
        <f t="shared" si="44"/>
        <v>1</v>
      </c>
    </row>
    <row r="191" spans="1:26" hidden="1" x14ac:dyDescent="0.25">
      <c r="A191" s="192" t="s">
        <v>100</v>
      </c>
      <c r="B191" s="192" t="s">
        <v>227</v>
      </c>
      <c r="C191" s="192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2">
        <f t="shared" si="47"/>
        <v>2019</v>
      </c>
      <c r="E191" s="190" t="s">
        <v>24</v>
      </c>
      <c r="F191" s="193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0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3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2">
        <f t="shared" si="48"/>
        <v>0</v>
      </c>
      <c r="O191" s="193">
        <f t="shared" si="39"/>
        <v>0</v>
      </c>
      <c r="P191" s="203">
        <f t="shared" si="49"/>
        <v>0</v>
      </c>
      <c r="Q191" s="190">
        <f>IFERROR(VLOOKUP(A191,[1]Energiindhold!$A$2:$C$11,3,FALSE),IFERROR(VLOOKUP(A191,[1]Biogasudbytte!$A$2:$B$18,2,FALSE)*[1]Energiindhold!$C$10,0))*O191</f>
        <v>0</v>
      </c>
      <c r="R191" s="190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0">
        <f>IFERROR(VLOOKUP(A191,[1]Biogasudbytte!$A$2:$B$18,2,FALSE)*[1]Energiindhold!$C$10,0)*J191*IFERROR(VLOOKUP(A191,Biogasanlæg!$F$3:$G$8,2,FALSE),1)</f>
        <v>0</v>
      </c>
      <c r="T191" s="191">
        <f t="shared" si="50"/>
        <v>0</v>
      </c>
      <c r="U191" s="189">
        <f>O191*IFERROR(VLOOKUP(A191,[1]Tørstofindhold!A$2:B$24,2,FALSE),0)</f>
        <v>0</v>
      </c>
      <c r="V191" s="190">
        <f>IF(D191=År1,P191,SUM(O191,P191))*IFERROR(VLOOKUP(A191,[1]Tørstofindhold!A$2:B$24,2,FALSE),0)</f>
        <v>0</v>
      </c>
      <c r="W191" s="190">
        <f>J191*IFERROR(VLOOKUP(A191,[1]Tørstofindhold!A$2:B$24,2,FALSE),0)</f>
        <v>0</v>
      </c>
      <c r="X191" s="191">
        <f t="shared" si="51"/>
        <v>0</v>
      </c>
      <c r="Y191" s="171">
        <f t="shared" si="43"/>
        <v>0</v>
      </c>
      <c r="Z191" s="103">
        <f t="shared" si="44"/>
        <v>1</v>
      </c>
    </row>
    <row r="192" spans="1:26" hidden="1" x14ac:dyDescent="0.25">
      <c r="A192" s="192" t="s">
        <v>105</v>
      </c>
      <c r="B192" s="192"/>
      <c r="C192" s="192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2">
        <f t="shared" si="47"/>
        <v>2019</v>
      </c>
      <c r="E192" s="190" t="s">
        <v>24</v>
      </c>
      <c r="F192" s="193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0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3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2">
        <f t="shared" si="48"/>
        <v>0</v>
      </c>
      <c r="O192" s="193">
        <f t="shared" si="39"/>
        <v>0</v>
      </c>
      <c r="P192" s="203">
        <f t="shared" si="49"/>
        <v>0</v>
      </c>
      <c r="Q192" s="190">
        <f>IFERROR(VLOOKUP(A192,[1]Energiindhold!$A$2:$C$11,3,FALSE),IFERROR(VLOOKUP(A192,[1]Biogasudbytte!$A$2:$B$18,2,FALSE)*[1]Energiindhold!$C$10,0))*O192</f>
        <v>0</v>
      </c>
      <c r="R192" s="190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0">
        <f>IFERROR(VLOOKUP(A192,[1]Biogasudbytte!$A$2:$B$18,2,FALSE)*[1]Energiindhold!$C$10,0)*J192*IFERROR(VLOOKUP(A192,Biogasanlæg!$F$3:$G$8,2,FALSE),1)</f>
        <v>0</v>
      </c>
      <c r="T192" s="191">
        <f t="shared" si="50"/>
        <v>0</v>
      </c>
      <c r="U192" s="189">
        <f>O192*IFERROR(VLOOKUP(A192,[1]Tørstofindhold!A$2:B$24,2,FALSE),0)</f>
        <v>0</v>
      </c>
      <c r="V192" s="190">
        <f>IF(D192=År1,P192,SUM(O192,P192))*IFERROR(VLOOKUP(A192,[1]Tørstofindhold!A$2:B$24,2,FALSE),0)</f>
        <v>0</v>
      </c>
      <c r="W192" s="190">
        <f>J192*IFERROR(VLOOKUP(A192,[1]Tørstofindhold!A$2:B$24,2,FALSE),0)</f>
        <v>0</v>
      </c>
      <c r="X192" s="191">
        <f t="shared" si="51"/>
        <v>0</v>
      </c>
      <c r="Y192" s="171">
        <f t="shared" si="43"/>
        <v>0</v>
      </c>
      <c r="Z192" s="103">
        <f t="shared" si="44"/>
        <v>0</v>
      </c>
    </row>
    <row r="193" spans="1:26" hidden="1" x14ac:dyDescent="0.25">
      <c r="A193" s="192" t="s">
        <v>120</v>
      </c>
      <c r="B193" s="192" t="s">
        <v>226</v>
      </c>
      <c r="C193" s="192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2">
        <f t="shared" si="47"/>
        <v>2019</v>
      </c>
      <c r="E193" s="190" t="s">
        <v>24</v>
      </c>
      <c r="F193" s="193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681602.85349434032</v>
      </c>
      <c r="G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0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3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2">
        <f t="shared" si="48"/>
        <v>0</v>
      </c>
      <c r="O193" s="193">
        <f t="shared" si="39"/>
        <v>0</v>
      </c>
      <c r="P193" s="203">
        <f t="shared" si="49"/>
        <v>681602.85349434032</v>
      </c>
      <c r="Q193" s="190">
        <f>IFERROR(VLOOKUP(A193,[1]Energiindhold!$A$2:$C$11,3,FALSE),IFERROR(VLOOKUP(A193,[1]Biogasudbytte!$A$2:$B$18,2,FALSE)*[1]Energiindhold!$C$10,0))*O193</f>
        <v>0</v>
      </c>
      <c r="R193" s="190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0">
        <f>IFERROR(VLOOKUP(A193,[1]Biogasudbytte!$A$2:$B$18,2,FALSE)*[1]Energiindhold!$C$10,0)*J193*IFERROR(VLOOKUP(A193,Biogasanlæg!$F$3:$G$8,2,FALSE),1)</f>
        <v>0</v>
      </c>
      <c r="T193" s="191">
        <f t="shared" si="50"/>
        <v>9.878857920085288</v>
      </c>
      <c r="U193" s="189">
        <f>O193*IFERROR(VLOOKUP(A193,[1]Tørstofindhold!A$2:B$24,2,FALSE),0)</f>
        <v>0</v>
      </c>
      <c r="V193" s="190">
        <f>IF(D193=År1,P193,SUM(O193,P193))*IFERROR(VLOOKUP(A193,[1]Tørstofindhold!A$2:B$24,2,FALSE),0)</f>
        <v>337109.41129074246</v>
      </c>
      <c r="W193" s="190">
        <f>J193*IFERROR(VLOOKUP(A193,[1]Tørstofindhold!A$2:B$24,2,FALSE),0)</f>
        <v>0</v>
      </c>
      <c r="X193" s="191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hidden="1" x14ac:dyDescent="0.25">
      <c r="A194" s="192" t="s">
        <v>119</v>
      </c>
      <c r="B194" s="192"/>
      <c r="C194" s="192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2">
        <f t="shared" si="47"/>
        <v>2019</v>
      </c>
      <c r="E194" s="190" t="s">
        <v>24</v>
      </c>
      <c r="F194" s="193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187413.07432328182</v>
      </c>
      <c r="G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0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3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2">
        <f t="shared" si="48"/>
        <v>0</v>
      </c>
      <c r="O194" s="193">
        <f t="shared" si="39"/>
        <v>0</v>
      </c>
      <c r="P194" s="203">
        <f t="shared" si="49"/>
        <v>0</v>
      </c>
      <c r="Q194" s="190">
        <f>IFERROR(VLOOKUP(A194,[1]Energiindhold!$A$2:$C$11,3,FALSE),IFERROR(VLOOKUP(A194,[1]Biogasudbytte!$A$2:$B$18,2,FALSE)*[1]Energiindhold!$C$10,0))*O194</f>
        <v>0</v>
      </c>
      <c r="R194" s="190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0">
        <f>IFERROR(VLOOKUP(A194,[1]Biogasudbytte!$A$2:$B$18,2,FALSE)*[1]Energiindhold!$C$10,0)*J194*IFERROR(VLOOKUP(A194,Biogasanlæg!$F$3:$G$8,2,FALSE),1)</f>
        <v>0</v>
      </c>
      <c r="T194" s="191">
        <f t="shared" si="50"/>
        <v>0</v>
      </c>
      <c r="U194" s="189">
        <f>O194*IFERROR(VLOOKUP(A194,[1]Tørstofindhold!A$2:B$24,2,FALSE),0)</f>
        <v>0</v>
      </c>
      <c r="V194" s="190">
        <f>IF(D194=År1,P194,SUM(O194,P194))*IFERROR(VLOOKUP(A194,[1]Tørstofindhold!A$2:B$24,2,FALSE),0)</f>
        <v>0</v>
      </c>
      <c r="W194" s="190">
        <f>J194*IFERROR(VLOOKUP(A194,[1]Tørstofindhold!A$2:B$24,2,FALSE),0)</f>
        <v>0</v>
      </c>
      <c r="X194" s="191">
        <f t="shared" si="51"/>
        <v>0</v>
      </c>
      <c r="Y194" s="171">
        <f t="shared" si="43"/>
        <v>0</v>
      </c>
      <c r="Z194" s="103">
        <f t="shared" si="44"/>
        <v>0</v>
      </c>
    </row>
    <row r="195" spans="1:26" hidden="1" x14ac:dyDescent="0.25">
      <c r="A195" s="192" t="str">
        <f t="shared" ref="A195:A226" si="56">A147</f>
        <v>Æg</v>
      </c>
      <c r="B195" s="192" t="str">
        <f t="shared" ref="B195:B226" si="57">IF(B147&lt;&gt;"",B147,"")</f>
        <v/>
      </c>
      <c r="C195" s="192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2">
        <f t="shared" ref="D195:D242" si="58">År2</f>
        <v>2030</v>
      </c>
      <c r="E195" s="190" t="s">
        <v>24</v>
      </c>
      <c r="F195" s="193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17943.479437897957</v>
      </c>
      <c r="G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0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3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2">
        <f t="shared" si="48"/>
        <v>-10265.860686730583</v>
      </c>
      <c r="O195" s="193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3">
        <f t="shared" si="49"/>
        <v>0</v>
      </c>
      <c r="Q195" s="190">
        <f>IFERROR(VLOOKUP(A195,[1]Energiindhold!$A$2:$C$11,3,FALSE),IFERROR(VLOOKUP(A195,[1]Biogasudbytte!$A$2:$B$18,2,FALSE)*[1]Energiindhold!$C$10,0))*O195</f>
        <v>0</v>
      </c>
      <c r="R195" s="190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0">
        <f>IFERROR(VLOOKUP(A195,[1]Biogasudbytte!$A$2:$B$18,2,FALSE)*[1]Energiindhold!$C$10,0)*J195*IFERROR(VLOOKUP(A195,Biogasanlæg!$F$3:$G$8,2,FALSE),1)</f>
        <v>0</v>
      </c>
      <c r="T195" s="191">
        <f t="shared" si="50"/>
        <v>0</v>
      </c>
      <c r="U195" s="189">
        <f>O195*IFERROR(VLOOKUP(A195,[1]Tørstofindhold!A$2:B$24,2,FALSE),0)</f>
        <v>0</v>
      </c>
      <c r="V195" s="190">
        <f>IF(D195=År1,P195,SUM(O195,P195))*IFERROR(VLOOKUP(A195,[1]Tørstofindhold!A$2:B$24,2,FALSE),0)</f>
        <v>0</v>
      </c>
      <c r="W195" s="190">
        <f>J195*IFERROR(VLOOKUP(A195,[1]Tørstofindhold!A$2:B$24,2,FALSE),0)</f>
        <v>0</v>
      </c>
      <c r="X195" s="191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hidden="1" x14ac:dyDescent="0.25">
      <c r="A196" s="192" t="str">
        <f t="shared" si="56"/>
        <v>Bælgsæd</v>
      </c>
      <c r="B196" s="192" t="str">
        <f t="shared" si="57"/>
        <v/>
      </c>
      <c r="C196" s="192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2">
        <f t="shared" si="58"/>
        <v>2030</v>
      </c>
      <c r="E196" s="190" t="s">
        <v>24</v>
      </c>
      <c r="F196" s="193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236972.56744938664</v>
      </c>
      <c r="G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6025.5704593107703</v>
      </c>
      <c r="H196" s="190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37612.453499504722</v>
      </c>
      <c r="J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3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2">
        <f t="shared" si="48"/>
        <v>193334.54349057114</v>
      </c>
      <c r="O196" s="193">
        <f t="shared" si="59"/>
        <v>0</v>
      </c>
      <c r="P196" s="203">
        <f t="shared" si="49"/>
        <v>0</v>
      </c>
      <c r="Q196" s="190">
        <f>IFERROR(VLOOKUP(A196,[1]Energiindhold!$A$2:$C$11,3,FALSE),IFERROR(VLOOKUP(A196,[1]Biogasudbytte!$A$2:$B$18,2,FALSE)*[1]Energiindhold!$C$10,0))*O196</f>
        <v>0</v>
      </c>
      <c r="R196" s="190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0">
        <f>IFERROR(VLOOKUP(A196,[1]Biogasudbytte!$A$2:$B$18,2,FALSE)*[1]Energiindhold!$C$10,0)*J196*IFERROR(VLOOKUP(A196,Biogasanlæg!$F$3:$G$8,2,FALSE),1)</f>
        <v>0</v>
      </c>
      <c r="T196" s="191">
        <f t="shared" si="50"/>
        <v>0</v>
      </c>
      <c r="U196" s="189">
        <f>O196*IFERROR(VLOOKUP(A196,[1]Tørstofindhold!A$2:B$24,2,FALSE),0)</f>
        <v>0</v>
      </c>
      <c r="V196" s="190">
        <f>IF(D196=År1,P196,SUM(O196,P196))*IFERROR(VLOOKUP(A196,[1]Tørstofindhold!A$2:B$24,2,FALSE),0)</f>
        <v>0</v>
      </c>
      <c r="W196" s="190">
        <f>J196*IFERROR(VLOOKUP(A196,[1]Tørstofindhold!A$2:B$24,2,FALSE),0)</f>
        <v>0</v>
      </c>
      <c r="X196" s="191">
        <f t="shared" si="51"/>
        <v>0</v>
      </c>
      <c r="Y196" s="171">
        <f t="shared" si="60"/>
        <v>0</v>
      </c>
      <c r="Z196" s="103">
        <f t="shared" si="61"/>
        <v>1</v>
      </c>
    </row>
    <row r="197" spans="1:26" hidden="1" x14ac:dyDescent="0.25">
      <c r="A197" s="192" t="str">
        <f t="shared" si="56"/>
        <v>Bioaffald</v>
      </c>
      <c r="B197" s="192" t="str">
        <f t="shared" si="57"/>
        <v>Bionedbrydeligt affald</v>
      </c>
      <c r="C197" s="192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2">
        <f t="shared" si="58"/>
        <v>2030</v>
      </c>
      <c r="E197" s="190" t="s">
        <v>24</v>
      </c>
      <c r="F197" s="193">
        <f ca="1"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168912.745758362</v>
      </c>
      <c r="G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0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3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3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2">
        <f t="shared" ca="1" si="48"/>
        <v>-1.3112847955198959E-2</v>
      </c>
      <c r="O197" s="193">
        <f t="shared" ca="1" si="59"/>
        <v>0</v>
      </c>
      <c r="P197" s="203">
        <f t="shared" ca="1" si="49"/>
        <v>168912.75887120995</v>
      </c>
      <c r="Q197" s="190">
        <f ca="1">IFERROR(VLOOKUP(A197,[1]Energiindhold!$A$2:$C$11,3,FALSE),IFERROR(VLOOKUP(A197,[1]Biogasudbytte!$A$2:$B$18,2,FALSE)*[1]Energiindhold!$C$10,0))*O197</f>
        <v>0</v>
      </c>
      <c r="R197" s="190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0">
        <f ca="1">IFERROR(VLOOKUP(A197,[1]Biogasudbytte!$A$2:$B$18,2,FALSE)*[1]Energiindhold!$C$10,0)*J197*IFERROR(VLOOKUP(A197,Biogasanlæg!$F$3:$G$8,2,FALSE),1)</f>
        <v>0.57547056732591406</v>
      </c>
      <c r="T197" s="191">
        <f t="shared" ca="1" si="50"/>
        <v>0</v>
      </c>
      <c r="U197" s="189">
        <f ca="1">O197*IFERROR(VLOOKUP(A197,[1]Tørstofindhold!A$2:B$24,2,FALSE),0)</f>
        <v>0</v>
      </c>
      <c r="V197" s="190">
        <f ca="1">IF(D197=År1,P197,SUM(O197,P197))*IFERROR(VLOOKUP(A197,[1]Tørstofindhold!A$2:B$24,2,FALSE),0)</f>
        <v>47295.572483938791</v>
      </c>
      <c r="W197" s="190">
        <f ca="1">J197*IFERROR(VLOOKUP(A197,[1]Tørstofindhold!A$2:B$24,2,FALSE),0)</f>
        <v>47295.572483938791</v>
      </c>
      <c r="X197" s="191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hidden="1" x14ac:dyDescent="0.25">
      <c r="A198" s="192" t="str">
        <f t="shared" si="56"/>
        <v>Biogas</v>
      </c>
      <c r="B198" s="192" t="str">
        <f t="shared" si="57"/>
        <v/>
      </c>
      <c r="C198" s="192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2">
        <f t="shared" si="58"/>
        <v>2030</v>
      </c>
      <c r="E198" s="190" t="s">
        <v>24</v>
      </c>
      <c r="F198" s="193">
        <f ca="1"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120485929.66191712</v>
      </c>
      <c r="G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0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3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120485929.66191712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2">
        <f t="shared" ca="1" si="48"/>
        <v>0</v>
      </c>
      <c r="O198" s="193">
        <f t="shared" ca="1" si="59"/>
        <v>0</v>
      </c>
      <c r="P198" s="203">
        <f t="shared" ca="1" si="49"/>
        <v>120485929.66191712</v>
      </c>
      <c r="Q198" s="190">
        <f ca="1">IFERROR(VLOOKUP(A198,[1]Energiindhold!$A$2:$C$11,3,FALSE),IFERROR(VLOOKUP(A198,[1]Biogasudbytte!$A$2:$B$18,2,FALSE)*[1]Energiindhold!$C$10,0))*O198</f>
        <v>0</v>
      </c>
      <c r="R198" s="190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0">
        <f>IFERROR(VLOOKUP(A198,[1]Biogasudbytte!$A$2:$B$18,2,FALSE)*[1]Energiindhold!$C$10,0)*J198*IFERROR(VLOOKUP(A198,Biogasanlæg!$F$3:$G$8,2,FALSE),1)</f>
        <v>0</v>
      </c>
      <c r="T198" s="191">
        <f t="shared" si="50"/>
        <v>0</v>
      </c>
      <c r="U198" s="189">
        <f ca="1">O198*IFERROR(VLOOKUP(A198,[1]Tørstofindhold!A$2:B$24,2,FALSE),0)</f>
        <v>0</v>
      </c>
      <c r="V198" s="190">
        <f ca="1">IF(D198=År1,P198,SUM(O198,P198))*IFERROR(VLOOKUP(A198,[1]Tørstofindhold!A$2:B$24,2,FALSE),0)</f>
        <v>0</v>
      </c>
      <c r="W198" s="190">
        <f>J198*IFERROR(VLOOKUP(A198,[1]Tørstofindhold!A$2:B$24,2,FALSE),0)</f>
        <v>0</v>
      </c>
      <c r="X198" s="191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x14ac:dyDescent="0.25">
      <c r="A199" s="192" t="str">
        <f t="shared" si="56"/>
        <v>Biogasgylle</v>
      </c>
      <c r="B199" s="192" t="str">
        <f t="shared" si="57"/>
        <v/>
      </c>
      <c r="C199" s="192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2">
        <f t="shared" si="58"/>
        <v>2030</v>
      </c>
      <c r="E199" s="190" t="s">
        <v>24</v>
      </c>
      <c r="F199" s="193">
        <f ca="1"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3978923.4945139349</v>
      </c>
      <c r="G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0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3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3219780.2363352538</v>
      </c>
      <c r="L199" s="193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2">
        <f t="shared" ca="1" si="48"/>
        <v>759143.25817868114</v>
      </c>
      <c r="O199" s="193">
        <f t="shared" si="59"/>
        <v>0</v>
      </c>
      <c r="P199" s="203">
        <f t="shared" si="49"/>
        <v>0</v>
      </c>
      <c r="Q199" s="190">
        <f>IFERROR(VLOOKUP(A199,[1]Energiindhold!$A$2:$C$11,3,FALSE),IFERROR(VLOOKUP(A199,[1]Biogasudbytte!$A$2:$B$18,2,FALSE)*[1]Energiindhold!$C$10,0))*O199</f>
        <v>0</v>
      </c>
      <c r="R199" s="190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0">
        <f>IFERROR(VLOOKUP(A199,[1]Biogasudbytte!$A$2:$B$18,2,FALSE)*[1]Energiindhold!$C$10,0)*J199*IFERROR(VLOOKUP(A199,Biogasanlæg!$F$3:$G$8,2,FALSE),1)</f>
        <v>0</v>
      </c>
      <c r="T199" s="191">
        <f t="shared" si="50"/>
        <v>0</v>
      </c>
      <c r="U199" s="189">
        <f>O199*IFERROR(VLOOKUP(A199,[1]Tørstofindhold!A$2:B$24,2,FALSE),0)</f>
        <v>0</v>
      </c>
      <c r="V199" s="190">
        <f>IF(D199=År1,P199,SUM(O199,P199))*IFERROR(VLOOKUP(A199,[1]Tørstofindhold!A$2:B$24,2,FALSE),0)</f>
        <v>0</v>
      </c>
      <c r="W199" s="190">
        <f>J199*IFERROR(VLOOKUP(A199,[1]Tørstofindhold!A$2:B$24,2,FALSE),0)</f>
        <v>0</v>
      </c>
      <c r="X199" s="191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hidden="1" x14ac:dyDescent="0.25">
      <c r="A200" s="192" t="str">
        <f t="shared" si="56"/>
        <v>Brun saft</v>
      </c>
      <c r="B200" s="192" t="str">
        <f t="shared" si="57"/>
        <v>Bionedbrydeligt affald</v>
      </c>
      <c r="C200" s="192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2">
        <f t="shared" si="58"/>
        <v>2030</v>
      </c>
      <c r="E200" s="190" t="s">
        <v>24</v>
      </c>
      <c r="F200" s="193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303906.23064409656</v>
      </c>
      <c r="G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0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188421.86299933988</v>
      </c>
      <c r="K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3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2">
        <f t="shared" si="48"/>
        <v>115484.36764475668</v>
      </c>
      <c r="O200" s="193">
        <f t="shared" si="59"/>
        <v>115484.36764475668</v>
      </c>
      <c r="P200" s="203">
        <f t="shared" si="49"/>
        <v>188421.86299933988</v>
      </c>
      <c r="Q200" s="190">
        <f>IFERROR(VLOOKUP(A200,[1]Energiindhold!$A$2:$C$11,3,FALSE),IFERROR(VLOOKUP(A200,[1]Biogasudbytte!$A$2:$B$18,2,FALSE)*[1]Energiindhold!$C$10,0))*O200</f>
        <v>6.559813230105413E-2</v>
      </c>
      <c r="R200" s="190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0.17262666395014245</v>
      </c>
      <c r="S200" s="190">
        <f>IFERROR(VLOOKUP(A200,[1]Biogasudbytte!$A$2:$B$18,2,FALSE)*[1]Energiindhold!$C$10,0)*J200*IFERROR(VLOOKUP(A200,Biogasanlæg!$F$3:$G$8,2,FALSE),1)</f>
        <v>0.10702853164908832</v>
      </c>
      <c r="T200" s="191">
        <f t="shared" si="50"/>
        <v>6.559813230105413E-2</v>
      </c>
      <c r="U200" s="189">
        <f>O200*IFERROR(VLOOKUP(A200,[1]Tørstofindhold!A$2:B$24,2,FALSE),0)</f>
        <v>4938.5027705378388</v>
      </c>
      <c r="V200" s="190">
        <f>IF(D200=År1,P200,SUM(O200,P200))*IFERROR(VLOOKUP(A200,[1]Tørstofindhold!A$2:B$24,2,FALSE),0)</f>
        <v>12996.059922467999</v>
      </c>
      <c r="W200" s="190">
        <f>J200*IFERROR(VLOOKUP(A200,[1]Tørstofindhold!A$2:B$24,2,FALSE),0)</f>
        <v>8057.5571519301593</v>
      </c>
      <c r="X200" s="191">
        <f t="shared" si="51"/>
        <v>4938.5027705378398</v>
      </c>
      <c r="Y200" s="171">
        <f t="shared" si="60"/>
        <v>0</v>
      </c>
      <c r="Z200" s="103">
        <f t="shared" si="61"/>
        <v>1</v>
      </c>
    </row>
    <row r="201" spans="1:26" hidden="1" x14ac:dyDescent="0.25">
      <c r="A201" s="192" t="str">
        <f t="shared" si="56"/>
        <v>Dybstrøelse</v>
      </c>
      <c r="B201" s="192" t="str">
        <f t="shared" si="57"/>
        <v>Husdyrgødning</v>
      </c>
      <c r="C201" s="192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2">
        <f t="shared" si="58"/>
        <v>2030</v>
      </c>
      <c r="E201" s="190" t="s">
        <v>24</v>
      </c>
      <c r="F201" s="193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288837.5497709263</v>
      </c>
      <c r="G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0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179079.28085797431</v>
      </c>
      <c r="K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41551.344659903254</v>
      </c>
      <c r="L201" s="193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2">
        <f t="shared" si="48"/>
        <v>68206.924253048724</v>
      </c>
      <c r="O201" s="193">
        <f t="shared" si="59"/>
        <v>68206.924253048724</v>
      </c>
      <c r="P201" s="203">
        <f t="shared" si="49"/>
        <v>179079.28085797431</v>
      </c>
      <c r="Q201" s="190">
        <f>IFERROR(VLOOKUP(A201,[1]Energiindhold!$A$2:$C$11,3,FALSE),IFERROR(VLOOKUP(A201,[1]Biogasudbytte!$A$2:$B$18,2,FALSE)*[1]Energiindhold!$C$10,0))*O201</f>
        <v>0.14691771484106694</v>
      </c>
      <c r="R201" s="190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0.53265448580914365</v>
      </c>
      <c r="S201" s="190">
        <f>IFERROR(VLOOKUP(A201,[1]Biogasudbytte!$A$2:$B$18,2,FALSE)*[1]Energiindhold!$C$10,0)*J201*IFERROR(VLOOKUP(A201,Biogasanlæg!$F$3:$G$8,2,FALSE),1)</f>
        <v>0.38573677096807668</v>
      </c>
      <c r="T201" s="191">
        <f t="shared" si="50"/>
        <v>0.14691771484106697</v>
      </c>
      <c r="U201" s="189">
        <f>O201*IFERROR(VLOOKUP(A201,[1]Tørstofindhold!A$2:B$24,2,FALSE),0)</f>
        <v>20462.077275914617</v>
      </c>
      <c r="V201" s="190">
        <f>IF(D201=År1,P201,SUM(O201,P201))*IFERROR(VLOOKUP(A201,[1]Tørstofindhold!A$2:B$24,2,FALSE),0)</f>
        <v>74185.861533306903</v>
      </c>
      <c r="W201" s="190">
        <f>J201*IFERROR(VLOOKUP(A201,[1]Tørstofindhold!A$2:B$24,2,FALSE),0)</f>
        <v>53723.78425739229</v>
      </c>
      <c r="X201" s="191">
        <f t="shared" si="51"/>
        <v>20462.077275914613</v>
      </c>
      <c r="Y201" s="171">
        <f t="shared" si="60"/>
        <v>0</v>
      </c>
      <c r="Z201" s="103">
        <f t="shared" si="61"/>
        <v>1</v>
      </c>
    </row>
    <row r="202" spans="1:26" hidden="1" x14ac:dyDescent="0.25">
      <c r="A202" s="192" t="str">
        <f t="shared" si="56"/>
        <v>Fiberfraktion</v>
      </c>
      <c r="B202" s="192" t="str">
        <f t="shared" si="57"/>
        <v/>
      </c>
      <c r="C202" s="192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2">
        <f t="shared" si="58"/>
        <v>2030</v>
      </c>
      <c r="E202" s="190" t="s">
        <v>24</v>
      </c>
      <c r="F202" s="193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214052.75166417882</v>
      </c>
      <c r="G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215198.9449753846</v>
      </c>
      <c r="H202" s="190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3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2">
        <f t="shared" si="48"/>
        <v>-1146.1933112057741</v>
      </c>
      <c r="O202" s="193">
        <f t="shared" si="59"/>
        <v>0</v>
      </c>
      <c r="P202" s="203">
        <f t="shared" si="49"/>
        <v>0</v>
      </c>
      <c r="Q202" s="190">
        <f>IFERROR(VLOOKUP(A202,[1]Energiindhold!$A$2:$C$11,3,FALSE),IFERROR(VLOOKUP(A202,[1]Biogasudbytte!$A$2:$B$18,2,FALSE)*[1]Energiindhold!$C$10,0))*O202</f>
        <v>0</v>
      </c>
      <c r="R202" s="190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0">
        <f>IFERROR(VLOOKUP(A202,[1]Biogasudbytte!$A$2:$B$18,2,FALSE)*[1]Energiindhold!$C$10,0)*J202*IFERROR(VLOOKUP(A202,Biogasanlæg!$F$3:$G$8,2,FALSE),1)</f>
        <v>0</v>
      </c>
      <c r="T202" s="191">
        <f t="shared" si="50"/>
        <v>0</v>
      </c>
      <c r="U202" s="189">
        <f>O202*IFERROR(VLOOKUP(A202,[1]Tørstofindhold!A$2:B$24,2,FALSE),0)</f>
        <v>0</v>
      </c>
      <c r="V202" s="190">
        <f>IF(D202=År1,P202,SUM(O202,P202))*IFERROR(VLOOKUP(A202,[1]Tørstofindhold!A$2:B$24,2,FALSE),0)</f>
        <v>0</v>
      </c>
      <c r="W202" s="190">
        <f>J202*IFERROR(VLOOKUP(A202,[1]Tørstofindhold!A$2:B$24,2,FALSE),0)</f>
        <v>0</v>
      </c>
      <c r="X202" s="191">
        <f t="shared" si="51"/>
        <v>0</v>
      </c>
      <c r="Y202" s="171">
        <f t="shared" si="60"/>
        <v>1</v>
      </c>
      <c r="Z202" s="103">
        <f t="shared" si="61"/>
        <v>0</v>
      </c>
    </row>
    <row r="203" spans="1:26" hidden="1" x14ac:dyDescent="0.25">
      <c r="A203" s="192" t="str">
        <f t="shared" si="56"/>
        <v>Fjerkrægylle</v>
      </c>
      <c r="B203" s="192" t="str">
        <f t="shared" si="57"/>
        <v>Husdyrgødning</v>
      </c>
      <c r="C203" s="192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2">
        <f t="shared" si="58"/>
        <v>2030</v>
      </c>
      <c r="E203" s="190" t="s">
        <v>24</v>
      </c>
      <c r="F203" s="193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700.20192515285464</v>
      </c>
      <c r="G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0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434.12519359476988</v>
      </c>
      <c r="K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266.07673155808476</v>
      </c>
      <c r="L203" s="193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2">
        <f t="shared" si="48"/>
        <v>0</v>
      </c>
      <c r="O203" s="193">
        <f t="shared" si="59"/>
        <v>0</v>
      </c>
      <c r="P203" s="203">
        <f t="shared" si="49"/>
        <v>434.12519359476988</v>
      </c>
      <c r="Q203" s="190">
        <f>IFERROR(VLOOKUP(A203,[1]Energiindhold!$A$2:$C$11,3,FALSE),IFERROR(VLOOKUP(A203,[1]Biogasudbytte!$A$2:$B$18,2,FALSE)*[1]Energiindhold!$C$10,0))*O203</f>
        <v>0</v>
      </c>
      <c r="R203" s="190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2.0416473729568434E-4</v>
      </c>
      <c r="S203" s="190">
        <f>IFERROR(VLOOKUP(A203,[1]Biogasudbytte!$A$2:$B$18,2,FALSE)*[1]Energiindhold!$C$10,0)*J203*IFERROR(VLOOKUP(A203,Biogasanlæg!$F$3:$G$8,2,FALSE),1)</f>
        <v>2.0416473729568434E-4</v>
      </c>
      <c r="T203" s="191">
        <f t="shared" si="50"/>
        <v>0</v>
      </c>
      <c r="U203" s="189">
        <f>O203*IFERROR(VLOOKUP(A203,[1]Tørstofindhold!A$2:B$24,2,FALSE),0)</f>
        <v>0</v>
      </c>
      <c r="V203" s="190">
        <f>IF(D203=År1,P203,SUM(O203,P203))*IFERROR(VLOOKUP(A203,[1]Tørstofindhold!A$2:B$24,2,FALSE),0)</f>
        <v>27.349887196470501</v>
      </c>
      <c r="W203" s="190">
        <f>J203*IFERROR(VLOOKUP(A203,[1]Tørstofindhold!A$2:B$24,2,FALSE),0)</f>
        <v>27.349887196470501</v>
      </c>
      <c r="X203" s="191">
        <f t="shared" si="51"/>
        <v>0</v>
      </c>
      <c r="Y203" s="171">
        <f t="shared" si="60"/>
        <v>0</v>
      </c>
      <c r="Z203" s="103">
        <f t="shared" si="61"/>
        <v>0</v>
      </c>
    </row>
    <row r="204" spans="1:26" hidden="1" x14ac:dyDescent="0.25">
      <c r="A204" s="192" t="str">
        <f t="shared" si="56"/>
        <v>Fjerkrækød</v>
      </c>
      <c r="B204" s="192" t="str">
        <f t="shared" si="57"/>
        <v/>
      </c>
      <c r="C204" s="192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2">
        <f t="shared" si="58"/>
        <v>2030</v>
      </c>
      <c r="E204" s="190" t="s">
        <v>24</v>
      </c>
      <c r="F204" s="193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15244.045659594452</v>
      </c>
      <c r="G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0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24448.094774678073</v>
      </c>
      <c r="J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3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2">
        <f t="shared" si="48"/>
        <v>-9204.0491150836206</v>
      </c>
      <c r="O204" s="193">
        <f t="shared" si="59"/>
        <v>0</v>
      </c>
      <c r="P204" s="203">
        <f t="shared" si="49"/>
        <v>0</v>
      </c>
      <c r="Q204" s="190">
        <f>IFERROR(VLOOKUP(A204,[1]Energiindhold!$A$2:$C$11,3,FALSE),IFERROR(VLOOKUP(A204,[1]Biogasudbytte!$A$2:$B$18,2,FALSE)*[1]Energiindhold!$C$10,0))*O204</f>
        <v>0</v>
      </c>
      <c r="R204" s="190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0">
        <f>IFERROR(VLOOKUP(A204,[1]Biogasudbytte!$A$2:$B$18,2,FALSE)*[1]Energiindhold!$C$10,0)*J204*IFERROR(VLOOKUP(A204,Biogasanlæg!$F$3:$G$8,2,FALSE),1)</f>
        <v>0</v>
      </c>
      <c r="T204" s="191">
        <f t="shared" si="50"/>
        <v>0</v>
      </c>
      <c r="U204" s="189">
        <f>O204*IFERROR(VLOOKUP(A204,[1]Tørstofindhold!A$2:B$24,2,FALSE),0)</f>
        <v>0</v>
      </c>
      <c r="V204" s="190">
        <f>IF(D204=År1,P204,SUM(O204,P204))*IFERROR(VLOOKUP(A204,[1]Tørstofindhold!A$2:B$24,2,FALSE),0)</f>
        <v>0</v>
      </c>
      <c r="W204" s="190">
        <f>J204*IFERROR(VLOOKUP(A204,[1]Tørstofindhold!A$2:B$24,2,FALSE),0)</f>
        <v>0</v>
      </c>
      <c r="X204" s="191">
        <f t="shared" si="51"/>
        <v>0</v>
      </c>
      <c r="Y204" s="171">
        <f t="shared" si="60"/>
        <v>0</v>
      </c>
      <c r="Z204" s="103">
        <f t="shared" si="61"/>
        <v>1</v>
      </c>
    </row>
    <row r="205" spans="1:26" hidden="1" x14ac:dyDescent="0.25">
      <c r="A205" s="192" t="str">
        <f t="shared" si="56"/>
        <v>Frø</v>
      </c>
      <c r="B205" s="192" t="str">
        <f t="shared" si="57"/>
        <v/>
      </c>
      <c r="C205" s="192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2">
        <f t="shared" si="58"/>
        <v>2030</v>
      </c>
      <c r="E205" s="190" t="s">
        <v>24</v>
      </c>
      <c r="F205" s="193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325188.93567900889</v>
      </c>
      <c r="G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0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3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2">
        <f t="shared" si="48"/>
        <v>325188.93567900889</v>
      </c>
      <c r="O205" s="193">
        <f t="shared" si="59"/>
        <v>0</v>
      </c>
      <c r="P205" s="203">
        <f t="shared" si="49"/>
        <v>0</v>
      </c>
      <c r="Q205" s="190">
        <f>IFERROR(VLOOKUP(A205,[1]Energiindhold!$A$2:$C$11,3,FALSE),IFERROR(VLOOKUP(A205,[1]Biogasudbytte!$A$2:$B$18,2,FALSE)*[1]Energiindhold!$C$10,0))*O205</f>
        <v>0</v>
      </c>
      <c r="R205" s="190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0">
        <f>IFERROR(VLOOKUP(A205,[1]Biogasudbytte!$A$2:$B$18,2,FALSE)*[1]Energiindhold!$C$10,0)*J205*IFERROR(VLOOKUP(A205,Biogasanlæg!$F$3:$G$8,2,FALSE),1)</f>
        <v>0</v>
      </c>
      <c r="T205" s="191">
        <f t="shared" si="50"/>
        <v>0</v>
      </c>
      <c r="U205" s="189">
        <f>O205*IFERROR(VLOOKUP(A205,[1]Tørstofindhold!A$2:B$24,2,FALSE),0)</f>
        <v>0</v>
      </c>
      <c r="V205" s="190">
        <f>IF(D205=År1,P205,SUM(O205,P205))*IFERROR(VLOOKUP(A205,[1]Tørstofindhold!A$2:B$24,2,FALSE),0)</f>
        <v>0</v>
      </c>
      <c r="W205" s="190">
        <f>J205*IFERROR(VLOOKUP(A205,[1]Tørstofindhold!A$2:B$24,2,FALSE),0)</f>
        <v>0</v>
      </c>
      <c r="X205" s="191">
        <f t="shared" si="51"/>
        <v>0</v>
      </c>
      <c r="Y205" s="171">
        <f t="shared" si="60"/>
        <v>0</v>
      </c>
      <c r="Z205" s="103">
        <f t="shared" si="61"/>
        <v>1</v>
      </c>
    </row>
    <row r="206" spans="1:26" hidden="1" x14ac:dyDescent="0.25">
      <c r="A206" s="192" t="str">
        <f t="shared" si="56"/>
        <v>Frugt</v>
      </c>
      <c r="B206" s="192" t="str">
        <f t="shared" si="57"/>
        <v/>
      </c>
      <c r="C206" s="192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2">
        <f t="shared" si="58"/>
        <v>2030</v>
      </c>
      <c r="E206" s="190" t="s">
        <v>24</v>
      </c>
      <c r="F206" s="193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45453.077491377226</v>
      </c>
      <c r="G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0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3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2">
        <f t="shared" si="48"/>
        <v>-177870.86516193207</v>
      </c>
      <c r="O206" s="193">
        <f t="shared" si="59"/>
        <v>0</v>
      </c>
      <c r="P206" s="203">
        <f t="shared" si="49"/>
        <v>0</v>
      </c>
      <c r="Q206" s="190">
        <f>IFERROR(VLOOKUP(A206,[1]Energiindhold!$A$2:$C$11,3,FALSE),IFERROR(VLOOKUP(A206,[1]Biogasudbytte!$A$2:$B$18,2,FALSE)*[1]Energiindhold!$C$10,0))*O206</f>
        <v>0</v>
      </c>
      <c r="R206" s="190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0">
        <f>IFERROR(VLOOKUP(A206,[1]Biogasudbytte!$A$2:$B$18,2,FALSE)*[1]Energiindhold!$C$10,0)*J206*IFERROR(VLOOKUP(A206,Biogasanlæg!$F$3:$G$8,2,FALSE),1)</f>
        <v>0</v>
      </c>
      <c r="T206" s="191">
        <f t="shared" si="50"/>
        <v>0</v>
      </c>
      <c r="U206" s="189">
        <f>O206*IFERROR(VLOOKUP(A206,[1]Tørstofindhold!A$2:B$24,2,FALSE),0)</f>
        <v>0</v>
      </c>
      <c r="V206" s="190">
        <f>IF(D206=År1,P206,SUM(O206,P206))*IFERROR(VLOOKUP(A206,[1]Tørstofindhold!A$2:B$24,2,FALSE),0)</f>
        <v>0</v>
      </c>
      <c r="W206" s="190">
        <f>J206*IFERROR(VLOOKUP(A206,[1]Tørstofindhold!A$2:B$24,2,FALSE),0)</f>
        <v>0</v>
      </c>
      <c r="X206" s="191">
        <f t="shared" si="51"/>
        <v>0</v>
      </c>
      <c r="Y206" s="171">
        <f t="shared" si="60"/>
        <v>1</v>
      </c>
      <c r="Z206" s="103">
        <f t="shared" si="61"/>
        <v>0</v>
      </c>
    </row>
    <row r="207" spans="1:26" hidden="1" x14ac:dyDescent="0.25">
      <c r="A207" s="192" t="str">
        <f t="shared" si="56"/>
        <v>Glycerin</v>
      </c>
      <c r="B207" s="192" t="str">
        <f t="shared" si="57"/>
        <v>Glycerin</v>
      </c>
      <c r="C207" s="192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2">
        <f t="shared" si="58"/>
        <v>2030</v>
      </c>
      <c r="E207" s="190" t="s">
        <v>24</v>
      </c>
      <c r="F207" s="193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0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3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2">
        <f t="shared" si="48"/>
        <v>-28548.400000000001</v>
      </c>
      <c r="O207" s="193">
        <f t="shared" si="59"/>
        <v>0</v>
      </c>
      <c r="P207" s="203">
        <f t="shared" si="49"/>
        <v>28548.400000000001</v>
      </c>
      <c r="Q207" s="190">
        <f>IFERROR(VLOOKUP(A207,[1]Energiindhold!$A$2:$C$11,3,FALSE),IFERROR(VLOOKUP(A207,[1]Biogasudbytte!$A$2:$B$18,2,FALSE)*[1]Energiindhold!$C$10,0))*O207</f>
        <v>0</v>
      </c>
      <c r="R207" s="190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0">
        <f>IFERROR(VLOOKUP(A207,[1]Biogasudbytte!$A$2:$B$18,2,FALSE)*[1]Energiindhold!$C$10,0)*J207*IFERROR(VLOOKUP(A207,Biogasanlæg!$F$3:$G$8,2,FALSE),1)</f>
        <v>0.43389639740160008</v>
      </c>
      <c r="T207" s="191">
        <f t="shared" si="50"/>
        <v>0</v>
      </c>
      <c r="U207" s="189">
        <f>O207*IFERROR(VLOOKUP(A207,[1]Tørstofindhold!A$2:B$24,2,FALSE),0)</f>
        <v>0</v>
      </c>
      <c r="V207" s="190">
        <f>IF(D207=År1,P207,SUM(O207,P207))*IFERROR(VLOOKUP(A207,[1]Tørstofindhold!A$2:B$24,2,FALSE),0)</f>
        <v>25693.56</v>
      </c>
      <c r="W207" s="190">
        <f>J207*IFERROR(VLOOKUP(A207,[1]Tørstofindhold!A$2:B$24,2,FALSE),0)</f>
        <v>25693.56</v>
      </c>
      <c r="X207" s="191">
        <f t="shared" si="51"/>
        <v>0</v>
      </c>
      <c r="Y207" s="171">
        <f t="shared" si="60"/>
        <v>1</v>
      </c>
      <c r="Z207" s="103">
        <f t="shared" si="61"/>
        <v>0</v>
      </c>
    </row>
    <row r="208" spans="1:26" hidden="1" x14ac:dyDescent="0.25">
      <c r="A208" s="192" t="str">
        <f t="shared" si="56"/>
        <v>Græs</v>
      </c>
      <c r="B208" s="192" t="str">
        <f t="shared" si="57"/>
        <v>Græs og urter</v>
      </c>
      <c r="C208" s="192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2">
        <f t="shared" si="58"/>
        <v>2030</v>
      </c>
      <c r="E208" s="190" t="s">
        <v>24</v>
      </c>
      <c r="F208" s="193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4023735.0007342594</v>
      </c>
      <c r="G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1216735.3716252823</v>
      </c>
      <c r="H208" s="190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0</v>
      </c>
      <c r="K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3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621927.46168801945</v>
      </c>
      <c r="N208" s="202">
        <f t="shared" si="48"/>
        <v>2185072.1674209577</v>
      </c>
      <c r="O208" s="193">
        <f t="shared" si="59"/>
        <v>651527.44368819008</v>
      </c>
      <c r="P208" s="203">
        <f t="shared" si="49"/>
        <v>0</v>
      </c>
      <c r="Q208" s="190">
        <f>IFERROR(VLOOKUP(A208,[1]Energiindhold!$A$2:$C$11,3,FALSE),IFERROR(VLOOKUP(A208,[1]Biogasudbytte!$A$2:$B$18,2,FALSE)*[1]Energiindhold!$C$10,0))*O208</f>
        <v>1.1987290554558088</v>
      </c>
      <c r="R208" s="190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1.1987290554558088</v>
      </c>
      <c r="S208" s="190">
        <f>IFERROR(VLOOKUP(A208,[1]Biogasudbytte!$A$2:$B$18,2,FALSE)*[1]Energiindhold!$C$10,0)*J208*IFERROR(VLOOKUP(A208,Biogasanlæg!$F$3:$G$8,2,FALSE),1)</f>
        <v>0</v>
      </c>
      <c r="T208" s="191">
        <f t="shared" si="50"/>
        <v>1.1987290554558088</v>
      </c>
      <c r="U208" s="189">
        <f>O208*IFERROR(VLOOKUP(A208,[1]Tørstofindhold!A$2:B$24,2,FALSE),0)</f>
        <v>182427.68423269325</v>
      </c>
      <c r="V208" s="190">
        <f>IF(D208=År1,P208,SUM(O208,P208))*IFERROR(VLOOKUP(A208,[1]Tørstofindhold!A$2:B$24,2,FALSE),0)</f>
        <v>182427.68423269325</v>
      </c>
      <c r="W208" s="190">
        <f>J208*IFERROR(VLOOKUP(A208,[1]Tørstofindhold!A$2:B$24,2,FALSE),0)</f>
        <v>0</v>
      </c>
      <c r="X208" s="191">
        <f t="shared" si="51"/>
        <v>182427.68423269325</v>
      </c>
      <c r="Y208" s="171">
        <f t="shared" si="60"/>
        <v>0</v>
      </c>
      <c r="Z208" s="103">
        <f t="shared" si="61"/>
        <v>1</v>
      </c>
    </row>
    <row r="209" spans="1:26" hidden="1" x14ac:dyDescent="0.25">
      <c r="A209" s="192" t="str">
        <f t="shared" si="56"/>
        <v>Græsprotein</v>
      </c>
      <c r="B209" s="192" t="str">
        <f t="shared" si="57"/>
        <v/>
      </c>
      <c r="C209" s="192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2">
        <f t="shared" si="58"/>
        <v>2030</v>
      </c>
      <c r="E209" s="190" t="s">
        <v>24</v>
      </c>
      <c r="F209" s="193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103968.47937974399</v>
      </c>
      <c r="G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103968.47937974401</v>
      </c>
      <c r="H209" s="190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3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2">
        <f t="shared" si="48"/>
        <v>0</v>
      </c>
      <c r="O209" s="193">
        <f t="shared" si="59"/>
        <v>0</v>
      </c>
      <c r="P209" s="203">
        <f t="shared" si="49"/>
        <v>0</v>
      </c>
      <c r="Q209" s="190">
        <f>IFERROR(VLOOKUP(A209,[1]Energiindhold!$A$2:$C$11,3,FALSE),IFERROR(VLOOKUP(A209,[1]Biogasudbytte!$A$2:$B$18,2,FALSE)*[1]Energiindhold!$C$10,0))*O209</f>
        <v>0</v>
      </c>
      <c r="R209" s="190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0">
        <f>IFERROR(VLOOKUP(A209,[1]Biogasudbytte!$A$2:$B$18,2,FALSE)*[1]Energiindhold!$C$10,0)*J209*IFERROR(VLOOKUP(A209,Biogasanlæg!$F$3:$G$8,2,FALSE),1)</f>
        <v>0</v>
      </c>
      <c r="T209" s="191">
        <f t="shared" si="50"/>
        <v>0</v>
      </c>
      <c r="U209" s="189">
        <f>O209*IFERROR(VLOOKUP(A209,[1]Tørstofindhold!A$2:B$24,2,FALSE),0)</f>
        <v>0</v>
      </c>
      <c r="V209" s="190">
        <f>IF(D209=År1,P209,SUM(O209,P209))*IFERROR(VLOOKUP(A209,[1]Tørstofindhold!A$2:B$24,2,FALSE),0)</f>
        <v>0</v>
      </c>
      <c r="W209" s="190">
        <f>J209*IFERROR(VLOOKUP(A209,[1]Tørstofindhold!A$2:B$24,2,FALSE),0)</f>
        <v>0</v>
      </c>
      <c r="X209" s="191">
        <f t="shared" si="51"/>
        <v>0</v>
      </c>
      <c r="Y209" s="171">
        <f t="shared" si="60"/>
        <v>0</v>
      </c>
      <c r="Z209" s="103">
        <f t="shared" si="61"/>
        <v>0</v>
      </c>
    </row>
    <row r="210" spans="1:26" hidden="1" x14ac:dyDescent="0.25">
      <c r="A210" s="192" t="str">
        <f t="shared" si="56"/>
        <v>Grøntsager</v>
      </c>
      <c r="B210" s="192" t="str">
        <f t="shared" si="57"/>
        <v/>
      </c>
      <c r="C210" s="192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2">
        <f t="shared" si="58"/>
        <v>2030</v>
      </c>
      <c r="E210" s="190" t="s">
        <v>24</v>
      </c>
      <c r="F210" s="193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488829.33816016692</v>
      </c>
      <c r="G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0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3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2">
        <f t="shared" si="48"/>
        <v>254926.89296012194</v>
      </c>
      <c r="O210" s="193">
        <f t="shared" si="59"/>
        <v>0</v>
      </c>
      <c r="P210" s="203">
        <f t="shared" si="49"/>
        <v>0</v>
      </c>
      <c r="Q210" s="190">
        <f>IFERROR(VLOOKUP(A210,[1]Energiindhold!$A$2:$C$11,3,FALSE),IFERROR(VLOOKUP(A210,[1]Biogasudbytte!$A$2:$B$18,2,FALSE)*[1]Energiindhold!$C$10,0))*O210</f>
        <v>0</v>
      </c>
      <c r="R210" s="190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0">
        <f>IFERROR(VLOOKUP(A210,[1]Biogasudbytte!$A$2:$B$18,2,FALSE)*[1]Energiindhold!$C$10,0)*J210*IFERROR(VLOOKUP(A210,Biogasanlæg!$F$3:$G$8,2,FALSE),1)</f>
        <v>0</v>
      </c>
      <c r="T210" s="191">
        <f t="shared" si="50"/>
        <v>0</v>
      </c>
      <c r="U210" s="189">
        <f>O210*IFERROR(VLOOKUP(A210,[1]Tørstofindhold!A$2:B$24,2,FALSE),0)</f>
        <v>0</v>
      </c>
      <c r="V210" s="190">
        <f>IF(D210=År1,P210,SUM(O210,P210))*IFERROR(VLOOKUP(A210,[1]Tørstofindhold!A$2:B$24,2,FALSE),0)</f>
        <v>0</v>
      </c>
      <c r="W210" s="190">
        <f>J210*IFERROR(VLOOKUP(A210,[1]Tørstofindhold!A$2:B$24,2,FALSE),0)</f>
        <v>0</v>
      </c>
      <c r="X210" s="191">
        <f t="shared" si="51"/>
        <v>0</v>
      </c>
      <c r="Y210" s="171">
        <f t="shared" si="60"/>
        <v>0</v>
      </c>
      <c r="Z210" s="103">
        <f t="shared" si="61"/>
        <v>1</v>
      </c>
    </row>
    <row r="211" spans="1:26" hidden="1" x14ac:dyDescent="0.25">
      <c r="A211" s="192" t="str">
        <f t="shared" si="56"/>
        <v>Halm</v>
      </c>
      <c r="B211" s="192" t="str">
        <f t="shared" si="57"/>
        <v>Halm og strå</v>
      </c>
      <c r="C211" s="192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2">
        <f t="shared" si="58"/>
        <v>2030</v>
      </c>
      <c r="E211" s="190" t="s">
        <v>24</v>
      </c>
      <c r="F211" s="193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936016.68504196673</v>
      </c>
      <c r="G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68700.076202243421</v>
      </c>
      <c r="H211" s="190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82995.732675897758</v>
      </c>
      <c r="I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0</v>
      </c>
      <c r="K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3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388995.48453602241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395325.39162780321</v>
      </c>
      <c r="N211" s="202">
        <f t="shared" si="48"/>
        <v>0</v>
      </c>
      <c r="O211" s="193">
        <f t="shared" si="59"/>
        <v>0</v>
      </c>
      <c r="P211" s="203">
        <f t="shared" si="49"/>
        <v>388995.48453602241</v>
      </c>
      <c r="Q211" s="190">
        <f>IFERROR(VLOOKUP(A211,[1]Energiindhold!$A$2:$C$11,3,FALSE),IFERROR(VLOOKUP(A211,[1]Biogasudbytte!$A$2:$B$18,2,FALSE)*[1]Energiindhold!$C$10,0))*O211</f>
        <v>0</v>
      </c>
      <c r="R211" s="190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4.0205819949620647</v>
      </c>
      <c r="S211" s="190">
        <f>IFERROR(VLOOKUP(A211,[1]Biogasudbytte!$A$2:$B$18,2,FALSE)*[1]Energiindhold!$C$10,0)*J211*IFERROR(VLOOKUP(A211,Biogasanlæg!$F$3:$G$8,2,FALSE),1)</f>
        <v>0</v>
      </c>
      <c r="T211" s="191">
        <f t="shared" si="50"/>
        <v>4.0205819949620647</v>
      </c>
      <c r="U211" s="189">
        <f>O211*IFERROR(VLOOKUP(A211,[1]Tørstofindhold!A$2:B$24,2,FALSE),0)</f>
        <v>0</v>
      </c>
      <c r="V211" s="190">
        <f>IF(D211=År1,P211,SUM(O211,P211))*IFERROR(VLOOKUP(A211,[1]Tørstofindhold!A$2:B$24,2,FALSE),0)</f>
        <v>330646.16185561905</v>
      </c>
      <c r="W211" s="190">
        <f>J211*IFERROR(VLOOKUP(A211,[1]Tørstofindhold!A$2:B$24,2,FALSE),0)</f>
        <v>0</v>
      </c>
      <c r="X211" s="191">
        <f t="shared" si="51"/>
        <v>330646.16185561905</v>
      </c>
      <c r="Y211" s="171">
        <f t="shared" si="60"/>
        <v>0</v>
      </c>
      <c r="Z211" s="103">
        <f t="shared" si="61"/>
        <v>0</v>
      </c>
    </row>
    <row r="212" spans="1:26" hidden="1" x14ac:dyDescent="0.25">
      <c r="A212" s="192" t="str">
        <f t="shared" si="56"/>
        <v>Have/parkaffald</v>
      </c>
      <c r="B212" s="192" t="str">
        <f t="shared" si="57"/>
        <v>Bionedbrydeligt affald</v>
      </c>
      <c r="C212" s="192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2">
        <f t="shared" si="58"/>
        <v>2030</v>
      </c>
      <c r="E212" s="190" t="s">
        <v>24</v>
      </c>
      <c r="F212" s="193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456074.89013160887</v>
      </c>
      <c r="G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0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371241.93216106802</v>
      </c>
      <c r="K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3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84832.957970540854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2">
        <f t="shared" si="48"/>
        <v>0</v>
      </c>
      <c r="O212" s="193">
        <f t="shared" si="59"/>
        <v>0</v>
      </c>
      <c r="P212" s="203">
        <f t="shared" si="49"/>
        <v>456074.89013160887</v>
      </c>
      <c r="Q212" s="190">
        <f>IFERROR(VLOOKUP(A212,[1]Energiindhold!$A$2:$C$11,3,FALSE),IFERROR(VLOOKUP(A212,[1]Biogasudbytte!$A$2:$B$18,2,FALSE)*[1]Energiindhold!$C$10,0))*O212</f>
        <v>0</v>
      </c>
      <c r="R212" s="190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2.1448514608558935</v>
      </c>
      <c r="S212" s="190">
        <f>IFERROR(VLOOKUP(A212,[1]Biogasudbytte!$A$2:$B$18,2,FALSE)*[1]Energiindhold!$C$10,0)*J212*IFERROR(VLOOKUP(A212,Biogasanlæg!$F$3:$G$8,2,FALSE),1)</f>
        <v>0.63039478774474478</v>
      </c>
      <c r="T212" s="191">
        <f t="shared" si="50"/>
        <v>1.5144566731111486</v>
      </c>
      <c r="U212" s="189">
        <f>O212*IFERROR(VLOOKUP(A212,[1]Tørstofindhold!A$2:B$24,2,FALSE),0)</f>
        <v>0</v>
      </c>
      <c r="V212" s="190">
        <f>IF(D212=År1,P212,SUM(O212,P212))*IFERROR(VLOOKUP(A212,[1]Tørstofindhold!A$2:B$24,2,FALSE),0)</f>
        <v>136822.46703948267</v>
      </c>
      <c r="W212" s="190">
        <f>J212*IFERROR(VLOOKUP(A212,[1]Tørstofindhold!A$2:B$24,2,FALSE),0)</f>
        <v>111372.5796483204</v>
      </c>
      <c r="X212" s="191">
        <f t="shared" si="51"/>
        <v>25449.887391162265</v>
      </c>
      <c r="Y212" s="171">
        <f t="shared" si="60"/>
        <v>0</v>
      </c>
      <c r="Z212" s="103">
        <f t="shared" si="61"/>
        <v>0</v>
      </c>
    </row>
    <row r="213" spans="1:26" hidden="1" x14ac:dyDescent="0.25">
      <c r="A213" s="192" t="str">
        <f t="shared" si="56"/>
        <v>Import af foder</v>
      </c>
      <c r="B213" s="192" t="str">
        <f t="shared" si="57"/>
        <v/>
      </c>
      <c r="C213" s="192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2">
        <f t="shared" si="58"/>
        <v>2030</v>
      </c>
      <c r="E213" s="190" t="s">
        <v>24</v>
      </c>
      <c r="F213" s="193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0</v>
      </c>
      <c r="H213" s="190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3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2">
        <f t="shared" si="48"/>
        <v>0</v>
      </c>
      <c r="O213" s="193">
        <f t="shared" si="59"/>
        <v>0</v>
      </c>
      <c r="P213" s="203">
        <f t="shared" si="49"/>
        <v>0</v>
      </c>
      <c r="Q213" s="190">
        <f>IFERROR(VLOOKUP(A213,[1]Energiindhold!$A$2:$C$11,3,FALSE),IFERROR(VLOOKUP(A213,[1]Biogasudbytte!$A$2:$B$18,2,FALSE)*[1]Energiindhold!$C$10,0))*O213</f>
        <v>0</v>
      </c>
      <c r="R213" s="190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0">
        <f>IFERROR(VLOOKUP(A213,[1]Biogasudbytte!$A$2:$B$18,2,FALSE)*[1]Energiindhold!$C$10,0)*J213*IFERROR(VLOOKUP(A213,Biogasanlæg!$F$3:$G$8,2,FALSE),1)</f>
        <v>0</v>
      </c>
      <c r="T213" s="191">
        <f t="shared" si="50"/>
        <v>0</v>
      </c>
      <c r="U213" s="189">
        <f>O213*IFERROR(VLOOKUP(A213,[1]Tørstofindhold!A$2:B$24,2,FALSE),0)</f>
        <v>0</v>
      </c>
      <c r="V213" s="190">
        <f>IF(D213=År1,P213,SUM(O213,P213))*IFERROR(VLOOKUP(A213,[1]Tørstofindhold!A$2:B$24,2,FALSE),0)</f>
        <v>0</v>
      </c>
      <c r="W213" s="190">
        <f>J213*IFERROR(VLOOKUP(A213,[1]Tørstofindhold!A$2:B$24,2,FALSE),0)</f>
        <v>0</v>
      </c>
      <c r="X213" s="191">
        <f t="shared" si="51"/>
        <v>0</v>
      </c>
      <c r="Y213" s="171">
        <f t="shared" si="60"/>
        <v>0</v>
      </c>
      <c r="Z213" s="103">
        <f t="shared" si="61"/>
        <v>0</v>
      </c>
    </row>
    <row r="214" spans="1:26" hidden="1" x14ac:dyDescent="0.25">
      <c r="A214" s="192" t="str">
        <f t="shared" si="56"/>
        <v>Industriaffald</v>
      </c>
      <c r="B214" s="192" t="str">
        <f t="shared" si="57"/>
        <v>Bionedbrydeligt affald</v>
      </c>
      <c r="C214" s="192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2">
        <f t="shared" si="58"/>
        <v>2030</v>
      </c>
      <c r="E214" s="190" t="s">
        <v>24</v>
      </c>
      <c r="F214" s="193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195457.14989002657</v>
      </c>
      <c r="G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0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179293.89312805064</v>
      </c>
      <c r="K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3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2">
        <f t="shared" si="48"/>
        <v>16163.256761975936</v>
      </c>
      <c r="O214" s="193">
        <f t="shared" si="59"/>
        <v>16163.256761975936</v>
      </c>
      <c r="P214" s="203">
        <f t="shared" si="49"/>
        <v>179293.89312805064</v>
      </c>
      <c r="Q214" s="190">
        <f>IFERROR(VLOOKUP(A214,[1]Energiindhold!$A$2:$C$11,3,FALSE),IFERROR(VLOOKUP(A214,[1]Biogasudbytte!$A$2:$B$18,2,FALSE)*[1]Energiindhold!$C$10,0))*O214</f>
        <v>7.0037492773020793E-2</v>
      </c>
      <c r="R214" s="190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0.73040567783347843</v>
      </c>
      <c r="S214" s="190">
        <f>IFERROR(VLOOKUP(A214,[1]Biogasudbytte!$A$2:$B$18,2,FALSE)*[1]Energiindhold!$C$10,0)*J214*IFERROR(VLOOKUP(A214,Biogasanlæg!$F$3:$G$8,2,FALSE),1)</f>
        <v>0.66036818506045758</v>
      </c>
      <c r="T214" s="191">
        <f t="shared" si="50"/>
        <v>7.0037492773020849E-2</v>
      </c>
      <c r="U214" s="189">
        <f>O214*IFERROR(VLOOKUP(A214,[1]Tørstofindhold!A$2:B$24,2,FALSE),0)</f>
        <v>6788.567840029893</v>
      </c>
      <c r="V214" s="190">
        <f>IF(D214=År1,P214,SUM(O214,P214))*IFERROR(VLOOKUP(A214,[1]Tørstofindhold!A$2:B$24,2,FALSE),0)</f>
        <v>82092.002953811156</v>
      </c>
      <c r="W214" s="190">
        <f>J214*IFERROR(VLOOKUP(A214,[1]Tørstofindhold!A$2:B$24,2,FALSE),0)</f>
        <v>75303.435113781263</v>
      </c>
      <c r="X214" s="191">
        <f t="shared" si="51"/>
        <v>6788.567840029893</v>
      </c>
      <c r="Y214" s="171">
        <f t="shared" si="60"/>
        <v>0</v>
      </c>
      <c r="Z214" s="103">
        <f t="shared" si="61"/>
        <v>1</v>
      </c>
    </row>
    <row r="215" spans="1:26" hidden="1" x14ac:dyDescent="0.25">
      <c r="A215" s="192" t="str">
        <f t="shared" si="56"/>
        <v>Juletræer</v>
      </c>
      <c r="B215" s="192" t="str">
        <f t="shared" si="57"/>
        <v/>
      </c>
      <c r="C215" s="192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2">
        <f t="shared" si="58"/>
        <v>2030</v>
      </c>
      <c r="E215" s="190" t="s">
        <v>24</v>
      </c>
      <c r="F215" s="193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204048.45051038259</v>
      </c>
      <c r="G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0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3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2">
        <f t="shared" si="48"/>
        <v>204048.45051038259</v>
      </c>
      <c r="O215" s="193">
        <f t="shared" si="59"/>
        <v>0</v>
      </c>
      <c r="P215" s="203">
        <f t="shared" si="49"/>
        <v>0</v>
      </c>
      <c r="Q215" s="190">
        <f>IFERROR(VLOOKUP(A215,[1]Energiindhold!$A$2:$C$11,3,FALSE),IFERROR(VLOOKUP(A215,[1]Biogasudbytte!$A$2:$B$18,2,FALSE)*[1]Energiindhold!$C$10,0))*O215</f>
        <v>0</v>
      </c>
      <c r="R215" s="190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0">
        <f>IFERROR(VLOOKUP(A215,[1]Biogasudbytte!$A$2:$B$18,2,FALSE)*[1]Energiindhold!$C$10,0)*J215*IFERROR(VLOOKUP(A215,Biogasanlæg!$F$3:$G$8,2,FALSE),1)</f>
        <v>0</v>
      </c>
      <c r="T215" s="191">
        <f t="shared" si="50"/>
        <v>0</v>
      </c>
      <c r="U215" s="189">
        <f>O215*IFERROR(VLOOKUP(A215,[1]Tørstofindhold!A$2:B$24,2,FALSE),0)</f>
        <v>0</v>
      </c>
      <c r="V215" s="190">
        <f>IF(D215=År1,P215,SUM(O215,P215))*IFERROR(VLOOKUP(A215,[1]Tørstofindhold!A$2:B$24,2,FALSE),0)</f>
        <v>0</v>
      </c>
      <c r="W215" s="190">
        <f>J215*IFERROR(VLOOKUP(A215,[1]Tørstofindhold!A$2:B$24,2,FALSE),0)</f>
        <v>0</v>
      </c>
      <c r="X215" s="191">
        <f t="shared" si="51"/>
        <v>0</v>
      </c>
      <c r="Y215" s="171">
        <f t="shared" si="60"/>
        <v>0</v>
      </c>
      <c r="Z215" s="103">
        <f t="shared" si="61"/>
        <v>1</v>
      </c>
    </row>
    <row r="216" spans="1:26" hidden="1" x14ac:dyDescent="0.25">
      <c r="A216" s="192" t="str">
        <f t="shared" si="56"/>
        <v>Kartofler</v>
      </c>
      <c r="B216" s="192" t="str">
        <f t="shared" si="57"/>
        <v/>
      </c>
      <c r="C216" s="192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2">
        <f t="shared" si="58"/>
        <v>2030</v>
      </c>
      <c r="E216" s="190" t="s">
        <v>24</v>
      </c>
      <c r="F216" s="193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680680.18601722247</v>
      </c>
      <c r="G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0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3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2">
        <f t="shared" ref="N216:N281" si="62">F216-SUM(G216:M216)</f>
        <v>573719.77137800585</v>
      </c>
      <c r="O216" s="193">
        <f t="shared" si="59"/>
        <v>0</v>
      </c>
      <c r="P216" s="203">
        <f t="shared" ref="P216:P281" si="63">SUM(J216,L216)</f>
        <v>0</v>
      </c>
      <c r="Q216" s="190">
        <f>IFERROR(VLOOKUP(A216,[1]Energiindhold!$A$2:$C$11,3,FALSE),IFERROR(VLOOKUP(A216,[1]Biogasudbytte!$A$2:$B$18,2,FALSE)*[1]Energiindhold!$C$10,0))*O216</f>
        <v>0</v>
      </c>
      <c r="R216" s="190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0">
        <f>IFERROR(VLOOKUP(A216,[1]Biogasudbytte!$A$2:$B$18,2,FALSE)*[1]Energiindhold!$C$10,0)*J216*IFERROR(VLOOKUP(A216,Biogasanlæg!$F$3:$G$8,2,FALSE),1)</f>
        <v>0</v>
      </c>
      <c r="T216" s="191">
        <f t="shared" ref="T216:T281" si="64">R216-S216</f>
        <v>0</v>
      </c>
      <c r="U216" s="189">
        <f>O216*IFERROR(VLOOKUP(A216,[1]Tørstofindhold!A$2:B$24,2,FALSE),0)</f>
        <v>0</v>
      </c>
      <c r="V216" s="190">
        <f>IF(D216=År1,P216,SUM(O216,P216))*IFERROR(VLOOKUP(A216,[1]Tørstofindhold!A$2:B$24,2,FALSE),0)</f>
        <v>0</v>
      </c>
      <c r="W216" s="190">
        <f>J216*IFERROR(VLOOKUP(A216,[1]Tørstofindhold!A$2:B$24,2,FALSE),0)</f>
        <v>0</v>
      </c>
      <c r="X216" s="191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hidden="1" x14ac:dyDescent="0.25">
      <c r="A217" s="192" t="str">
        <f t="shared" si="56"/>
        <v>Korn</v>
      </c>
      <c r="B217" s="192" t="str">
        <f t="shared" si="57"/>
        <v>Halm og strå</v>
      </c>
      <c r="C217" s="192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2">
        <f t="shared" si="58"/>
        <v>2030</v>
      </c>
      <c r="E217" s="190" t="s">
        <v>24</v>
      </c>
      <c r="F217" s="193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1541299.6719009152</v>
      </c>
      <c r="G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580308.89041419514</v>
      </c>
      <c r="H217" s="190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0</v>
      </c>
      <c r="K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3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2">
        <f>F217-SUM(G217:M217)</f>
        <v>704755.94202134409</v>
      </c>
      <c r="O217" s="193">
        <f t="shared" si="59"/>
        <v>506782.85975210578</v>
      </c>
      <c r="P217" s="203">
        <f t="shared" si="63"/>
        <v>0</v>
      </c>
      <c r="Q217" s="190">
        <f>IFERROR(VLOOKUP(A217,[1]Energiindhold!$A$2:$C$11,3,FALSE),IFERROR(VLOOKUP(A217,[1]Biogasudbytte!$A$2:$B$18,2,FALSE)*[1]Energiindhold!$C$10,0))*O217</f>
        <v>1.7356603450505974</v>
      </c>
      <c r="R217" s="190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1.7356603450505974</v>
      </c>
      <c r="S217" s="190">
        <f>IFERROR(VLOOKUP(A217,[1]Biogasudbytte!$A$2:$B$18,2,FALSE)*[1]Energiindhold!$C$10,0)*J217*IFERROR(VLOOKUP(A217,Biogasanlæg!$F$3:$G$8,2,FALSE),1)</f>
        <v>0</v>
      </c>
      <c r="T217" s="191">
        <f t="shared" si="64"/>
        <v>1.7356603450505974</v>
      </c>
      <c r="U217" s="189">
        <f>O217*IFERROR(VLOOKUP(A217,[1]Tørstofindhold!A$2:B$24,2,FALSE),0)</f>
        <v>157102.68652315278</v>
      </c>
      <c r="V217" s="190">
        <f>IF(D217=År1,P217,SUM(O217,P217))*IFERROR(VLOOKUP(A217,[1]Tørstofindhold!A$2:B$24,2,FALSE),0)</f>
        <v>157102.68652315278</v>
      </c>
      <c r="W217" s="190">
        <f>J217*IFERROR(VLOOKUP(A217,[1]Tørstofindhold!A$2:B$24,2,FALSE),0)</f>
        <v>0</v>
      </c>
      <c r="X217" s="191">
        <f t="shared" si="65"/>
        <v>157102.68652315278</v>
      </c>
      <c r="Y217" s="171">
        <f t="shared" si="60"/>
        <v>0</v>
      </c>
      <c r="Z217" s="103">
        <f t="shared" si="61"/>
        <v>1</v>
      </c>
    </row>
    <row r="218" spans="1:26" x14ac:dyDescent="0.25">
      <c r="A218" s="192" t="str">
        <f t="shared" si="56"/>
        <v>Kunstgødning</v>
      </c>
      <c r="B218" s="192" t="str">
        <f t="shared" si="57"/>
        <v/>
      </c>
      <c r="C218" s="192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2">
        <f t="shared" si="58"/>
        <v>2030</v>
      </c>
      <c r="E218" s="190" t="s">
        <v>24</v>
      </c>
      <c r="F218" s="193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0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3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515528.42000534153</v>
      </c>
      <c r="L218" s="193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2">
        <f t="shared" ca="1" si="62"/>
        <v>-515528.42000534153</v>
      </c>
      <c r="O218" s="193">
        <f t="shared" si="59"/>
        <v>0</v>
      </c>
      <c r="P218" s="203">
        <f t="shared" si="63"/>
        <v>0</v>
      </c>
      <c r="Q218" s="190">
        <f>IFERROR(VLOOKUP(A218,[1]Energiindhold!$A$2:$C$11,3,FALSE),IFERROR(VLOOKUP(A218,[1]Biogasudbytte!$A$2:$B$18,2,FALSE)*[1]Energiindhold!$C$10,0))*O218</f>
        <v>0</v>
      </c>
      <c r="R218" s="190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0">
        <f>IFERROR(VLOOKUP(A218,[1]Biogasudbytte!$A$2:$B$18,2,FALSE)*[1]Energiindhold!$C$10,0)*J218*IFERROR(VLOOKUP(A218,Biogasanlæg!$F$3:$G$8,2,FALSE),1)</f>
        <v>0</v>
      </c>
      <c r="T218" s="191">
        <f t="shared" si="64"/>
        <v>0</v>
      </c>
      <c r="U218" s="189">
        <f>O218*IFERROR(VLOOKUP(A218,[1]Tørstofindhold!A$2:B$24,2,FALSE),0)</f>
        <v>0</v>
      </c>
      <c r="V218" s="190">
        <f>IF(D218=År1,P218,SUM(O218,P218))*IFERROR(VLOOKUP(A218,[1]Tørstofindhold!A$2:B$24,2,FALSE),0)</f>
        <v>0</v>
      </c>
      <c r="W218" s="190">
        <f>J218*IFERROR(VLOOKUP(A218,[1]Tørstofindhold!A$2:B$24,2,FALSE),0)</f>
        <v>0</v>
      </c>
      <c r="X218" s="191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hidden="1" x14ac:dyDescent="0.25">
      <c r="A219" s="192" t="str">
        <f t="shared" si="56"/>
        <v>Kvæggylle</v>
      </c>
      <c r="B219" s="192" t="str">
        <f t="shared" si="57"/>
        <v>Husdyrgødning</v>
      </c>
      <c r="C219" s="192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2">
        <f t="shared" si="58"/>
        <v>2030</v>
      </c>
      <c r="E219" s="190" t="s">
        <v>24</v>
      </c>
      <c r="F219" s="193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738231.33813296724</v>
      </c>
      <c r="G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0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457703.4296424397</v>
      </c>
      <c r="K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280527.90849052754</v>
      </c>
      <c r="L219" s="193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2">
        <f t="shared" si="62"/>
        <v>0</v>
      </c>
      <c r="O219" s="193">
        <f t="shared" si="59"/>
        <v>0</v>
      </c>
      <c r="P219" s="203">
        <f t="shared" si="63"/>
        <v>457703.4296424397</v>
      </c>
      <c r="Q219" s="190">
        <f>IFERROR(VLOOKUP(A219,[1]Energiindhold!$A$2:$C$11,3,FALSE),IFERROR(VLOOKUP(A219,[1]Biogasudbytte!$A$2:$B$18,2,FALSE)*[1]Energiindhold!$C$10,0))*O219</f>
        <v>0</v>
      </c>
      <c r="R219" s="190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0.23168489905070658</v>
      </c>
      <c r="S219" s="190">
        <f>IFERROR(VLOOKUP(A219,[1]Biogasudbytte!$A$2:$B$18,2,FALSE)*[1]Energiindhold!$C$10,0)*J219*IFERROR(VLOOKUP(A219,Biogasanlæg!$F$3:$G$8,2,FALSE),1)</f>
        <v>0.23168489905070658</v>
      </c>
      <c r="T219" s="191">
        <f t="shared" si="64"/>
        <v>0</v>
      </c>
      <c r="U219" s="189">
        <f>O219*IFERROR(VLOOKUP(A219,[1]Tørstofindhold!A$2:B$24,2,FALSE),0)</f>
        <v>0</v>
      </c>
      <c r="V219" s="190">
        <f>IF(D219=År1,P219,SUM(O219,P219))*IFERROR(VLOOKUP(A219,[1]Tørstofindhold!A$2:B$24,2,FALSE),0)</f>
        <v>34785.460652825415</v>
      </c>
      <c r="W219" s="190">
        <f>J219*IFERROR(VLOOKUP(A219,[1]Tørstofindhold!A$2:B$24,2,FALSE),0)</f>
        <v>34785.460652825415</v>
      </c>
      <c r="X219" s="191">
        <f t="shared" si="65"/>
        <v>0</v>
      </c>
      <c r="Y219" s="171">
        <f t="shared" si="60"/>
        <v>0</v>
      </c>
      <c r="Z219" s="103">
        <f t="shared" si="61"/>
        <v>0</v>
      </c>
    </row>
    <row r="220" spans="1:26" hidden="1" x14ac:dyDescent="0.25">
      <c r="A220" s="192" t="str">
        <f t="shared" si="56"/>
        <v>Mælk til foder</v>
      </c>
      <c r="B220" s="192" t="str">
        <f t="shared" si="57"/>
        <v/>
      </c>
      <c r="C220" s="192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2">
        <f t="shared" si="58"/>
        <v>2030</v>
      </c>
      <c r="E220" s="190" t="s">
        <v>24</v>
      </c>
      <c r="F220" s="193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92168.427114874314</v>
      </c>
      <c r="G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135519.88529959068</v>
      </c>
      <c r="H220" s="190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3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2">
        <f t="shared" si="62"/>
        <v>-43351.458184716364</v>
      </c>
      <c r="O220" s="193">
        <f t="shared" si="59"/>
        <v>0</v>
      </c>
      <c r="P220" s="203">
        <f t="shared" si="63"/>
        <v>0</v>
      </c>
      <c r="Q220" s="190">
        <f>IFERROR(VLOOKUP(A220,[1]Energiindhold!$A$2:$C$11,3,FALSE),IFERROR(VLOOKUP(A220,[1]Biogasudbytte!$A$2:$B$18,2,FALSE)*[1]Energiindhold!$C$10,0))*O220</f>
        <v>0</v>
      </c>
      <c r="R220" s="190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0">
        <f>IFERROR(VLOOKUP(A220,[1]Biogasudbytte!$A$2:$B$18,2,FALSE)*[1]Energiindhold!$C$10,0)*J220*IFERROR(VLOOKUP(A220,Biogasanlæg!$F$3:$G$8,2,FALSE),1)</f>
        <v>0</v>
      </c>
      <c r="T220" s="191">
        <f t="shared" si="64"/>
        <v>0</v>
      </c>
      <c r="U220" s="189">
        <f>O220*IFERROR(VLOOKUP(A220,[1]Tørstofindhold!A$2:B$24,2,FALSE),0)</f>
        <v>0</v>
      </c>
      <c r="V220" s="190">
        <f>IF(D220=År1,P220,SUM(O220,P220))*IFERROR(VLOOKUP(A220,[1]Tørstofindhold!A$2:B$24,2,FALSE),0)</f>
        <v>0</v>
      </c>
      <c r="W220" s="190">
        <f>J220*IFERROR(VLOOKUP(A220,[1]Tørstofindhold!A$2:B$24,2,FALSE),0)</f>
        <v>0</v>
      </c>
      <c r="X220" s="191">
        <f t="shared" si="65"/>
        <v>0</v>
      </c>
      <c r="Y220" s="171">
        <f t="shared" si="60"/>
        <v>0</v>
      </c>
      <c r="Z220" s="103">
        <f t="shared" si="61"/>
        <v>1</v>
      </c>
    </row>
    <row r="221" spans="1:26" hidden="1" x14ac:dyDescent="0.25">
      <c r="A221" s="192" t="str">
        <f t="shared" si="56"/>
        <v>Majs</v>
      </c>
      <c r="B221" s="192" t="str">
        <f t="shared" si="57"/>
        <v>Græs og urter</v>
      </c>
      <c r="C221" s="192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2">
        <f t="shared" si="58"/>
        <v>2030</v>
      </c>
      <c r="E221" s="190" t="s">
        <v>24</v>
      </c>
      <c r="F221" s="193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1235469.8186668158</v>
      </c>
      <c r="G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566716.06683172472</v>
      </c>
      <c r="H221" s="190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0</v>
      </c>
      <c r="K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3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2">
        <f t="shared" si="62"/>
        <v>668753.75183509104</v>
      </c>
      <c r="O221" s="193">
        <f t="shared" si="59"/>
        <v>67599.913366085384</v>
      </c>
      <c r="P221" s="203">
        <f t="shared" si="63"/>
        <v>0</v>
      </c>
      <c r="Q221" s="190">
        <f>IFERROR(VLOOKUP(A221,[1]Energiindhold!$A$2:$C$11,3,FALSE),IFERROR(VLOOKUP(A221,[1]Biogasudbytte!$A$2:$B$18,2,FALSE)*[1]Energiindhold!$C$10,0))*O221</f>
        <v>0.24268368898424655</v>
      </c>
      <c r="R221" s="190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0.24268368898424655</v>
      </c>
      <c r="S221" s="190">
        <f>IFERROR(VLOOKUP(A221,[1]Biogasudbytte!$A$2:$B$18,2,FALSE)*[1]Energiindhold!$C$10,0)*J221*IFERROR(VLOOKUP(A221,Biogasanlæg!$F$3:$G$8,2,FALSE),1)</f>
        <v>0</v>
      </c>
      <c r="T221" s="191">
        <f t="shared" si="64"/>
        <v>0.24268368898424655</v>
      </c>
      <c r="U221" s="189">
        <f>O221*IFERROR(VLOOKUP(A221,[1]Tørstofindhold!A$2:B$24,2,FALSE),0)</f>
        <v>20279.974009825615</v>
      </c>
      <c r="V221" s="190">
        <f>IF(D221=År1,P221,SUM(O221,P221))*IFERROR(VLOOKUP(A221,[1]Tørstofindhold!A$2:B$24,2,FALSE),0)</f>
        <v>20279.974009825615</v>
      </c>
      <c r="W221" s="190">
        <f>J221*IFERROR(VLOOKUP(A221,[1]Tørstofindhold!A$2:B$24,2,FALSE),0)</f>
        <v>0</v>
      </c>
      <c r="X221" s="191">
        <f t="shared" si="65"/>
        <v>20279.974009825615</v>
      </c>
      <c r="Y221" s="171">
        <f t="shared" si="60"/>
        <v>0</v>
      </c>
      <c r="Z221" s="103">
        <f t="shared" si="61"/>
        <v>1</v>
      </c>
    </row>
    <row r="222" spans="1:26" hidden="1" x14ac:dyDescent="0.25">
      <c r="A222" s="192" t="str">
        <f t="shared" si="56"/>
        <v>Mejeriprodukter</v>
      </c>
      <c r="B222" s="192" t="str">
        <f t="shared" si="57"/>
        <v/>
      </c>
      <c r="C222" s="192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2">
        <f t="shared" si="58"/>
        <v>2030</v>
      </c>
      <c r="E222" s="190" t="s">
        <v>24</v>
      </c>
      <c r="F222" s="193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177837.22990030446</v>
      </c>
      <c r="G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0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3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2">
        <f t="shared" si="62"/>
        <v>-231198.20190680941</v>
      </c>
      <c r="O222" s="193">
        <f t="shared" si="59"/>
        <v>0</v>
      </c>
      <c r="P222" s="203">
        <f t="shared" si="63"/>
        <v>0</v>
      </c>
      <c r="Q222" s="190">
        <f>IFERROR(VLOOKUP(A222,[1]Energiindhold!$A$2:$C$11,3,FALSE),IFERROR(VLOOKUP(A222,[1]Biogasudbytte!$A$2:$B$18,2,FALSE)*[1]Energiindhold!$C$10,0))*O222</f>
        <v>0</v>
      </c>
      <c r="R222" s="190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0">
        <f>IFERROR(VLOOKUP(A222,[1]Biogasudbytte!$A$2:$B$18,2,FALSE)*[1]Energiindhold!$C$10,0)*J222*IFERROR(VLOOKUP(A222,Biogasanlæg!$F$3:$G$8,2,FALSE),1)</f>
        <v>0</v>
      </c>
      <c r="T222" s="191">
        <f t="shared" si="64"/>
        <v>0</v>
      </c>
      <c r="U222" s="189">
        <f>O222*IFERROR(VLOOKUP(A222,[1]Tørstofindhold!A$2:B$24,2,FALSE),0)</f>
        <v>0</v>
      </c>
      <c r="V222" s="190">
        <f>IF(D222=År1,P222,SUM(O222,P222))*IFERROR(VLOOKUP(A222,[1]Tørstofindhold!A$2:B$24,2,FALSE),0)</f>
        <v>0</v>
      </c>
      <c r="W222" s="190">
        <f>J222*IFERROR(VLOOKUP(A222,[1]Tørstofindhold!A$2:B$24,2,FALSE),0)</f>
        <v>0</v>
      </c>
      <c r="X222" s="191">
        <f t="shared" si="65"/>
        <v>0</v>
      </c>
      <c r="Y222" s="171">
        <f t="shared" si="60"/>
        <v>0</v>
      </c>
      <c r="Z222" s="103">
        <f t="shared" si="61"/>
        <v>1</v>
      </c>
    </row>
    <row r="223" spans="1:26" hidden="1" x14ac:dyDescent="0.25">
      <c r="A223" s="192" t="str">
        <f t="shared" si="56"/>
        <v>Muslinger</v>
      </c>
      <c r="B223" s="192" t="str">
        <f t="shared" si="57"/>
        <v>Havbiomasse</v>
      </c>
      <c r="C223" s="192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2">
        <f t="shared" si="58"/>
        <v>2030</v>
      </c>
      <c r="E223" s="190" t="s">
        <v>24</v>
      </c>
      <c r="F223" s="193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3243.3351780449079</v>
      </c>
      <c r="G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0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3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2">
        <f t="shared" si="62"/>
        <v>3243.3351780449079</v>
      </c>
      <c r="O223" s="193">
        <f t="shared" si="59"/>
        <v>3243.3351780449079</v>
      </c>
      <c r="P223" s="203">
        <f t="shared" si="63"/>
        <v>0</v>
      </c>
      <c r="Q223" s="190">
        <f>IFERROR(VLOOKUP(A223,[1]Energiindhold!$A$2:$C$11,3,FALSE),IFERROR(VLOOKUP(A223,[1]Biogasudbytte!$A$2:$B$18,2,FALSE)*[1]Energiindhold!$C$10,0))*O223</f>
        <v>2.9108933222953054E-3</v>
      </c>
      <c r="R223" s="190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0">
        <f>IFERROR(VLOOKUP(A223,[1]Biogasudbytte!$A$2:$B$18,2,FALSE)*[1]Energiindhold!$C$10,0)*J223*IFERROR(VLOOKUP(A223,Biogasanlæg!$F$3:$G$8,2,FALSE),1)</f>
        <v>0</v>
      </c>
      <c r="T223" s="191">
        <f t="shared" si="64"/>
        <v>2.9108933222953054E-3</v>
      </c>
      <c r="U223" s="189">
        <f>O223*IFERROR(VLOOKUP(A223,[1]Tørstofindhold!A$2:B$24,2,FALSE),0)</f>
        <v>486.50027670673614</v>
      </c>
      <c r="V223" s="190">
        <f>IF(D223=År1,P223,SUM(O223,P223))*IFERROR(VLOOKUP(A223,[1]Tørstofindhold!A$2:B$24,2,FALSE),0)</f>
        <v>486.50027670673614</v>
      </c>
      <c r="W223" s="190">
        <f>J223*IFERROR(VLOOKUP(A223,[1]Tørstofindhold!A$2:B$24,2,FALSE),0)</f>
        <v>0</v>
      </c>
      <c r="X223" s="191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hidden="1" x14ac:dyDescent="0.25">
      <c r="A224" s="192" t="str">
        <f t="shared" si="56"/>
        <v>Oksekød</v>
      </c>
      <c r="B224" s="192" t="str">
        <f t="shared" si="57"/>
        <v/>
      </c>
      <c r="C224" s="192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2">
        <f t="shared" si="58"/>
        <v>2030</v>
      </c>
      <c r="E224" s="190" t="s">
        <v>24</v>
      </c>
      <c r="F224" s="193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6036.6362564051497</v>
      </c>
      <c r="G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0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41580.567343702467</v>
      </c>
      <c r="J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3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2">
        <f t="shared" si="62"/>
        <v>-35543.931087297315</v>
      </c>
      <c r="O224" s="193">
        <f t="shared" si="59"/>
        <v>0</v>
      </c>
      <c r="P224" s="203">
        <f t="shared" si="63"/>
        <v>0</v>
      </c>
      <c r="Q224" s="190">
        <f>IFERROR(VLOOKUP(A224,[1]Energiindhold!$A$2:$C$11,3,FALSE),IFERROR(VLOOKUP(A224,[1]Biogasudbytte!$A$2:$B$18,2,FALSE)*[1]Energiindhold!$C$10,0))*O224</f>
        <v>0</v>
      </c>
      <c r="R224" s="190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0">
        <f>IFERROR(VLOOKUP(A224,[1]Biogasudbytte!$A$2:$B$18,2,FALSE)*[1]Energiindhold!$C$10,0)*J224*IFERROR(VLOOKUP(A224,Biogasanlæg!$F$3:$G$8,2,FALSE),1)</f>
        <v>0</v>
      </c>
      <c r="T224" s="191">
        <f t="shared" si="64"/>
        <v>0</v>
      </c>
      <c r="U224" s="189">
        <f>O224*IFERROR(VLOOKUP(A224,[1]Tørstofindhold!A$2:B$24,2,FALSE),0)</f>
        <v>0</v>
      </c>
      <c r="V224" s="190">
        <f>IF(D224=År1,P224,SUM(O224,P224))*IFERROR(VLOOKUP(A224,[1]Tørstofindhold!A$2:B$24,2,FALSE),0)</f>
        <v>0</v>
      </c>
      <c r="W224" s="190">
        <f>J224*IFERROR(VLOOKUP(A224,[1]Tørstofindhold!A$2:B$24,2,FALSE),0)</f>
        <v>0</v>
      </c>
      <c r="X224" s="191">
        <f t="shared" si="65"/>
        <v>0</v>
      </c>
      <c r="Y224" s="171">
        <f t="shared" si="60"/>
        <v>0</v>
      </c>
      <c r="Z224" s="103">
        <f t="shared" si="61"/>
        <v>1</v>
      </c>
    </row>
    <row r="225" spans="1:26" hidden="1" x14ac:dyDescent="0.25">
      <c r="A225" s="192" t="str">
        <f t="shared" si="56"/>
        <v>Øvrige</v>
      </c>
      <c r="B225" s="192" t="str">
        <f t="shared" si="57"/>
        <v/>
      </c>
      <c r="C225" s="192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2">
        <f t="shared" si="58"/>
        <v>2030</v>
      </c>
      <c r="E225" s="190" t="s">
        <v>24</v>
      </c>
      <c r="F225" s="193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449217.90264651313</v>
      </c>
      <c r="G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0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3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2">
        <f t="shared" si="62"/>
        <v>449217.90264651313</v>
      </c>
      <c r="O225" s="193">
        <f t="shared" si="59"/>
        <v>0</v>
      </c>
      <c r="P225" s="203">
        <f t="shared" si="63"/>
        <v>0</v>
      </c>
      <c r="Q225" s="190">
        <f>IFERROR(VLOOKUP(A225,[1]Energiindhold!$A$2:$C$11,3,FALSE),IFERROR(VLOOKUP(A225,[1]Biogasudbytte!$A$2:$B$18,2,FALSE)*[1]Energiindhold!$C$10,0))*O225</f>
        <v>0</v>
      </c>
      <c r="R225" s="190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0">
        <f>IFERROR(VLOOKUP(A225,[1]Biogasudbytte!$A$2:$B$18,2,FALSE)*[1]Energiindhold!$C$10,0)*J225*IFERROR(VLOOKUP(A225,Biogasanlæg!$F$3:$G$8,2,FALSE),1)</f>
        <v>0</v>
      </c>
      <c r="T225" s="191">
        <f t="shared" si="64"/>
        <v>0</v>
      </c>
      <c r="U225" s="189">
        <f>O225*IFERROR(VLOOKUP(A225,[1]Tørstofindhold!A$2:B$24,2,FALSE),0)</f>
        <v>0</v>
      </c>
      <c r="V225" s="190">
        <f>IF(D225=År1,P225,SUM(O225,P225))*IFERROR(VLOOKUP(A225,[1]Tørstofindhold!A$2:B$24,2,FALSE),0)</f>
        <v>0</v>
      </c>
      <c r="W225" s="190">
        <f>J225*IFERROR(VLOOKUP(A225,[1]Tørstofindhold!A$2:B$24,2,FALSE),0)</f>
        <v>0</v>
      </c>
      <c r="X225" s="191">
        <f t="shared" si="65"/>
        <v>0</v>
      </c>
      <c r="Y225" s="171">
        <f t="shared" si="60"/>
        <v>0</v>
      </c>
      <c r="Z225" s="103">
        <f t="shared" si="61"/>
        <v>1</v>
      </c>
    </row>
    <row r="226" spans="1:26" hidden="1" x14ac:dyDescent="0.25">
      <c r="A226" s="192" t="str">
        <f t="shared" si="56"/>
        <v>Pil &amp; poppel</v>
      </c>
      <c r="B226" s="192" t="str">
        <f t="shared" si="57"/>
        <v>Vedmasse</v>
      </c>
      <c r="C226" s="192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2">
        <f t="shared" si="58"/>
        <v>2030</v>
      </c>
      <c r="E226" s="190" t="s">
        <v>24</v>
      </c>
      <c r="F226" s="193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39848.41282272341</v>
      </c>
      <c r="G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0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3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39848.41282272341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2">
        <f t="shared" si="62"/>
        <v>0</v>
      </c>
      <c r="O226" s="193">
        <f t="shared" si="59"/>
        <v>0</v>
      </c>
      <c r="P226" s="203">
        <f t="shared" si="63"/>
        <v>39848.41282272341</v>
      </c>
      <c r="Q226" s="190">
        <f>IFERROR(VLOOKUP(A226,[1]Energiindhold!$A$2:$C$11,3,FALSE),IFERROR(VLOOKUP(A226,[1]Biogasudbytte!$A$2:$B$18,2,FALSE)*[1]Energiindhold!$C$10,0))*O226</f>
        <v>0</v>
      </c>
      <c r="R226" s="190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0.73321079593811067</v>
      </c>
      <c r="S226" s="190">
        <f>IFERROR(VLOOKUP(A226,[1]Biogasudbytte!$A$2:$B$18,2,FALSE)*[1]Energiindhold!$C$10,0)*J226*IFERROR(VLOOKUP(A226,Biogasanlæg!$F$3:$G$8,2,FALSE),1)</f>
        <v>0</v>
      </c>
      <c r="T226" s="191">
        <f t="shared" si="64"/>
        <v>0.73321079593811067</v>
      </c>
      <c r="U226" s="189">
        <f>O226*IFERROR(VLOOKUP(A226,[1]Tørstofindhold!A$2:B$24,2,FALSE),0)</f>
        <v>0</v>
      </c>
      <c r="V226" s="190">
        <f>IF(D226=År1,P226,SUM(O226,P226))*IFERROR(VLOOKUP(A226,[1]Tørstofindhold!A$2:B$24,2,FALSE),0)</f>
        <v>16537.091321430216</v>
      </c>
      <c r="W226" s="190">
        <f>J226*IFERROR(VLOOKUP(A226,[1]Tørstofindhold!A$2:B$24,2,FALSE),0)</f>
        <v>0</v>
      </c>
      <c r="X226" s="191">
        <f t="shared" si="65"/>
        <v>16537.091321430216</v>
      </c>
      <c r="Y226" s="171">
        <f t="shared" si="60"/>
        <v>0</v>
      </c>
      <c r="Z226" s="103">
        <f t="shared" si="61"/>
        <v>0</v>
      </c>
    </row>
    <row r="227" spans="1:26" hidden="1" x14ac:dyDescent="0.25">
      <c r="A227" s="192" t="str">
        <f t="shared" ref="A227:A228" si="66">A179</f>
        <v>Pyrolysegas</v>
      </c>
      <c r="B227" s="192" t="str">
        <f t="shared" ref="B227:B228" si="67">IF(B179&lt;&gt;"",B179,"")</f>
        <v>Pyrolyseprodukter</v>
      </c>
      <c r="C227" s="192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2">
        <f t="shared" si="58"/>
        <v>2030</v>
      </c>
      <c r="E227" s="190" t="s">
        <v>24</v>
      </c>
      <c r="F227" s="193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221382.21931156982</v>
      </c>
      <c r="G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0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3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221382.21931156982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2">
        <f t="shared" ref="N227:N228" si="68">F227-SUM(G227:M227)</f>
        <v>0</v>
      </c>
      <c r="O227" s="193">
        <f t="shared" si="59"/>
        <v>0</v>
      </c>
      <c r="P227" s="203">
        <f t="shared" ref="P227:P228" si="69">SUM(J227,L227)</f>
        <v>221382.21931156982</v>
      </c>
      <c r="Q227" s="190">
        <f>IFERROR(VLOOKUP(A227,[1]Energiindhold!$A$2:$C$11,3,FALSE),IFERROR(VLOOKUP(A227,[1]Biogasudbytte!$A$2:$B$18,2,FALSE)*[1]Energiindhold!$C$10,0))*O227</f>
        <v>0</v>
      </c>
      <c r="R227" s="190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1.9839009453449672</v>
      </c>
      <c r="S227" s="190">
        <f>IFERROR(VLOOKUP(A227,[1]Biogasudbytte!$A$2:$B$18,2,FALSE)*[1]Energiindhold!$C$10,0)*J227*IFERROR(VLOOKUP(A227,Biogasanlæg!$F$3:$G$8,2,FALSE),1)</f>
        <v>0</v>
      </c>
      <c r="T227" s="191">
        <f t="shared" ref="T227:T228" si="70">R227-S227</f>
        <v>1.9839009453449672</v>
      </c>
      <c r="U227" s="189">
        <f>O227*IFERROR(VLOOKUP(A227,[1]Tørstofindhold!A$2:B$24,2,FALSE),0)</f>
        <v>0</v>
      </c>
      <c r="V227" s="190">
        <f>IF(D227=År1,P227,SUM(O227,P227))*IFERROR(VLOOKUP(A227,[1]Tørstofindhold!A$2:B$24,2,FALSE),0)</f>
        <v>0</v>
      </c>
      <c r="W227" s="190">
        <f>J227*IFERROR(VLOOKUP(A227,[1]Tørstofindhold!A$2:B$24,2,FALSE),0)</f>
        <v>0</v>
      </c>
      <c r="X227" s="191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hidden="1" x14ac:dyDescent="0.25">
      <c r="A228" s="192" t="str">
        <f t="shared" si="66"/>
        <v>Pyrolyseolie</v>
      </c>
      <c r="B228" s="192" t="str">
        <f t="shared" si="67"/>
        <v>Pyrolyseprodukter</v>
      </c>
      <c r="C228" s="192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2">
        <f t="shared" si="58"/>
        <v>2030</v>
      </c>
      <c r="E228" s="190" t="s">
        <v>24</v>
      </c>
      <c r="F228" s="193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55345.554827892454</v>
      </c>
      <c r="G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0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3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55345.554827892454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2">
        <f t="shared" si="68"/>
        <v>0</v>
      </c>
      <c r="O228" s="193">
        <f t="shared" si="59"/>
        <v>0</v>
      </c>
      <c r="P228" s="203">
        <f t="shared" si="69"/>
        <v>55345.554827892454</v>
      </c>
      <c r="Q228" s="190">
        <f>IFERROR(VLOOKUP(A228,[1]Energiindhold!$A$2:$C$11,3,FALSE),IFERROR(VLOOKUP(A228,[1]Biogasudbytte!$A$2:$B$18,2,FALSE)*[1]Energiindhold!$C$10,0))*O228</f>
        <v>0</v>
      </c>
      <c r="R228" s="190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1.8412675440456558</v>
      </c>
      <c r="S228" s="190">
        <f>IFERROR(VLOOKUP(A228,[1]Biogasudbytte!$A$2:$B$18,2,FALSE)*[1]Energiindhold!$C$10,0)*J228*IFERROR(VLOOKUP(A228,Biogasanlæg!$F$3:$G$8,2,FALSE),1)</f>
        <v>0</v>
      </c>
      <c r="T228" s="191">
        <f t="shared" si="70"/>
        <v>1.8412675440456558</v>
      </c>
      <c r="U228" s="189">
        <f>O228*IFERROR(VLOOKUP(A228,[1]Tørstofindhold!A$2:B$24,2,FALSE),0)</f>
        <v>0</v>
      </c>
      <c r="V228" s="190">
        <f>IF(D228=År1,P228,SUM(O228,P228))*IFERROR(VLOOKUP(A228,[1]Tørstofindhold!A$2:B$24,2,FALSE),0)</f>
        <v>0</v>
      </c>
      <c r="W228" s="190">
        <f>J228*IFERROR(VLOOKUP(A228,[1]Tørstofindhold!A$2:B$24,2,FALSE),0)</f>
        <v>0</v>
      </c>
      <c r="X228" s="191">
        <f t="shared" si="71"/>
        <v>0</v>
      </c>
      <c r="Y228" s="171">
        <f t="shared" si="60"/>
        <v>0</v>
      </c>
      <c r="Z228" s="103">
        <f t="shared" si="61"/>
        <v>0</v>
      </c>
    </row>
    <row r="229" spans="1:26" hidden="1" x14ac:dyDescent="0.25">
      <c r="A229" s="192" t="str">
        <f t="shared" ref="A229:A274" si="72">A181</f>
        <v>Råmælk</v>
      </c>
      <c r="B229" s="192" t="str">
        <f t="shared" ref="B229:B274" si="73">IF(B181&lt;&gt;"",B181,"")</f>
        <v/>
      </c>
      <c r="C229" s="192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2">
        <f t="shared" si="58"/>
        <v>2030</v>
      </c>
      <c r="E229" s="190" t="s">
        <v>24</v>
      </c>
      <c r="F229" s="193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276928.87898992695</v>
      </c>
      <c r="G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0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3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2">
        <f t="shared" si="62"/>
        <v>276928.87898992695</v>
      </c>
      <c r="O229" s="193">
        <f t="shared" si="59"/>
        <v>0</v>
      </c>
      <c r="P229" s="203">
        <f t="shared" si="63"/>
        <v>0</v>
      </c>
      <c r="Q229" s="190">
        <f>IFERROR(VLOOKUP(A229,[1]Energiindhold!$A$2:$C$11,3,FALSE),IFERROR(VLOOKUP(A229,[1]Biogasudbytte!$A$2:$B$18,2,FALSE)*[1]Energiindhold!$C$10,0))*O229</f>
        <v>0</v>
      </c>
      <c r="R229" s="190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0">
        <f>IFERROR(VLOOKUP(A229,[1]Biogasudbytte!$A$2:$B$18,2,FALSE)*[1]Energiindhold!$C$10,0)*J229*IFERROR(VLOOKUP(A229,Biogasanlæg!$F$3:$G$8,2,FALSE),1)</f>
        <v>0</v>
      </c>
      <c r="T229" s="191">
        <f t="shared" si="64"/>
        <v>0</v>
      </c>
      <c r="U229" s="189">
        <f>O229*IFERROR(VLOOKUP(A229,[1]Tørstofindhold!A$2:B$24,2,FALSE),0)</f>
        <v>0</v>
      </c>
      <c r="V229" s="190">
        <f>IF(D229=År1,P229,SUM(O229,P229))*IFERROR(VLOOKUP(A229,[1]Tørstofindhold!A$2:B$24,2,FALSE),0)</f>
        <v>0</v>
      </c>
      <c r="W229" s="190">
        <f>J229*IFERROR(VLOOKUP(A229,[1]Tørstofindhold!A$2:B$24,2,FALSE),0)</f>
        <v>0</v>
      </c>
      <c r="X229" s="191">
        <f t="shared" si="65"/>
        <v>0</v>
      </c>
      <c r="Y229" s="171">
        <f t="shared" si="60"/>
        <v>0</v>
      </c>
      <c r="Z229" s="103">
        <f t="shared" si="61"/>
        <v>1</v>
      </c>
    </row>
    <row r="230" spans="1:26" hidden="1" x14ac:dyDescent="0.25">
      <c r="A230" s="192" t="str">
        <f t="shared" si="72"/>
        <v>Raps</v>
      </c>
      <c r="B230" s="192" t="str">
        <f t="shared" si="73"/>
        <v/>
      </c>
      <c r="C230" s="192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2">
        <f t="shared" si="58"/>
        <v>2030</v>
      </c>
      <c r="E230" s="190" t="s">
        <v>24</v>
      </c>
      <c r="F230" s="193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214510.72415794732</v>
      </c>
      <c r="G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0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3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214510.72415794732</v>
      </c>
      <c r="N230" s="202">
        <f t="shared" si="62"/>
        <v>0</v>
      </c>
      <c r="O230" s="193">
        <f t="shared" si="59"/>
        <v>0</v>
      </c>
      <c r="P230" s="203">
        <f t="shared" si="63"/>
        <v>0</v>
      </c>
      <c r="Q230" s="190">
        <f>IFERROR(VLOOKUP(A230,[1]Energiindhold!$A$2:$C$11,3,FALSE),IFERROR(VLOOKUP(A230,[1]Biogasudbytte!$A$2:$B$18,2,FALSE)*[1]Energiindhold!$C$10,0))*O230</f>
        <v>0</v>
      </c>
      <c r="R230" s="190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0">
        <f>IFERROR(VLOOKUP(A230,[1]Biogasudbytte!$A$2:$B$18,2,FALSE)*[1]Energiindhold!$C$10,0)*J230*IFERROR(VLOOKUP(A230,Biogasanlæg!$F$3:$G$8,2,FALSE),1)</f>
        <v>0</v>
      </c>
      <c r="T230" s="191">
        <f t="shared" si="64"/>
        <v>0</v>
      </c>
      <c r="U230" s="189">
        <f>O230*IFERROR(VLOOKUP(A230,[1]Tørstofindhold!A$2:B$24,2,FALSE),0)</f>
        <v>0</v>
      </c>
      <c r="V230" s="190">
        <f>IF(D230=År1,P230,SUM(O230,P230))*IFERROR(VLOOKUP(A230,[1]Tørstofindhold!A$2:B$24,2,FALSE),0)</f>
        <v>0</v>
      </c>
      <c r="W230" s="190">
        <f>J230*IFERROR(VLOOKUP(A230,[1]Tørstofindhold!A$2:B$24,2,FALSE),0)</f>
        <v>0</v>
      </c>
      <c r="X230" s="191">
        <f t="shared" si="65"/>
        <v>0</v>
      </c>
      <c r="Y230" s="171">
        <f t="shared" si="60"/>
        <v>0</v>
      </c>
      <c r="Z230" s="103">
        <f t="shared" si="61"/>
        <v>0</v>
      </c>
    </row>
    <row r="231" spans="1:26" hidden="1" x14ac:dyDescent="0.25">
      <c r="A231" s="192" t="str">
        <f t="shared" si="72"/>
        <v>Rapskage</v>
      </c>
      <c r="B231" s="192" t="str">
        <f t="shared" si="73"/>
        <v/>
      </c>
      <c r="C231" s="192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2">
        <f t="shared" si="58"/>
        <v>2030</v>
      </c>
      <c r="E231" s="190" t="s">
        <v>24</v>
      </c>
      <c r="F231" s="193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107255.36207897366</v>
      </c>
      <c r="G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19420.588606927966</v>
      </c>
      <c r="H231" s="190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3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2">
        <f t="shared" si="62"/>
        <v>87834.773472045694</v>
      </c>
      <c r="O231" s="193">
        <f t="shared" si="59"/>
        <v>0</v>
      </c>
      <c r="P231" s="203">
        <f t="shared" si="63"/>
        <v>0</v>
      </c>
      <c r="Q231" s="190">
        <f>IFERROR(VLOOKUP(A231,[1]Energiindhold!$A$2:$C$11,3,FALSE),IFERROR(VLOOKUP(A231,[1]Biogasudbytte!$A$2:$B$18,2,FALSE)*[1]Energiindhold!$C$10,0))*O231</f>
        <v>0</v>
      </c>
      <c r="R231" s="190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0">
        <f>IFERROR(VLOOKUP(A231,[1]Biogasudbytte!$A$2:$B$18,2,FALSE)*[1]Energiindhold!$C$10,0)*J231*IFERROR(VLOOKUP(A231,Biogasanlæg!$F$3:$G$8,2,FALSE),1)</f>
        <v>0</v>
      </c>
      <c r="T231" s="191">
        <f t="shared" si="64"/>
        <v>0</v>
      </c>
      <c r="U231" s="189">
        <f>O231*IFERROR(VLOOKUP(A231,[1]Tørstofindhold!A$2:B$24,2,FALSE),0)</f>
        <v>0</v>
      </c>
      <c r="V231" s="190">
        <f>IF(D231=År1,P231,SUM(O231,P231))*IFERROR(VLOOKUP(A231,[1]Tørstofindhold!A$2:B$24,2,FALSE),0)</f>
        <v>0</v>
      </c>
      <c r="W231" s="190">
        <f>J231*IFERROR(VLOOKUP(A231,[1]Tørstofindhold!A$2:B$24,2,FALSE),0)</f>
        <v>0</v>
      </c>
      <c r="X231" s="191">
        <f t="shared" si="65"/>
        <v>0</v>
      </c>
      <c r="Y231" s="171">
        <f t="shared" si="60"/>
        <v>0</v>
      </c>
      <c r="Z231" s="103">
        <f t="shared" si="61"/>
        <v>1</v>
      </c>
    </row>
    <row r="232" spans="1:26" hidden="1" x14ac:dyDescent="0.25">
      <c r="A232" s="192" t="str">
        <f t="shared" si="72"/>
        <v>Rapsolie</v>
      </c>
      <c r="B232" s="192" t="str">
        <f t="shared" si="73"/>
        <v>Rapsolie</v>
      </c>
      <c r="C232" s="192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2">
        <f t="shared" si="58"/>
        <v>2030</v>
      </c>
      <c r="E232" s="190" t="s">
        <v>24</v>
      </c>
      <c r="F232" s="193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68643.431730543147</v>
      </c>
      <c r="G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0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3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68643.431730543147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2">
        <f t="shared" si="62"/>
        <v>0</v>
      </c>
      <c r="O232" s="193">
        <f t="shared" si="59"/>
        <v>0</v>
      </c>
      <c r="P232" s="203">
        <f t="shared" si="63"/>
        <v>68643.431730543147</v>
      </c>
      <c r="Q232" s="190">
        <f>IFERROR(VLOOKUP(A232,[1]Energiindhold!$A$2:$C$11,3,FALSE),IFERROR(VLOOKUP(A232,[1]Biogasudbytte!$A$2:$B$18,2,FALSE)*[1]Energiindhold!$C$10,0))*O232</f>
        <v>0</v>
      </c>
      <c r="R232" s="190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2.4025201105690099</v>
      </c>
      <c r="S232" s="190">
        <f>IFERROR(VLOOKUP(A232,[1]Biogasudbytte!$A$2:$B$18,2,FALSE)*[1]Energiindhold!$C$10,0)*J232*IFERROR(VLOOKUP(A232,Biogasanlæg!$F$3:$G$8,2,FALSE),1)</f>
        <v>0</v>
      </c>
      <c r="T232" s="191">
        <f t="shared" si="64"/>
        <v>2.4025201105690099</v>
      </c>
      <c r="U232" s="189">
        <f>O232*IFERROR(VLOOKUP(A232,[1]Tørstofindhold!A$2:B$24,2,FALSE),0)</f>
        <v>0</v>
      </c>
      <c r="V232" s="190">
        <f>IF(D232=År1,P232,SUM(O232,P232))*IFERROR(VLOOKUP(A232,[1]Tørstofindhold!A$2:B$24,2,FALSE),0)</f>
        <v>0</v>
      </c>
      <c r="W232" s="190">
        <f>J232*IFERROR(VLOOKUP(A232,[1]Tørstofindhold!A$2:B$24,2,FALSE),0)</f>
        <v>0</v>
      </c>
      <c r="X232" s="191">
        <f t="shared" si="65"/>
        <v>0</v>
      </c>
      <c r="Y232" s="171">
        <f t="shared" si="60"/>
        <v>0</v>
      </c>
      <c r="Z232" s="103">
        <f t="shared" si="61"/>
        <v>0</v>
      </c>
    </row>
    <row r="233" spans="1:26" hidden="1" x14ac:dyDescent="0.25">
      <c r="A233" s="192" t="str">
        <f t="shared" si="72"/>
        <v>Roer</v>
      </c>
      <c r="B233" s="192" t="str">
        <f t="shared" si="73"/>
        <v>Græs og urter</v>
      </c>
      <c r="C233" s="192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2">
        <f t="shared" si="58"/>
        <v>2030</v>
      </c>
      <c r="E233" s="190" t="s">
        <v>24</v>
      </c>
      <c r="F233" s="193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224907.22799024681</v>
      </c>
      <c r="G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85727.434262012321</v>
      </c>
      <c r="H233" s="190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0</v>
      </c>
      <c r="K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3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2">
        <f t="shared" si="62"/>
        <v>139179.79372823448</v>
      </c>
      <c r="O233" s="193">
        <f t="shared" si="59"/>
        <v>107785.76819097856</v>
      </c>
      <c r="P233" s="203">
        <f t="shared" si="63"/>
        <v>0</v>
      </c>
      <c r="Q233" s="190">
        <f>IFERROR(VLOOKUP(A233,[1]Energiindhold!$A$2:$C$11,3,FALSE),IFERROR(VLOOKUP(A233,[1]Biogasudbytte!$A$2:$B$18,2,FALSE)*[1]Energiindhold!$C$10,0))*O233</f>
        <v>0.29253488630104346</v>
      </c>
      <c r="R233" s="190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0.29253488630104346</v>
      </c>
      <c r="S233" s="190">
        <f>IFERROR(VLOOKUP(A233,[1]Biogasudbytte!$A$2:$B$18,2,FALSE)*[1]Energiindhold!$C$10,0)*J233*IFERROR(VLOOKUP(A233,Biogasanlæg!$F$3:$G$8,2,FALSE),1)</f>
        <v>0</v>
      </c>
      <c r="T233" s="191">
        <f t="shared" si="64"/>
        <v>0.29253488630104346</v>
      </c>
      <c r="U233" s="189">
        <f>O233*IFERROR(VLOOKUP(A233,[1]Tørstofindhold!A$2:B$24,2,FALSE),0)</f>
        <v>21557.153638195712</v>
      </c>
      <c r="V233" s="190">
        <f>IF(D233=År1,P233,SUM(O233,P233))*IFERROR(VLOOKUP(A233,[1]Tørstofindhold!A$2:B$24,2,FALSE),0)</f>
        <v>21557.153638195712</v>
      </c>
      <c r="W233" s="190">
        <f>J233*IFERROR(VLOOKUP(A233,[1]Tørstofindhold!A$2:B$24,2,FALSE),0)</f>
        <v>0</v>
      </c>
      <c r="X233" s="191">
        <f t="shared" si="65"/>
        <v>21557.153638195712</v>
      </c>
      <c r="Y233" s="171">
        <f t="shared" si="60"/>
        <v>0</v>
      </c>
      <c r="Z233" s="103">
        <f t="shared" si="61"/>
        <v>1</v>
      </c>
    </row>
    <row r="234" spans="1:26" hidden="1" x14ac:dyDescent="0.25">
      <c r="A234" s="192" t="str">
        <f t="shared" si="72"/>
        <v>Slagteriaffald til andet</v>
      </c>
      <c r="B234" s="192" t="str">
        <f t="shared" si="73"/>
        <v/>
      </c>
      <c r="C234" s="192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2">
        <f t="shared" si="58"/>
        <v>2030</v>
      </c>
      <c r="E234" s="190" t="s">
        <v>24</v>
      </c>
      <c r="F234" s="193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18028.658633856463</v>
      </c>
      <c r="G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0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3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2">
        <f t="shared" si="62"/>
        <v>18028.658633856463</v>
      </c>
      <c r="O234" s="193">
        <f t="shared" si="59"/>
        <v>0</v>
      </c>
      <c r="P234" s="203">
        <f t="shared" si="63"/>
        <v>0</v>
      </c>
      <c r="Q234" s="190">
        <f>IFERROR(VLOOKUP(A234,[1]Energiindhold!$A$2:$C$11,3,FALSE),IFERROR(VLOOKUP(A234,[1]Biogasudbytte!$A$2:$B$18,2,FALSE)*[1]Energiindhold!$C$10,0))*O234</f>
        <v>0</v>
      </c>
      <c r="R234" s="190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0">
        <f>IFERROR(VLOOKUP(A234,[1]Biogasudbytte!$A$2:$B$18,2,FALSE)*[1]Energiindhold!$C$10,0)*J234*IFERROR(VLOOKUP(A234,Biogasanlæg!$F$3:$G$8,2,FALSE),1)</f>
        <v>0</v>
      </c>
      <c r="T234" s="191">
        <f t="shared" si="64"/>
        <v>0</v>
      </c>
      <c r="U234" s="189">
        <f>O234*IFERROR(VLOOKUP(A234,[1]Tørstofindhold!A$2:B$24,2,FALSE),0)</f>
        <v>0</v>
      </c>
      <c r="V234" s="190">
        <f>IF(D234=År1,P234,SUM(O234,P234))*IFERROR(VLOOKUP(A234,[1]Tørstofindhold!A$2:B$24,2,FALSE),0)</f>
        <v>0</v>
      </c>
      <c r="W234" s="190">
        <f>J234*IFERROR(VLOOKUP(A234,[1]Tørstofindhold!A$2:B$24,2,FALSE),0)</f>
        <v>0</v>
      </c>
      <c r="X234" s="191">
        <f t="shared" si="65"/>
        <v>0</v>
      </c>
      <c r="Y234" s="171">
        <f t="shared" si="60"/>
        <v>0</v>
      </c>
      <c r="Z234" s="103">
        <f t="shared" si="61"/>
        <v>1</v>
      </c>
    </row>
    <row r="235" spans="1:26" hidden="1" x14ac:dyDescent="0.25">
      <c r="A235" s="192" t="str">
        <f t="shared" si="72"/>
        <v>Slagteriaffald til foder</v>
      </c>
      <c r="B235" s="192" t="str">
        <f t="shared" si="73"/>
        <v/>
      </c>
      <c r="C235" s="192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2">
        <f t="shared" si="58"/>
        <v>2030</v>
      </c>
      <c r="E235" s="190" t="s">
        <v>24</v>
      </c>
      <c r="F235" s="193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14632.341003448482</v>
      </c>
      <c r="G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4747.4191497600004</v>
      </c>
      <c r="H235" s="190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3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2">
        <f t="shared" si="62"/>
        <v>9884.9218536884819</v>
      </c>
      <c r="O235" s="193">
        <f t="shared" si="59"/>
        <v>0</v>
      </c>
      <c r="P235" s="203">
        <f t="shared" si="63"/>
        <v>0</v>
      </c>
      <c r="Q235" s="190">
        <f>IFERROR(VLOOKUP(A235,[1]Energiindhold!$A$2:$C$11,3,FALSE),IFERROR(VLOOKUP(A235,[1]Biogasudbytte!$A$2:$B$18,2,FALSE)*[1]Energiindhold!$C$10,0))*O235</f>
        <v>0</v>
      </c>
      <c r="R235" s="190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0">
        <f>IFERROR(VLOOKUP(A235,[1]Biogasudbytte!$A$2:$B$18,2,FALSE)*[1]Energiindhold!$C$10,0)*J235*IFERROR(VLOOKUP(A235,Biogasanlæg!$F$3:$G$8,2,FALSE),1)</f>
        <v>0</v>
      </c>
      <c r="T235" s="191">
        <f t="shared" si="64"/>
        <v>0</v>
      </c>
      <c r="U235" s="189">
        <f>O235*IFERROR(VLOOKUP(A235,[1]Tørstofindhold!A$2:B$24,2,FALSE),0)</f>
        <v>0</v>
      </c>
      <c r="V235" s="190">
        <f>IF(D235=År1,P235,SUM(O235,P235))*IFERROR(VLOOKUP(A235,[1]Tørstofindhold!A$2:B$24,2,FALSE),0)</f>
        <v>0</v>
      </c>
      <c r="W235" s="190">
        <f>J235*IFERROR(VLOOKUP(A235,[1]Tørstofindhold!A$2:B$24,2,FALSE),0)</f>
        <v>0</v>
      </c>
      <c r="X235" s="191">
        <f t="shared" si="65"/>
        <v>0</v>
      </c>
      <c r="Y235" s="171">
        <f t="shared" si="60"/>
        <v>0</v>
      </c>
      <c r="Z235" s="103">
        <f t="shared" si="61"/>
        <v>1</v>
      </c>
    </row>
    <row r="236" spans="1:26" hidden="1" x14ac:dyDescent="0.25">
      <c r="A236" s="192" t="str">
        <f t="shared" si="72"/>
        <v>Spildevandsslam</v>
      </c>
      <c r="B236" s="192" t="str">
        <f t="shared" si="73"/>
        <v>Bionedbrydeligt affald</v>
      </c>
      <c r="C236" s="192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2">
        <f t="shared" si="58"/>
        <v>2030</v>
      </c>
      <c r="E236" s="190" t="s">
        <v>24</v>
      </c>
      <c r="F236" s="193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3342323.2852705466</v>
      </c>
      <c r="G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0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1671161.6426352733</v>
      </c>
      <c r="K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3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2">
        <f t="shared" si="62"/>
        <v>1671161.6426352733</v>
      </c>
      <c r="O236" s="193">
        <f t="shared" si="59"/>
        <v>1671161.6426352733</v>
      </c>
      <c r="P236" s="203">
        <f t="shared" si="63"/>
        <v>1671161.6426352733</v>
      </c>
      <c r="Q236" s="190">
        <f>IFERROR(VLOOKUP(A236,[1]Energiindhold!$A$2:$C$11,3,FALSE),IFERROR(VLOOKUP(A236,[1]Biogasudbytte!$A$2:$B$18,2,FALSE)*[1]Energiindhold!$C$10,0))*O236</f>
        <v>0.83392637129142788</v>
      </c>
      <c r="R236" s="190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1.6678527425828558</v>
      </c>
      <c r="S236" s="190">
        <f>IFERROR(VLOOKUP(A236,[1]Biogasudbytte!$A$2:$B$18,2,FALSE)*[1]Energiindhold!$C$10,0)*J236*IFERROR(VLOOKUP(A236,Biogasanlæg!$F$3:$G$8,2,FALSE),1)</f>
        <v>0.83392637129142788</v>
      </c>
      <c r="T236" s="191">
        <f t="shared" si="64"/>
        <v>0.83392637129142788</v>
      </c>
      <c r="U236" s="189">
        <f>O236*IFERROR(VLOOKUP(A236,[1]Tørstofindhold!A$2:B$24,2,FALSE),0)</f>
        <v>100269.69855811639</v>
      </c>
      <c r="V236" s="190">
        <f>IF(D236=År1,P236,SUM(O236,P236))*IFERROR(VLOOKUP(A236,[1]Tørstofindhold!A$2:B$24,2,FALSE),0)</f>
        <v>200539.39711623278</v>
      </c>
      <c r="W236" s="190">
        <f>J236*IFERROR(VLOOKUP(A236,[1]Tørstofindhold!A$2:B$24,2,FALSE),0)</f>
        <v>100269.69855811639</v>
      </c>
      <c r="X236" s="191">
        <f t="shared" si="65"/>
        <v>100269.69855811639</v>
      </c>
      <c r="Y236" s="171">
        <f t="shared" si="60"/>
        <v>0</v>
      </c>
      <c r="Z236" s="103">
        <f t="shared" si="61"/>
        <v>1</v>
      </c>
    </row>
    <row r="237" spans="1:26" hidden="1" x14ac:dyDescent="0.25">
      <c r="A237" s="192" t="str">
        <f t="shared" si="72"/>
        <v>Svinegylle</v>
      </c>
      <c r="B237" s="192" t="str">
        <f t="shared" si="73"/>
        <v>Husdyrgødning</v>
      </c>
      <c r="C237" s="192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2">
        <f t="shared" si="58"/>
        <v>2030</v>
      </c>
      <c r="E237" s="190" t="s">
        <v>24</v>
      </c>
      <c r="F237" s="193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1747439.8704342765</v>
      </c>
      <c r="G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0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1083412.7196692515</v>
      </c>
      <c r="K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664027.15076502506</v>
      </c>
      <c r="L237" s="193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2">
        <f t="shared" si="62"/>
        <v>0</v>
      </c>
      <c r="O237" s="193">
        <f t="shared" si="59"/>
        <v>0</v>
      </c>
      <c r="P237" s="203">
        <f t="shared" si="63"/>
        <v>1083412.7196692515</v>
      </c>
      <c r="Q237" s="190">
        <f>IFERROR(VLOOKUP(A237,[1]Energiindhold!$A$2:$C$11,3,FALSE),IFERROR(VLOOKUP(A237,[1]Biogasudbytte!$A$2:$B$18,2,FALSE)*[1]Energiindhold!$C$10,0))*O237</f>
        <v>0</v>
      </c>
      <c r="R237" s="190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0.46673419963351359</v>
      </c>
      <c r="S237" s="190">
        <f>IFERROR(VLOOKUP(A237,[1]Biogasudbytte!$A$2:$B$18,2,FALSE)*[1]Energiindhold!$C$10,0)*J237*IFERROR(VLOOKUP(A237,Biogasanlæg!$F$3:$G$8,2,FALSE),1)</f>
        <v>0.46673419963351359</v>
      </c>
      <c r="T237" s="191">
        <f t="shared" si="64"/>
        <v>0</v>
      </c>
      <c r="U237" s="189">
        <f>O237*IFERROR(VLOOKUP(A237,[1]Tørstofindhold!A$2:B$24,2,FALSE),0)</f>
        <v>0</v>
      </c>
      <c r="V237" s="190">
        <f>IF(D237=År1,P237,SUM(O237,P237))*IFERROR(VLOOKUP(A237,[1]Tørstofindhold!A$2:B$24,2,FALSE),0)</f>
        <v>54170.635983462576</v>
      </c>
      <c r="W237" s="190">
        <f>J237*IFERROR(VLOOKUP(A237,[1]Tørstofindhold!A$2:B$24,2,FALSE),0)</f>
        <v>54170.635983462576</v>
      </c>
      <c r="X237" s="191">
        <f t="shared" si="65"/>
        <v>0</v>
      </c>
      <c r="Y237" s="171">
        <f t="shared" si="60"/>
        <v>0</v>
      </c>
      <c r="Z237" s="103">
        <f t="shared" si="61"/>
        <v>0</v>
      </c>
    </row>
    <row r="238" spans="1:26" hidden="1" x14ac:dyDescent="0.25">
      <c r="A238" s="192" t="str">
        <f t="shared" si="72"/>
        <v>Svinekød</v>
      </c>
      <c r="B238" s="192" t="str">
        <f t="shared" si="73"/>
        <v/>
      </c>
      <c r="C238" s="192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2">
        <f t="shared" si="58"/>
        <v>2030</v>
      </c>
      <c r="E238" s="190" t="s">
        <v>24</v>
      </c>
      <c r="F238" s="193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159736.08962264023</v>
      </c>
      <c r="G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0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84421.151879638346</v>
      </c>
      <c r="J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3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2">
        <f t="shared" si="62"/>
        <v>75314.937743001879</v>
      </c>
      <c r="O238" s="193">
        <f t="shared" si="59"/>
        <v>0</v>
      </c>
      <c r="P238" s="203">
        <f t="shared" si="63"/>
        <v>0</v>
      </c>
      <c r="Q238" s="190">
        <f>IFERROR(VLOOKUP(A238,[1]Energiindhold!$A$2:$C$11,3,FALSE),IFERROR(VLOOKUP(A238,[1]Biogasudbytte!$A$2:$B$18,2,FALSE)*[1]Energiindhold!$C$10,0))*O238</f>
        <v>0</v>
      </c>
      <c r="R238" s="190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0">
        <f>IFERROR(VLOOKUP(A238,[1]Biogasudbytte!$A$2:$B$18,2,FALSE)*[1]Energiindhold!$C$10,0)*J238*IFERROR(VLOOKUP(A238,Biogasanlæg!$F$3:$G$8,2,FALSE),1)</f>
        <v>0</v>
      </c>
      <c r="T238" s="191">
        <f t="shared" si="64"/>
        <v>0</v>
      </c>
      <c r="U238" s="189">
        <f>O238*IFERROR(VLOOKUP(A238,[1]Tørstofindhold!A$2:B$24,2,FALSE),0)</f>
        <v>0</v>
      </c>
      <c r="V238" s="190">
        <f>IF(D238=År1,P238,SUM(O238,P238))*IFERROR(VLOOKUP(A238,[1]Tørstofindhold!A$2:B$24,2,FALSE),0)</f>
        <v>0</v>
      </c>
      <c r="W238" s="190">
        <f>J238*IFERROR(VLOOKUP(A238,[1]Tørstofindhold!A$2:B$24,2,FALSE),0)</f>
        <v>0</v>
      </c>
      <c r="X238" s="191">
        <f t="shared" si="65"/>
        <v>0</v>
      </c>
      <c r="Y238" s="171">
        <f t="shared" si="60"/>
        <v>0</v>
      </c>
      <c r="Z238" s="103">
        <f t="shared" si="61"/>
        <v>1</v>
      </c>
    </row>
    <row r="239" spans="1:26" hidden="1" x14ac:dyDescent="0.25">
      <c r="A239" s="192" t="str">
        <f t="shared" si="72"/>
        <v>Tang</v>
      </c>
      <c r="B239" s="192" t="str">
        <f t="shared" si="73"/>
        <v>Havbiomasse</v>
      </c>
      <c r="C239" s="192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2">
        <f t="shared" si="58"/>
        <v>2030</v>
      </c>
      <c r="E239" s="190" t="s">
        <v>24</v>
      </c>
      <c r="F239" s="193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3600</v>
      </c>
      <c r="G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0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3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2">
        <f t="shared" si="62"/>
        <v>3600</v>
      </c>
      <c r="O239" s="193">
        <f t="shared" si="59"/>
        <v>3600</v>
      </c>
      <c r="P239" s="203">
        <f t="shared" si="63"/>
        <v>0</v>
      </c>
      <c r="Q239" s="190">
        <f>IFERROR(VLOOKUP(A239,[1]Energiindhold!$A$2:$C$11,3,FALSE),IFERROR(VLOOKUP(A239,[1]Biogasudbytte!$A$2:$B$18,2,FALSE)*[1]Energiindhold!$C$10,0))*O239</f>
        <v>3.2310000000000004E-3</v>
      </c>
      <c r="R239" s="190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0">
        <f>IFERROR(VLOOKUP(A239,[1]Biogasudbytte!$A$2:$B$18,2,FALSE)*[1]Energiindhold!$C$10,0)*J239*IFERROR(VLOOKUP(A239,Biogasanlæg!$F$3:$G$8,2,FALSE),1)</f>
        <v>0</v>
      </c>
      <c r="T239" s="191">
        <f t="shared" si="64"/>
        <v>3.2310000000000004E-3</v>
      </c>
      <c r="U239" s="189">
        <f>O239*IFERROR(VLOOKUP(A239,[1]Tørstofindhold!A$2:B$24,2,FALSE),0)</f>
        <v>540</v>
      </c>
      <c r="V239" s="190">
        <f>IF(D239=År1,P239,SUM(O239,P239))*IFERROR(VLOOKUP(A239,[1]Tørstofindhold!A$2:B$24,2,FALSE),0)</f>
        <v>540</v>
      </c>
      <c r="W239" s="190">
        <f>J239*IFERROR(VLOOKUP(A239,[1]Tørstofindhold!A$2:B$24,2,FALSE),0)</f>
        <v>0</v>
      </c>
      <c r="X239" s="191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hidden="1" x14ac:dyDescent="0.25">
      <c r="A240" s="192" t="str">
        <f t="shared" si="72"/>
        <v>Total til biogas</v>
      </c>
      <c r="B240" s="192" t="str">
        <f t="shared" si="73"/>
        <v/>
      </c>
      <c r="C240" s="192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2">
        <f t="shared" si="58"/>
        <v>2030</v>
      </c>
      <c r="E240" s="190" t="s">
        <v>24</v>
      </c>
      <c r="F240" s="193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0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3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2">
        <f t="shared" si="62"/>
        <v>0</v>
      </c>
      <c r="O240" s="193">
        <f t="shared" si="59"/>
        <v>0</v>
      </c>
      <c r="P240" s="203">
        <f t="shared" si="63"/>
        <v>0</v>
      </c>
      <c r="Q240" s="190">
        <f>IFERROR(VLOOKUP(A240,[1]Energiindhold!$A$2:$C$11,3,FALSE),IFERROR(VLOOKUP(A240,[1]Biogasudbytte!$A$2:$B$18,2,FALSE)*[1]Energiindhold!$C$10,0))*O240</f>
        <v>0</v>
      </c>
      <c r="R240" s="190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0">
        <f>IFERROR(VLOOKUP(A240,[1]Biogasudbytte!$A$2:$B$18,2,FALSE)*[1]Energiindhold!$C$10,0)*J240*IFERROR(VLOOKUP(A240,Biogasanlæg!$F$3:$G$8,2,FALSE),1)</f>
        <v>0</v>
      </c>
      <c r="T240" s="191">
        <f t="shared" si="64"/>
        <v>0</v>
      </c>
      <c r="U240" s="189">
        <f>O240*IFERROR(VLOOKUP(A240,[1]Tørstofindhold!A$2:B$24,2,FALSE),0)</f>
        <v>0</v>
      </c>
      <c r="V240" s="190">
        <f>IF(D240=År1,P240,SUM(O240,P240))*IFERROR(VLOOKUP(A240,[1]Tørstofindhold!A$2:B$24,2,FALSE),0)</f>
        <v>0</v>
      </c>
      <c r="W240" s="190">
        <f>J240*IFERROR(VLOOKUP(A240,[1]Tørstofindhold!A$2:B$24,2,FALSE),0)</f>
        <v>0</v>
      </c>
      <c r="X240" s="191">
        <f t="shared" si="65"/>
        <v>0</v>
      </c>
      <c r="Y240" s="171">
        <f t="shared" si="60"/>
        <v>0</v>
      </c>
      <c r="Z240" s="103">
        <f t="shared" si="61"/>
        <v>0</v>
      </c>
    </row>
    <row r="241" spans="1:26" hidden="1" x14ac:dyDescent="0.25">
      <c r="A241" s="192" t="str">
        <f t="shared" si="72"/>
        <v>Træ til energi</v>
      </c>
      <c r="B241" s="192" t="str">
        <f t="shared" si="73"/>
        <v>Vedmasse</v>
      </c>
      <c r="C241" s="192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2">
        <f t="shared" si="58"/>
        <v>2030</v>
      </c>
      <c r="E241" s="190" t="s">
        <v>24</v>
      </c>
      <c r="F241" s="193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647935.48316961934</v>
      </c>
      <c r="G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0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3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647935.48316961934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2">
        <f t="shared" si="62"/>
        <v>0</v>
      </c>
      <c r="O241" s="193">
        <f t="shared" si="59"/>
        <v>0</v>
      </c>
      <c r="P241" s="203">
        <f t="shared" si="63"/>
        <v>647935.48316961934</v>
      </c>
      <c r="Q241" s="190">
        <f>IFERROR(VLOOKUP(A241,[1]Energiindhold!$A$2:$C$11,3,FALSE),IFERROR(VLOOKUP(A241,[1]Biogasudbytte!$A$2:$B$18,2,FALSE)*[1]Energiindhold!$C$10,0))*O241</f>
        <v>0</v>
      </c>
      <c r="R241" s="190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9.3908975685760261</v>
      </c>
      <c r="S241" s="190">
        <f>IFERROR(VLOOKUP(A241,[1]Biogasudbytte!$A$2:$B$18,2,FALSE)*[1]Energiindhold!$C$10,0)*J241*IFERROR(VLOOKUP(A241,Biogasanlæg!$F$3:$G$8,2,FALSE),1)</f>
        <v>0</v>
      </c>
      <c r="T241" s="191">
        <f t="shared" si="64"/>
        <v>9.3908975685760261</v>
      </c>
      <c r="U241" s="189">
        <f>O241*IFERROR(VLOOKUP(A241,[1]Tørstofindhold!A$2:B$24,2,FALSE),0)</f>
        <v>0</v>
      </c>
      <c r="V241" s="190">
        <f>IF(D241=År1,P241,SUM(O241,P241))*IFERROR(VLOOKUP(A241,[1]Tørstofindhold!A$2:B$24,2,FALSE),0)</f>
        <v>320458.09105097421</v>
      </c>
      <c r="W241" s="190">
        <f>J241*IFERROR(VLOOKUP(A241,[1]Tørstofindhold!A$2:B$24,2,FALSE),0)</f>
        <v>0</v>
      </c>
      <c r="X241" s="191">
        <f t="shared" si="65"/>
        <v>320458.09105097421</v>
      </c>
      <c r="Y241" s="171">
        <f t="shared" si="60"/>
        <v>0</v>
      </c>
      <c r="Z241" s="103">
        <f t="shared" si="61"/>
        <v>0</v>
      </c>
    </row>
    <row r="242" spans="1:26" hidden="1" x14ac:dyDescent="0.25">
      <c r="A242" s="192" t="str">
        <f t="shared" si="72"/>
        <v>Træmaterialer</v>
      </c>
      <c r="B242" s="192" t="str">
        <f t="shared" si="73"/>
        <v/>
      </c>
      <c r="C242" s="192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2">
        <f t="shared" si="58"/>
        <v>2030</v>
      </c>
      <c r="E242" s="190" t="s">
        <v>24</v>
      </c>
      <c r="F242" s="193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178333.04788774872</v>
      </c>
      <c r="G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0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3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178333.04788774872</v>
      </c>
      <c r="N242" s="202">
        <f t="shared" si="62"/>
        <v>0</v>
      </c>
      <c r="O242" s="193">
        <f t="shared" si="59"/>
        <v>0</v>
      </c>
      <c r="P242" s="203">
        <f t="shared" si="63"/>
        <v>0</v>
      </c>
      <c r="Q242" s="190">
        <f>IFERROR(VLOOKUP(A242,[1]Energiindhold!$A$2:$C$11,3,FALSE),IFERROR(VLOOKUP(A242,[1]Biogasudbytte!$A$2:$B$18,2,FALSE)*[1]Energiindhold!$C$10,0))*O242</f>
        <v>0</v>
      </c>
      <c r="R242" s="190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0">
        <f>IFERROR(VLOOKUP(A242,[1]Biogasudbytte!$A$2:$B$18,2,FALSE)*[1]Energiindhold!$C$10,0)*J242*IFERROR(VLOOKUP(A242,Biogasanlæg!$F$3:$G$8,2,FALSE),1)</f>
        <v>0</v>
      </c>
      <c r="T242" s="191">
        <f t="shared" si="64"/>
        <v>0</v>
      </c>
      <c r="U242" s="189">
        <f>O242*IFERROR(VLOOKUP(A242,[1]Tørstofindhold!A$2:B$24,2,FALSE),0)</f>
        <v>0</v>
      </c>
      <c r="V242" s="190">
        <f>IF(D242=År1,P242,SUM(O242,P242))*IFERROR(VLOOKUP(A242,[1]Tørstofindhold!A$2:B$24,2,FALSE),0)</f>
        <v>0</v>
      </c>
      <c r="W242" s="190">
        <f>J242*IFERROR(VLOOKUP(A242,[1]Tørstofindhold!A$2:B$24,2,FALSE),0)</f>
        <v>0</v>
      </c>
      <c r="X242" s="191">
        <f t="shared" si="65"/>
        <v>0</v>
      </c>
      <c r="Y242" s="171">
        <f t="shared" si="60"/>
        <v>0</v>
      </c>
      <c r="Z242" s="103">
        <f t="shared" si="61"/>
        <v>0</v>
      </c>
    </row>
    <row r="243" spans="1:26" hidden="1" x14ac:dyDescent="0.25">
      <c r="A243" s="192" t="str">
        <f t="shared" si="72"/>
        <v>Æg</v>
      </c>
      <c r="B243" s="192" t="str">
        <f t="shared" si="73"/>
        <v/>
      </c>
      <c r="C243" s="192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2">
        <f t="shared" ref="D243:D281" si="74">År3</f>
        <v>2050</v>
      </c>
      <c r="E243" s="190" t="s">
        <v>24</v>
      </c>
      <c r="F243" s="193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17476.099590900943</v>
      </c>
      <c r="G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0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3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2">
        <f t="shared" si="62"/>
        <v>-12055.902429201011</v>
      </c>
      <c r="O243" s="193">
        <f t="shared" si="59"/>
        <v>0</v>
      </c>
      <c r="P243" s="203">
        <f t="shared" si="63"/>
        <v>0</v>
      </c>
      <c r="Q243" s="190">
        <f>IFERROR(VLOOKUP(A243,[1]Energiindhold!$A$2:$C$11,3,FALSE),IFERROR(VLOOKUP(A243,[1]Biogasudbytte!$A$2:$B$18,2,FALSE)*[1]Energiindhold!$C$10,0))*O243</f>
        <v>0</v>
      </c>
      <c r="R243" s="190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0">
        <f>IFERROR(VLOOKUP(A243,[1]Biogasudbytte!$A$2:$B$18,2,FALSE)*[1]Energiindhold!$C$10,0)*J243*IFERROR(VLOOKUP(A243,Biogasanlæg!$F$3:$G$8,2,FALSE),1)</f>
        <v>0</v>
      </c>
      <c r="T243" s="191">
        <f t="shared" si="64"/>
        <v>0</v>
      </c>
      <c r="U243" s="189">
        <f>O243*IFERROR(VLOOKUP(A243,[1]Tørstofindhold!A$2:B$24,2,FALSE),0)</f>
        <v>0</v>
      </c>
      <c r="V243" s="190">
        <f>IF(D243=År1,P243,SUM(O243,P243))*IFERROR(VLOOKUP(A243,[1]Tørstofindhold!A$2:B$24,2,FALSE),0)</f>
        <v>0</v>
      </c>
      <c r="W243" s="190">
        <f>J243*IFERROR(VLOOKUP(A243,[1]Tørstofindhold!A$2:B$24,2,FALSE),0)</f>
        <v>0</v>
      </c>
      <c r="X243" s="191">
        <f t="shared" si="65"/>
        <v>0</v>
      </c>
      <c r="Y243" s="171">
        <f t="shared" si="60"/>
        <v>0</v>
      </c>
      <c r="Z243" s="103">
        <f t="shared" si="61"/>
        <v>1</v>
      </c>
    </row>
    <row r="244" spans="1:26" hidden="1" x14ac:dyDescent="0.25">
      <c r="A244" s="192" t="str">
        <f t="shared" si="72"/>
        <v>Bælgsæd</v>
      </c>
      <c r="B244" s="192" t="str">
        <f t="shared" si="73"/>
        <v/>
      </c>
      <c r="C244" s="192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2">
        <f t="shared" si="74"/>
        <v>2050</v>
      </c>
      <c r="E244" s="190" t="s">
        <v>24</v>
      </c>
      <c r="F244" s="193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221015.95064111016</v>
      </c>
      <c r="G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3823.0915711153852</v>
      </c>
      <c r="H244" s="190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98440.006733673188</v>
      </c>
      <c r="J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3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2">
        <f t="shared" si="62"/>
        <v>118752.85233632159</v>
      </c>
      <c r="O244" s="193">
        <f t="shared" si="59"/>
        <v>0</v>
      </c>
      <c r="P244" s="203">
        <f t="shared" si="63"/>
        <v>0</v>
      </c>
      <c r="Q244" s="190">
        <f>IFERROR(VLOOKUP(A244,[1]Energiindhold!$A$2:$C$11,3,FALSE),IFERROR(VLOOKUP(A244,[1]Biogasudbytte!$A$2:$B$18,2,FALSE)*[1]Energiindhold!$C$10,0))*O244</f>
        <v>0</v>
      </c>
      <c r="R244" s="190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0">
        <f>IFERROR(VLOOKUP(A244,[1]Biogasudbytte!$A$2:$B$18,2,FALSE)*[1]Energiindhold!$C$10,0)*J244*IFERROR(VLOOKUP(A244,Biogasanlæg!$F$3:$G$8,2,FALSE),1)</f>
        <v>0</v>
      </c>
      <c r="T244" s="191">
        <f t="shared" si="64"/>
        <v>0</v>
      </c>
      <c r="U244" s="189">
        <f>O244*IFERROR(VLOOKUP(A244,[1]Tørstofindhold!A$2:B$24,2,FALSE),0)</f>
        <v>0</v>
      </c>
      <c r="V244" s="190">
        <f>IF(D244=År1,P244,SUM(O244,P244))*IFERROR(VLOOKUP(A244,[1]Tørstofindhold!A$2:B$24,2,FALSE),0)</f>
        <v>0</v>
      </c>
      <c r="W244" s="190">
        <f>J244*IFERROR(VLOOKUP(A244,[1]Tørstofindhold!A$2:B$24,2,FALSE),0)</f>
        <v>0</v>
      </c>
      <c r="X244" s="191">
        <f t="shared" si="65"/>
        <v>0</v>
      </c>
      <c r="Y244" s="171">
        <f t="shared" si="60"/>
        <v>0</v>
      </c>
      <c r="Z244" s="103">
        <f t="shared" si="61"/>
        <v>1</v>
      </c>
    </row>
    <row r="245" spans="1:26" hidden="1" x14ac:dyDescent="0.25">
      <c r="A245" s="192" t="str">
        <f t="shared" si="72"/>
        <v>Bioaffald</v>
      </c>
      <c r="B245" s="192" t="str">
        <f t="shared" si="73"/>
        <v>Bionedbrydeligt affald</v>
      </c>
      <c r="C245" s="192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2">
        <f t="shared" si="74"/>
        <v>2050</v>
      </c>
      <c r="E245" s="190" t="s">
        <v>24</v>
      </c>
      <c r="F245" s="193">
        <f ca="1"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172292.68030975034</v>
      </c>
      <c r="G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0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3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3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2">
        <f t="shared" ca="1" si="62"/>
        <v>-8.6147268739296123E-2</v>
      </c>
      <c r="O245" s="193">
        <f t="shared" ca="1" si="59"/>
        <v>0</v>
      </c>
      <c r="P245" s="203">
        <f t="shared" ca="1" si="63"/>
        <v>172292.76645701908</v>
      </c>
      <c r="Q245" s="190">
        <f ca="1">IFERROR(VLOOKUP(A245,[1]Energiindhold!$A$2:$C$11,3,FALSE),IFERROR(VLOOKUP(A245,[1]Biogasudbytte!$A$2:$B$18,2,FALSE)*[1]Energiindhold!$C$10,0))*O245</f>
        <v>0</v>
      </c>
      <c r="R245" s="190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0">
        <f ca="1">IFERROR(VLOOKUP(A245,[1]Biogasudbytte!$A$2:$B$18,2,FALSE)*[1]Energiindhold!$C$10,0)*J245*IFERROR(VLOOKUP(A245,Biogasanlæg!$F$3:$G$8,2,FALSE),1)</f>
        <v>0.58698594897008305</v>
      </c>
      <c r="T245" s="191">
        <f t="shared" ca="1" si="64"/>
        <v>0</v>
      </c>
      <c r="U245" s="189">
        <f ca="1">O245*IFERROR(VLOOKUP(A245,[1]Tørstofindhold!A$2:B$24,2,FALSE),0)</f>
        <v>0</v>
      </c>
      <c r="V245" s="190">
        <f ca="1">IF(D245=År1,P245,SUM(O245,P245))*IFERROR(VLOOKUP(A245,[1]Tørstofindhold!A$2:B$24,2,FALSE),0)</f>
        <v>48241.974607965349</v>
      </c>
      <c r="W245" s="190">
        <f ca="1">J245*IFERROR(VLOOKUP(A245,[1]Tørstofindhold!A$2:B$24,2,FALSE),0)</f>
        <v>48241.974607965349</v>
      </c>
      <c r="X245" s="191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hidden="1" x14ac:dyDescent="0.25">
      <c r="A246" s="192" t="str">
        <f t="shared" si="72"/>
        <v>Biogas</v>
      </c>
      <c r="B246" s="192" t="str">
        <f t="shared" si="73"/>
        <v/>
      </c>
      <c r="C246" s="192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2">
        <f t="shared" si="74"/>
        <v>2050</v>
      </c>
      <c r="E246" s="190" t="s">
        <v>24</v>
      </c>
      <c r="F246" s="193">
        <f ca="1"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149232892.94223267</v>
      </c>
      <c r="G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0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3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149232892.94223267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2">
        <f t="shared" ca="1" si="62"/>
        <v>0</v>
      </c>
      <c r="O246" s="193">
        <f t="shared" ca="1" si="59"/>
        <v>0</v>
      </c>
      <c r="P246" s="203">
        <f t="shared" ca="1" si="63"/>
        <v>149232892.94223267</v>
      </c>
      <c r="Q246" s="190">
        <f ca="1">IFERROR(VLOOKUP(A246,[1]Energiindhold!$A$2:$C$11,3,FALSE),IFERROR(VLOOKUP(A246,[1]Biogasudbytte!$A$2:$B$18,2,FALSE)*[1]Energiindhold!$C$10,0))*O246</f>
        <v>0</v>
      </c>
      <c r="R246" s="190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0">
        <f>IFERROR(VLOOKUP(A246,[1]Biogasudbytte!$A$2:$B$18,2,FALSE)*[1]Energiindhold!$C$10,0)*J246*IFERROR(VLOOKUP(A246,Biogasanlæg!$F$3:$G$8,2,FALSE),1)</f>
        <v>0</v>
      </c>
      <c r="T246" s="191">
        <f t="shared" si="64"/>
        <v>0</v>
      </c>
      <c r="U246" s="189">
        <f ca="1">O246*IFERROR(VLOOKUP(A246,[1]Tørstofindhold!A$2:B$24,2,FALSE),0)</f>
        <v>0</v>
      </c>
      <c r="V246" s="190">
        <f ca="1">IF(D246=År1,P246,SUM(O246,P246))*IFERROR(VLOOKUP(A246,[1]Tørstofindhold!A$2:B$24,2,FALSE),0)</f>
        <v>0</v>
      </c>
      <c r="W246" s="190">
        <f>J246*IFERROR(VLOOKUP(A246,[1]Tørstofindhold!A$2:B$24,2,FALSE),0)</f>
        <v>0</v>
      </c>
      <c r="X246" s="191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x14ac:dyDescent="0.25">
      <c r="A247" s="192" t="str">
        <f t="shared" si="72"/>
        <v>Biogasgylle</v>
      </c>
      <c r="B247" s="192" t="str">
        <f t="shared" si="73"/>
        <v/>
      </c>
      <c r="C247" s="192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2">
        <f t="shared" si="74"/>
        <v>2050</v>
      </c>
      <c r="E247" s="190" t="s">
        <v>24</v>
      </c>
      <c r="F247" s="193">
        <f ca="1"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4825001.4556238251</v>
      </c>
      <c r="G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0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3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3214901.5422402946</v>
      </c>
      <c r="L247" s="193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2">
        <f t="shared" ca="1" si="62"/>
        <v>1610099.9133835305</v>
      </c>
      <c r="O247" s="193">
        <f t="shared" si="59"/>
        <v>0</v>
      </c>
      <c r="P247" s="203">
        <f t="shared" si="63"/>
        <v>0</v>
      </c>
      <c r="Q247" s="190">
        <f>IFERROR(VLOOKUP(A247,[1]Energiindhold!$A$2:$C$11,3,FALSE),IFERROR(VLOOKUP(A247,[1]Biogasudbytte!$A$2:$B$18,2,FALSE)*[1]Energiindhold!$C$10,0))*O247</f>
        <v>0</v>
      </c>
      <c r="R247" s="190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0">
        <f>IFERROR(VLOOKUP(A247,[1]Biogasudbytte!$A$2:$B$18,2,FALSE)*[1]Energiindhold!$C$10,0)*J247*IFERROR(VLOOKUP(A247,Biogasanlæg!$F$3:$G$8,2,FALSE),1)</f>
        <v>0</v>
      </c>
      <c r="T247" s="191">
        <f t="shared" si="64"/>
        <v>0</v>
      </c>
      <c r="U247" s="189">
        <f>O247*IFERROR(VLOOKUP(A247,[1]Tørstofindhold!A$2:B$24,2,FALSE),0)</f>
        <v>0</v>
      </c>
      <c r="V247" s="190">
        <f>IF(D247=År1,P247,SUM(O247,P247))*IFERROR(VLOOKUP(A247,[1]Tørstofindhold!A$2:B$24,2,FALSE),0)</f>
        <v>0</v>
      </c>
      <c r="W247" s="190">
        <f>J247*IFERROR(VLOOKUP(A247,[1]Tørstofindhold!A$2:B$24,2,FALSE),0)</f>
        <v>0</v>
      </c>
      <c r="X247" s="191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hidden="1" x14ac:dyDescent="0.25">
      <c r="A248" s="192" t="str">
        <f t="shared" si="72"/>
        <v>Brun saft</v>
      </c>
      <c r="B248" s="192" t="str">
        <f t="shared" si="73"/>
        <v>Bionedbrydeligt affald</v>
      </c>
      <c r="C248" s="192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2">
        <f t="shared" si="74"/>
        <v>2050</v>
      </c>
      <c r="E248" s="190" t="s">
        <v>24</v>
      </c>
      <c r="F248" s="193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192821.80112748899</v>
      </c>
      <c r="G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0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154257.44090199118</v>
      </c>
      <c r="K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3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2">
        <f t="shared" si="62"/>
        <v>38564.360225497803</v>
      </c>
      <c r="O248" s="193">
        <f t="shared" si="59"/>
        <v>38564.360225497803</v>
      </c>
      <c r="P248" s="203">
        <f t="shared" si="63"/>
        <v>154257.44090199118</v>
      </c>
      <c r="Q248" s="190">
        <f>IFERROR(VLOOKUP(A248,[1]Energiindhold!$A$2:$C$11,3,FALSE),IFERROR(VLOOKUP(A248,[1]Biogasudbytte!$A$2:$B$18,2,FALSE)*[1]Energiindhold!$C$10,0))*O248</f>
        <v>2.1905562248559208E-2</v>
      </c>
      <c r="R248" s="190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0.10952781124279602</v>
      </c>
      <c r="S248" s="190">
        <f>IFERROR(VLOOKUP(A248,[1]Biogasudbytte!$A$2:$B$18,2,FALSE)*[1]Energiindhold!$C$10,0)*J248*IFERROR(VLOOKUP(A248,Biogasanlæg!$F$3:$G$8,2,FALSE),1)</f>
        <v>8.7622248994236818E-2</v>
      </c>
      <c r="T248" s="191">
        <f t="shared" si="64"/>
        <v>2.1905562248559204E-2</v>
      </c>
      <c r="U248" s="189">
        <f>O248*IFERROR(VLOOKUP(A248,[1]Tørstofindhold!A$2:B$24,2,FALSE),0)</f>
        <v>1649.1426822675</v>
      </c>
      <c r="V248" s="190">
        <f>IF(D248=År1,P248,SUM(O248,P248))*IFERROR(VLOOKUP(A248,[1]Tørstofindhold!A$2:B$24,2,FALSE),0)</f>
        <v>8245.7134113374996</v>
      </c>
      <c r="W248" s="190">
        <f>J248*IFERROR(VLOOKUP(A248,[1]Tørstofindhold!A$2:B$24,2,FALSE),0)</f>
        <v>6596.5707290699993</v>
      </c>
      <c r="X248" s="191">
        <f t="shared" si="65"/>
        <v>1649.1426822675003</v>
      </c>
      <c r="Y248" s="171">
        <f t="shared" si="60"/>
        <v>0</v>
      </c>
      <c r="Z248" s="103">
        <f t="shared" si="61"/>
        <v>1</v>
      </c>
    </row>
    <row r="249" spans="1:26" hidden="1" x14ac:dyDescent="0.25">
      <c r="A249" s="192" t="str">
        <f t="shared" si="72"/>
        <v>Dybstrøelse</v>
      </c>
      <c r="B249" s="192" t="str">
        <f t="shared" si="73"/>
        <v>Husdyrgødning</v>
      </c>
      <c r="C249" s="192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2">
        <f t="shared" si="74"/>
        <v>2050</v>
      </c>
      <c r="E249" s="190" t="s">
        <v>24</v>
      </c>
      <c r="F249" s="193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194332.65736576461</v>
      </c>
      <c r="G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0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155466.12589261169</v>
      </c>
      <c r="K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14713.758343407888</v>
      </c>
      <c r="L249" s="193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2">
        <f t="shared" si="62"/>
        <v>24152.773129745037</v>
      </c>
      <c r="O249" s="193">
        <f t="shared" si="59"/>
        <v>24152.773129745037</v>
      </c>
      <c r="P249" s="203">
        <f t="shared" si="63"/>
        <v>155466.12589261169</v>
      </c>
      <c r="Q249" s="190">
        <f>IFERROR(VLOOKUP(A249,[1]Energiindhold!$A$2:$C$11,3,FALSE),IFERROR(VLOOKUP(A249,[1]Biogasudbytte!$A$2:$B$18,2,FALSE)*[1]Energiindhold!$C$10,0))*O249</f>
        <v>5.2025073321470813E-2</v>
      </c>
      <c r="R249" s="190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0.38689910849415643</v>
      </c>
      <c r="S249" s="190">
        <f>IFERROR(VLOOKUP(A249,[1]Biogasudbytte!$A$2:$B$18,2,FALSE)*[1]Energiindhold!$C$10,0)*J249*IFERROR(VLOOKUP(A249,Biogasanlæg!$F$3:$G$8,2,FALSE),1)</f>
        <v>0.3348740351726856</v>
      </c>
      <c r="T249" s="191">
        <f t="shared" si="64"/>
        <v>5.2025073321470827E-2</v>
      </c>
      <c r="U249" s="189">
        <f>O249*IFERROR(VLOOKUP(A249,[1]Tørstofindhold!A$2:B$24,2,FALSE),0)</f>
        <v>7245.8319389235112</v>
      </c>
      <c r="V249" s="190">
        <f>IF(D249=År1,P249,SUM(O249,P249))*IFERROR(VLOOKUP(A249,[1]Tørstofindhold!A$2:B$24,2,FALSE),0)</f>
        <v>53885.669706707013</v>
      </c>
      <c r="W249" s="190">
        <f>J249*IFERROR(VLOOKUP(A249,[1]Tørstofindhold!A$2:B$24,2,FALSE),0)</f>
        <v>46639.837767783501</v>
      </c>
      <c r="X249" s="191">
        <f t="shared" si="65"/>
        <v>7245.8319389235112</v>
      </c>
      <c r="Y249" s="171">
        <f t="shared" si="60"/>
        <v>0</v>
      </c>
      <c r="Z249" s="103">
        <f t="shared" si="61"/>
        <v>1</v>
      </c>
    </row>
    <row r="250" spans="1:26" hidden="1" x14ac:dyDescent="0.25">
      <c r="A250" s="192" t="str">
        <f t="shared" si="72"/>
        <v>Fiberfraktion</v>
      </c>
      <c r="B250" s="192" t="str">
        <f t="shared" si="73"/>
        <v/>
      </c>
      <c r="C250" s="192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2">
        <f t="shared" si="74"/>
        <v>2050</v>
      </c>
      <c r="E250" s="190" t="s">
        <v>24</v>
      </c>
      <c r="F250" s="193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135811.75030438235</v>
      </c>
      <c r="G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136538.9846826923</v>
      </c>
      <c r="H250" s="190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3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2">
        <f t="shared" si="62"/>
        <v>-727.23437830994953</v>
      </c>
      <c r="O250" s="193">
        <f t="shared" si="59"/>
        <v>0</v>
      </c>
      <c r="P250" s="203">
        <f t="shared" si="63"/>
        <v>0</v>
      </c>
      <c r="Q250" s="190">
        <f>IFERROR(VLOOKUP(A250,[1]Energiindhold!$A$2:$C$11,3,FALSE),IFERROR(VLOOKUP(A250,[1]Biogasudbytte!$A$2:$B$18,2,FALSE)*[1]Energiindhold!$C$10,0))*O250</f>
        <v>0</v>
      </c>
      <c r="R250" s="190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0">
        <f>IFERROR(VLOOKUP(A250,[1]Biogasudbytte!$A$2:$B$18,2,FALSE)*[1]Energiindhold!$C$10,0)*J250*IFERROR(VLOOKUP(A250,Biogasanlæg!$F$3:$G$8,2,FALSE),1)</f>
        <v>0</v>
      </c>
      <c r="T250" s="191">
        <f t="shared" si="64"/>
        <v>0</v>
      </c>
      <c r="U250" s="189">
        <f>O250*IFERROR(VLOOKUP(A250,[1]Tørstofindhold!A$2:B$24,2,FALSE),0)</f>
        <v>0</v>
      </c>
      <c r="V250" s="190">
        <f>IF(D250=År1,P250,SUM(O250,P250))*IFERROR(VLOOKUP(A250,[1]Tørstofindhold!A$2:B$24,2,FALSE),0)</f>
        <v>0</v>
      </c>
      <c r="W250" s="190">
        <f>J250*IFERROR(VLOOKUP(A250,[1]Tørstofindhold!A$2:B$24,2,FALSE),0)</f>
        <v>0</v>
      </c>
      <c r="X250" s="191">
        <f t="shared" si="65"/>
        <v>0</v>
      </c>
      <c r="Y250" s="171">
        <f t="shared" si="60"/>
        <v>1</v>
      </c>
      <c r="Z250" s="103">
        <f t="shared" si="61"/>
        <v>0</v>
      </c>
    </row>
    <row r="251" spans="1:26" hidden="1" x14ac:dyDescent="0.25">
      <c r="A251" s="192" t="str">
        <f t="shared" si="72"/>
        <v>Fjerkrægylle</v>
      </c>
      <c r="B251" s="192" t="str">
        <f t="shared" si="73"/>
        <v>Husdyrgødning</v>
      </c>
      <c r="C251" s="192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2">
        <f t="shared" si="74"/>
        <v>2050</v>
      </c>
      <c r="E251" s="190" t="s">
        <v>24</v>
      </c>
      <c r="F251" s="193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723.09839736855315</v>
      </c>
      <c r="G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0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578.47871789484259</v>
      </c>
      <c r="K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144.61967947371059</v>
      </c>
      <c r="L251" s="193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2">
        <f t="shared" si="62"/>
        <v>0</v>
      </c>
      <c r="O251" s="193">
        <f t="shared" si="59"/>
        <v>0</v>
      </c>
      <c r="P251" s="203">
        <f t="shared" si="63"/>
        <v>578.47871789484259</v>
      </c>
      <c r="Q251" s="190">
        <f>IFERROR(VLOOKUP(A251,[1]Energiindhold!$A$2:$C$11,3,FALSE),IFERROR(VLOOKUP(A251,[1]Biogasudbytte!$A$2:$B$18,2,FALSE)*[1]Energiindhold!$C$10,0))*O251</f>
        <v>0</v>
      </c>
      <c r="R251" s="190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2.7205275623876551E-4</v>
      </c>
      <c r="S251" s="190">
        <f>IFERROR(VLOOKUP(A251,[1]Biogasudbytte!$A$2:$B$18,2,FALSE)*[1]Energiindhold!$C$10,0)*J251*IFERROR(VLOOKUP(A251,Biogasanlæg!$F$3:$G$8,2,FALSE),1)</f>
        <v>2.7205275623876551E-4</v>
      </c>
      <c r="T251" s="191">
        <f t="shared" si="64"/>
        <v>0</v>
      </c>
      <c r="U251" s="189">
        <f>O251*IFERROR(VLOOKUP(A251,[1]Tørstofindhold!A$2:B$24,2,FALSE),0)</f>
        <v>0</v>
      </c>
      <c r="V251" s="190">
        <f>IF(D251=År1,P251,SUM(O251,P251))*IFERROR(VLOOKUP(A251,[1]Tørstofindhold!A$2:B$24,2,FALSE),0)</f>
        <v>36.444159227375081</v>
      </c>
      <c r="W251" s="190">
        <f>J251*IFERROR(VLOOKUP(A251,[1]Tørstofindhold!A$2:B$24,2,FALSE),0)</f>
        <v>36.444159227375081</v>
      </c>
      <c r="X251" s="191">
        <f t="shared" si="65"/>
        <v>0</v>
      </c>
      <c r="Y251" s="171">
        <f t="shared" si="60"/>
        <v>0</v>
      </c>
      <c r="Z251" s="103">
        <f t="shared" si="61"/>
        <v>0</v>
      </c>
    </row>
    <row r="252" spans="1:26" hidden="1" x14ac:dyDescent="0.25">
      <c r="A252" s="192" t="str">
        <f t="shared" si="72"/>
        <v>Fjerkrækød</v>
      </c>
      <c r="B252" s="192" t="str">
        <f t="shared" si="73"/>
        <v/>
      </c>
      <c r="C252" s="192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2">
        <f t="shared" si="74"/>
        <v>2050</v>
      </c>
      <c r="E252" s="190" t="s">
        <v>24</v>
      </c>
      <c r="F252" s="193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14575.114892812006</v>
      </c>
      <c r="G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0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15996.501094221892</v>
      </c>
      <c r="J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3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2">
        <f t="shared" si="62"/>
        <v>-1421.3862014098868</v>
      </c>
      <c r="O252" s="193">
        <f t="shared" si="59"/>
        <v>0</v>
      </c>
      <c r="P252" s="203">
        <f t="shared" si="63"/>
        <v>0</v>
      </c>
      <c r="Q252" s="190">
        <f>IFERROR(VLOOKUP(A252,[1]Energiindhold!$A$2:$C$11,3,FALSE),IFERROR(VLOOKUP(A252,[1]Biogasudbytte!$A$2:$B$18,2,FALSE)*[1]Energiindhold!$C$10,0))*O252</f>
        <v>0</v>
      </c>
      <c r="R252" s="190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0">
        <f>IFERROR(VLOOKUP(A252,[1]Biogasudbytte!$A$2:$B$18,2,FALSE)*[1]Energiindhold!$C$10,0)*J252*IFERROR(VLOOKUP(A252,Biogasanlæg!$F$3:$G$8,2,FALSE),1)</f>
        <v>0</v>
      </c>
      <c r="T252" s="191">
        <f t="shared" si="64"/>
        <v>0</v>
      </c>
      <c r="U252" s="189">
        <f>O252*IFERROR(VLOOKUP(A252,[1]Tørstofindhold!A$2:B$24,2,FALSE),0)</f>
        <v>0</v>
      </c>
      <c r="V252" s="190">
        <f>IF(D252=År1,P252,SUM(O252,P252))*IFERROR(VLOOKUP(A252,[1]Tørstofindhold!A$2:B$24,2,FALSE),0)</f>
        <v>0</v>
      </c>
      <c r="W252" s="190">
        <f>J252*IFERROR(VLOOKUP(A252,[1]Tørstofindhold!A$2:B$24,2,FALSE),0)</f>
        <v>0</v>
      </c>
      <c r="X252" s="191">
        <f t="shared" si="65"/>
        <v>0</v>
      </c>
      <c r="Y252" s="171">
        <f t="shared" si="60"/>
        <v>0</v>
      </c>
      <c r="Z252" s="103">
        <f t="shared" si="61"/>
        <v>1</v>
      </c>
    </row>
    <row r="253" spans="1:26" hidden="1" x14ac:dyDescent="0.25">
      <c r="A253" s="192" t="str">
        <f t="shared" si="72"/>
        <v>Frø</v>
      </c>
      <c r="B253" s="192" t="str">
        <f t="shared" si="73"/>
        <v/>
      </c>
      <c r="C253" s="192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2">
        <f t="shared" si="74"/>
        <v>2050</v>
      </c>
      <c r="E253" s="190" t="s">
        <v>24</v>
      </c>
      <c r="F253" s="193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287387.86171913851</v>
      </c>
      <c r="G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0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3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2">
        <f t="shared" si="62"/>
        <v>287387.86171913851</v>
      </c>
      <c r="O253" s="193">
        <f t="shared" si="59"/>
        <v>0</v>
      </c>
      <c r="P253" s="203">
        <f t="shared" si="63"/>
        <v>0</v>
      </c>
      <c r="Q253" s="190">
        <f>IFERROR(VLOOKUP(A253,[1]Energiindhold!$A$2:$C$11,3,FALSE),IFERROR(VLOOKUP(A253,[1]Biogasudbytte!$A$2:$B$18,2,FALSE)*[1]Energiindhold!$C$10,0))*O253</f>
        <v>0</v>
      </c>
      <c r="R253" s="190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0">
        <f>IFERROR(VLOOKUP(A253,[1]Biogasudbytte!$A$2:$B$18,2,FALSE)*[1]Energiindhold!$C$10,0)*J253*IFERROR(VLOOKUP(A253,Biogasanlæg!$F$3:$G$8,2,FALSE),1)</f>
        <v>0</v>
      </c>
      <c r="T253" s="191">
        <f t="shared" si="64"/>
        <v>0</v>
      </c>
      <c r="U253" s="189">
        <f>O253*IFERROR(VLOOKUP(A253,[1]Tørstofindhold!A$2:B$24,2,FALSE),0)</f>
        <v>0</v>
      </c>
      <c r="V253" s="190">
        <f>IF(D253=År1,P253,SUM(O253,P253))*IFERROR(VLOOKUP(A253,[1]Tørstofindhold!A$2:B$24,2,FALSE),0)</f>
        <v>0</v>
      </c>
      <c r="W253" s="190">
        <f>J253*IFERROR(VLOOKUP(A253,[1]Tørstofindhold!A$2:B$24,2,FALSE),0)</f>
        <v>0</v>
      </c>
      <c r="X253" s="191">
        <f t="shared" si="65"/>
        <v>0</v>
      </c>
      <c r="Y253" s="171">
        <f t="shared" si="60"/>
        <v>0</v>
      </c>
      <c r="Z253" s="103">
        <f t="shared" si="61"/>
        <v>1</v>
      </c>
    </row>
    <row r="254" spans="1:26" hidden="1" x14ac:dyDescent="0.25">
      <c r="A254" s="192" t="str">
        <f t="shared" si="72"/>
        <v>Frugt</v>
      </c>
      <c r="B254" s="192" t="str">
        <f t="shared" si="73"/>
        <v/>
      </c>
      <c r="C254" s="192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2">
        <f t="shared" si="74"/>
        <v>2050</v>
      </c>
      <c r="E254" s="190" t="s">
        <v>24</v>
      </c>
      <c r="F254" s="193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42271.361313865054</v>
      </c>
      <c r="G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0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3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2">
        <f t="shared" si="62"/>
        <v>-191523.65467860876</v>
      </c>
      <c r="O254" s="193">
        <f t="shared" si="59"/>
        <v>0</v>
      </c>
      <c r="P254" s="203">
        <f t="shared" si="63"/>
        <v>0</v>
      </c>
      <c r="Q254" s="190">
        <f>IFERROR(VLOOKUP(A254,[1]Energiindhold!$A$2:$C$11,3,FALSE),IFERROR(VLOOKUP(A254,[1]Biogasudbytte!$A$2:$B$18,2,FALSE)*[1]Energiindhold!$C$10,0))*O254</f>
        <v>0</v>
      </c>
      <c r="R254" s="190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0">
        <f>IFERROR(VLOOKUP(A254,[1]Biogasudbytte!$A$2:$B$18,2,FALSE)*[1]Energiindhold!$C$10,0)*J254*IFERROR(VLOOKUP(A254,Biogasanlæg!$F$3:$G$8,2,FALSE),1)</f>
        <v>0</v>
      </c>
      <c r="T254" s="191">
        <f t="shared" si="64"/>
        <v>0</v>
      </c>
      <c r="U254" s="189">
        <f>O254*IFERROR(VLOOKUP(A254,[1]Tørstofindhold!A$2:B$24,2,FALSE),0)</f>
        <v>0</v>
      </c>
      <c r="V254" s="190">
        <f>IF(D254=År1,P254,SUM(O254,P254))*IFERROR(VLOOKUP(A254,[1]Tørstofindhold!A$2:B$24,2,FALSE),0)</f>
        <v>0</v>
      </c>
      <c r="W254" s="190">
        <f>J254*IFERROR(VLOOKUP(A254,[1]Tørstofindhold!A$2:B$24,2,FALSE),0)</f>
        <v>0</v>
      </c>
      <c r="X254" s="191">
        <f t="shared" si="65"/>
        <v>0</v>
      </c>
      <c r="Y254" s="171">
        <f t="shared" si="60"/>
        <v>1</v>
      </c>
      <c r="Z254" s="103">
        <f t="shared" si="61"/>
        <v>0</v>
      </c>
    </row>
    <row r="255" spans="1:26" hidden="1" x14ac:dyDescent="0.25">
      <c r="A255" s="192" t="str">
        <f t="shared" si="72"/>
        <v>Glycerin</v>
      </c>
      <c r="B255" s="192" t="str">
        <f t="shared" si="73"/>
        <v>Glycerin</v>
      </c>
      <c r="C255" s="192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2">
        <f t="shared" si="74"/>
        <v>2050</v>
      </c>
      <c r="E255" s="190" t="s">
        <v>24</v>
      </c>
      <c r="F255" s="193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0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3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2">
        <f t="shared" si="62"/>
        <v>-28548.400000000001</v>
      </c>
      <c r="O255" s="193">
        <f t="shared" si="59"/>
        <v>0</v>
      </c>
      <c r="P255" s="203">
        <f t="shared" si="63"/>
        <v>28548.400000000001</v>
      </c>
      <c r="Q255" s="190">
        <f>IFERROR(VLOOKUP(A255,[1]Energiindhold!$A$2:$C$11,3,FALSE),IFERROR(VLOOKUP(A255,[1]Biogasudbytte!$A$2:$B$18,2,FALSE)*[1]Energiindhold!$C$10,0))*O255</f>
        <v>0</v>
      </c>
      <c r="R255" s="190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0">
        <f>IFERROR(VLOOKUP(A255,[1]Biogasudbytte!$A$2:$B$18,2,FALSE)*[1]Energiindhold!$C$10,0)*J255*IFERROR(VLOOKUP(A255,Biogasanlæg!$F$3:$G$8,2,FALSE),1)</f>
        <v>0.43389639740160008</v>
      </c>
      <c r="T255" s="191">
        <f t="shared" si="64"/>
        <v>0</v>
      </c>
      <c r="U255" s="189">
        <f>O255*IFERROR(VLOOKUP(A255,[1]Tørstofindhold!A$2:B$24,2,FALSE),0)</f>
        <v>0</v>
      </c>
      <c r="V255" s="190">
        <f>IF(D255=År1,P255,SUM(O255,P255))*IFERROR(VLOOKUP(A255,[1]Tørstofindhold!A$2:B$24,2,FALSE),0)</f>
        <v>25693.56</v>
      </c>
      <c r="W255" s="190">
        <f>J255*IFERROR(VLOOKUP(A255,[1]Tørstofindhold!A$2:B$24,2,FALSE),0)</f>
        <v>25693.56</v>
      </c>
      <c r="X255" s="191">
        <f t="shared" si="65"/>
        <v>0</v>
      </c>
      <c r="Y255" s="171">
        <f t="shared" si="60"/>
        <v>1</v>
      </c>
      <c r="Z255" s="103">
        <f t="shared" si="61"/>
        <v>0</v>
      </c>
    </row>
    <row r="256" spans="1:26" hidden="1" x14ac:dyDescent="0.25">
      <c r="A256" s="192" t="str">
        <f t="shared" si="72"/>
        <v>Græs</v>
      </c>
      <c r="B256" s="192" t="str">
        <f t="shared" si="73"/>
        <v>Græs og urter</v>
      </c>
      <c r="C256" s="192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2">
        <f t="shared" si="74"/>
        <v>2050</v>
      </c>
      <c r="E256" s="190" t="s">
        <v>24</v>
      </c>
      <c r="F256" s="193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2888780.8014802146</v>
      </c>
      <c r="G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771991.75994211878</v>
      </c>
      <c r="H256" s="190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0</v>
      </c>
      <c r="K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3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394599.25872257137</v>
      </c>
      <c r="N256" s="202">
        <f t="shared" si="62"/>
        <v>1722189.7828155244</v>
      </c>
      <c r="O256" s="193">
        <f t="shared" si="59"/>
        <v>92224.67040210776</v>
      </c>
      <c r="P256" s="203">
        <f t="shared" si="63"/>
        <v>0</v>
      </c>
      <c r="Q256" s="190">
        <f>IFERROR(VLOOKUP(A256,[1]Energiindhold!$A$2:$C$11,3,FALSE),IFERROR(VLOOKUP(A256,[1]Biogasudbytte!$A$2:$B$18,2,FALSE)*[1]Energiindhold!$C$10,0))*O256</f>
        <v>0.16968186545607802</v>
      </c>
      <c r="R256" s="190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0.16968186545607802</v>
      </c>
      <c r="S256" s="190">
        <f>IFERROR(VLOOKUP(A256,[1]Biogasudbytte!$A$2:$B$18,2,FALSE)*[1]Energiindhold!$C$10,0)*J256*IFERROR(VLOOKUP(A256,Biogasanlæg!$F$3:$G$8,2,FALSE),1)</f>
        <v>0</v>
      </c>
      <c r="T256" s="191">
        <f t="shared" si="64"/>
        <v>0.16968186545607802</v>
      </c>
      <c r="U256" s="189">
        <f>O256*IFERROR(VLOOKUP(A256,[1]Tørstofindhold!A$2:B$24,2,FALSE),0)</f>
        <v>25822.907712590175</v>
      </c>
      <c r="V256" s="190">
        <f>IF(D256=År1,P256,SUM(O256,P256))*IFERROR(VLOOKUP(A256,[1]Tørstofindhold!A$2:B$24,2,FALSE),0)</f>
        <v>25822.907712590175</v>
      </c>
      <c r="W256" s="190">
        <f>J256*IFERROR(VLOOKUP(A256,[1]Tørstofindhold!A$2:B$24,2,FALSE),0)</f>
        <v>0</v>
      </c>
      <c r="X256" s="191">
        <f t="shared" si="65"/>
        <v>25822.907712590175</v>
      </c>
      <c r="Y256" s="171">
        <f t="shared" si="60"/>
        <v>0</v>
      </c>
      <c r="Z256" s="103">
        <f t="shared" si="61"/>
        <v>1</v>
      </c>
    </row>
    <row r="257" spans="1:26" hidden="1" x14ac:dyDescent="0.25">
      <c r="A257" s="192" t="str">
        <f t="shared" si="72"/>
        <v>Græsprotein</v>
      </c>
      <c r="B257" s="192" t="str">
        <f t="shared" si="73"/>
        <v/>
      </c>
      <c r="C257" s="192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2">
        <f t="shared" si="74"/>
        <v>2050</v>
      </c>
      <c r="E257" s="190" t="s">
        <v>24</v>
      </c>
      <c r="F257" s="193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65965.707290699997</v>
      </c>
      <c r="G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65965.707290699997</v>
      </c>
      <c r="H257" s="190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3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2">
        <f t="shared" si="62"/>
        <v>0</v>
      </c>
      <c r="O257" s="193">
        <f t="shared" si="59"/>
        <v>0</v>
      </c>
      <c r="P257" s="203">
        <f t="shared" si="63"/>
        <v>0</v>
      </c>
      <c r="Q257" s="190">
        <f>IFERROR(VLOOKUP(A257,[1]Energiindhold!$A$2:$C$11,3,FALSE),IFERROR(VLOOKUP(A257,[1]Biogasudbytte!$A$2:$B$18,2,FALSE)*[1]Energiindhold!$C$10,0))*O257</f>
        <v>0</v>
      </c>
      <c r="R257" s="190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0">
        <f>IFERROR(VLOOKUP(A257,[1]Biogasudbytte!$A$2:$B$18,2,FALSE)*[1]Energiindhold!$C$10,0)*J257*IFERROR(VLOOKUP(A257,Biogasanlæg!$F$3:$G$8,2,FALSE),1)</f>
        <v>0</v>
      </c>
      <c r="T257" s="191">
        <f t="shared" si="64"/>
        <v>0</v>
      </c>
      <c r="U257" s="189">
        <f>O257*IFERROR(VLOOKUP(A257,[1]Tørstofindhold!A$2:B$24,2,FALSE),0)</f>
        <v>0</v>
      </c>
      <c r="V257" s="190">
        <f>IF(D257=År1,P257,SUM(O257,P257))*IFERROR(VLOOKUP(A257,[1]Tørstofindhold!A$2:B$24,2,FALSE),0)</f>
        <v>0</v>
      </c>
      <c r="W257" s="190">
        <f>J257*IFERROR(VLOOKUP(A257,[1]Tørstofindhold!A$2:B$24,2,FALSE),0)</f>
        <v>0</v>
      </c>
      <c r="X257" s="191">
        <f t="shared" si="65"/>
        <v>0</v>
      </c>
      <c r="Y257" s="171">
        <f t="shared" si="60"/>
        <v>0</v>
      </c>
      <c r="Z257" s="103">
        <f t="shared" si="61"/>
        <v>0</v>
      </c>
    </row>
    <row r="258" spans="1:26" hidden="1" x14ac:dyDescent="0.25">
      <c r="A258" s="192" t="str">
        <f t="shared" si="72"/>
        <v>Grøntsager</v>
      </c>
      <c r="B258" s="192" t="str">
        <f t="shared" si="73"/>
        <v/>
      </c>
      <c r="C258" s="192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2">
        <f t="shared" si="74"/>
        <v>2050</v>
      </c>
      <c r="E258" s="190" t="s">
        <v>24</v>
      </c>
      <c r="F258" s="193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456174.53044673882</v>
      </c>
      <c r="G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0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3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2">
        <f t="shared" si="62"/>
        <v>211305.01369672679</v>
      </c>
      <c r="O258" s="193">
        <f t="shared" si="59"/>
        <v>0</v>
      </c>
      <c r="P258" s="203">
        <f t="shared" si="63"/>
        <v>0</v>
      </c>
      <c r="Q258" s="190">
        <f>IFERROR(VLOOKUP(A258,[1]Energiindhold!$A$2:$C$11,3,FALSE),IFERROR(VLOOKUP(A258,[1]Biogasudbytte!$A$2:$B$18,2,FALSE)*[1]Energiindhold!$C$10,0))*O258</f>
        <v>0</v>
      </c>
      <c r="R258" s="190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0">
        <f>IFERROR(VLOOKUP(A258,[1]Biogasudbytte!$A$2:$B$18,2,FALSE)*[1]Energiindhold!$C$10,0)*J258*IFERROR(VLOOKUP(A258,Biogasanlæg!$F$3:$G$8,2,FALSE),1)</f>
        <v>0</v>
      </c>
      <c r="T258" s="191">
        <f t="shared" si="64"/>
        <v>0</v>
      </c>
      <c r="U258" s="189">
        <f>O258*IFERROR(VLOOKUP(A258,[1]Tørstofindhold!A$2:B$24,2,FALSE),0)</f>
        <v>0</v>
      </c>
      <c r="V258" s="190">
        <f>IF(D258=År1,P258,SUM(O258,P258))*IFERROR(VLOOKUP(A258,[1]Tørstofindhold!A$2:B$24,2,FALSE),0)</f>
        <v>0</v>
      </c>
      <c r="W258" s="190">
        <f>J258*IFERROR(VLOOKUP(A258,[1]Tørstofindhold!A$2:B$24,2,FALSE),0)</f>
        <v>0</v>
      </c>
      <c r="X258" s="191">
        <f t="shared" si="65"/>
        <v>0</v>
      </c>
      <c r="Y258" s="171">
        <f t="shared" si="60"/>
        <v>0</v>
      </c>
      <c r="Z258" s="103">
        <f t="shared" si="61"/>
        <v>1</v>
      </c>
    </row>
    <row r="259" spans="1:26" hidden="1" x14ac:dyDescent="0.25">
      <c r="A259" s="192" t="str">
        <f t="shared" si="72"/>
        <v>Halm</v>
      </c>
      <c r="B259" s="192" t="str">
        <f t="shared" si="73"/>
        <v>Halm og strå</v>
      </c>
      <c r="C259" s="192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2">
        <f t="shared" si="74"/>
        <v>2050</v>
      </c>
      <c r="E259" s="190" t="s">
        <v>24</v>
      </c>
      <c r="F259" s="193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1064014.7311507878</v>
      </c>
      <c r="G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43588.683268641777</v>
      </c>
      <c r="H259" s="190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51992.644823495335</v>
      </c>
      <c r="I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0</v>
      </c>
      <c r="K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3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261147.19078467367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707286.21227397677</v>
      </c>
      <c r="N259" s="202">
        <f t="shared" si="62"/>
        <v>0</v>
      </c>
      <c r="O259" s="193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3">
        <f t="shared" si="63"/>
        <v>261147.19078467367</v>
      </c>
      <c r="Q259" s="190">
        <f>IFERROR(VLOOKUP(A259,[1]Energiindhold!$A$2:$C$11,3,FALSE),IFERROR(VLOOKUP(A259,[1]Biogasudbytte!$A$2:$B$18,2,FALSE)*[1]Energiindhold!$C$10,0))*O259</f>
        <v>0</v>
      </c>
      <c r="R259" s="190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2.6991667899593614</v>
      </c>
      <c r="S259" s="190">
        <f>IFERROR(VLOOKUP(A259,[1]Biogasudbytte!$A$2:$B$18,2,FALSE)*[1]Energiindhold!$C$10,0)*J259*IFERROR(VLOOKUP(A259,Biogasanlæg!$F$3:$G$8,2,FALSE),1)</f>
        <v>0</v>
      </c>
      <c r="T259" s="191">
        <f t="shared" si="64"/>
        <v>2.6991667899593614</v>
      </c>
      <c r="U259" s="189">
        <f>O259*IFERROR(VLOOKUP(A259,[1]Tørstofindhold!A$2:B$24,2,FALSE),0)</f>
        <v>0</v>
      </c>
      <c r="V259" s="190">
        <f>IF(D259=År1,P259,SUM(O259,P259))*IFERROR(VLOOKUP(A259,[1]Tørstofindhold!A$2:B$24,2,FALSE),0)</f>
        <v>221975.11216697263</v>
      </c>
      <c r="W259" s="190">
        <f>J259*IFERROR(VLOOKUP(A259,[1]Tørstofindhold!A$2:B$24,2,FALSE),0)</f>
        <v>0</v>
      </c>
      <c r="X259" s="191">
        <f t="shared" si="65"/>
        <v>221975.11216697263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hidden="1" x14ac:dyDescent="0.25">
      <c r="A260" s="192" t="str">
        <f t="shared" si="72"/>
        <v>Have/parkaffald</v>
      </c>
      <c r="B260" s="192" t="str">
        <f t="shared" si="73"/>
        <v>Bionedbrydeligt affald</v>
      </c>
      <c r="C260" s="192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2">
        <f t="shared" si="74"/>
        <v>2050</v>
      </c>
      <c r="E260" s="190" t="s">
        <v>24</v>
      </c>
      <c r="F260" s="193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457927.02496060182</v>
      </c>
      <c r="G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0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372749.55761341366</v>
      </c>
      <c r="K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3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85177.467347188154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2">
        <f t="shared" si="62"/>
        <v>0</v>
      </c>
      <c r="O260" s="193">
        <f t="shared" si="75"/>
        <v>0</v>
      </c>
      <c r="P260" s="203">
        <f t="shared" si="63"/>
        <v>457927.02496060182</v>
      </c>
      <c r="Q260" s="190">
        <f>IFERROR(VLOOKUP(A260,[1]Energiindhold!$A$2:$C$11,3,FALSE),IFERROR(VLOOKUP(A260,[1]Biogasudbytte!$A$2:$B$18,2,FALSE)*[1]Energiindhold!$C$10,0))*O260</f>
        <v>0</v>
      </c>
      <c r="R260" s="190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2.1535617717711055</v>
      </c>
      <c r="S260" s="190">
        <f>IFERROR(VLOOKUP(A260,[1]Biogasudbytte!$A$2:$B$18,2,FALSE)*[1]Energiindhold!$C$10,0)*J260*IFERROR(VLOOKUP(A260,Biogasanlæg!$F$3:$G$8,2,FALSE),1)</f>
        <v>0.63295484129660939</v>
      </c>
      <c r="T260" s="191">
        <f t="shared" si="64"/>
        <v>1.520606930474496</v>
      </c>
      <c r="U260" s="189">
        <f>O260*IFERROR(VLOOKUP(A260,[1]Tørstofindhold!A$2:B$24,2,FALSE),0)</f>
        <v>0</v>
      </c>
      <c r="V260" s="190">
        <f>IF(D260=År1,P260,SUM(O260,P260))*IFERROR(VLOOKUP(A260,[1]Tørstofindhold!A$2:B$24,2,FALSE),0)</f>
        <v>137378.10748818054</v>
      </c>
      <c r="W260" s="190">
        <f>J260*IFERROR(VLOOKUP(A260,[1]Tørstofindhold!A$2:B$24,2,FALSE),0)</f>
        <v>111824.86728402409</v>
      </c>
      <c r="X260" s="191">
        <f t="shared" si="65"/>
        <v>25553.240204156449</v>
      </c>
      <c r="Y260" s="171">
        <f t="shared" si="76"/>
        <v>0</v>
      </c>
      <c r="Z260" s="103">
        <f t="shared" si="77"/>
        <v>0</v>
      </c>
    </row>
    <row r="261" spans="1:26" hidden="1" x14ac:dyDescent="0.25">
      <c r="A261" s="192" t="str">
        <f t="shared" si="72"/>
        <v>Import af foder</v>
      </c>
      <c r="B261" s="192" t="str">
        <f t="shared" si="73"/>
        <v/>
      </c>
      <c r="C261" s="192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2">
        <f t="shared" si="74"/>
        <v>2050</v>
      </c>
      <c r="E261" s="190" t="s">
        <v>24</v>
      </c>
      <c r="F261" s="193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0</v>
      </c>
      <c r="H261" s="190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3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2">
        <f t="shared" si="62"/>
        <v>0</v>
      </c>
      <c r="O261" s="193">
        <f t="shared" si="75"/>
        <v>0</v>
      </c>
      <c r="P261" s="203">
        <f t="shared" si="63"/>
        <v>0</v>
      </c>
      <c r="Q261" s="190">
        <f>IFERROR(VLOOKUP(A261,[1]Energiindhold!$A$2:$C$11,3,FALSE),IFERROR(VLOOKUP(A261,[1]Biogasudbytte!$A$2:$B$18,2,FALSE)*[1]Energiindhold!$C$10,0))*O261</f>
        <v>0</v>
      </c>
      <c r="R261" s="190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0">
        <f>IFERROR(VLOOKUP(A261,[1]Biogasudbytte!$A$2:$B$18,2,FALSE)*[1]Energiindhold!$C$10,0)*J261*IFERROR(VLOOKUP(A261,Biogasanlæg!$F$3:$G$8,2,FALSE),1)</f>
        <v>0</v>
      </c>
      <c r="T261" s="191">
        <f t="shared" si="64"/>
        <v>0</v>
      </c>
      <c r="U261" s="189">
        <f>O261*IFERROR(VLOOKUP(A261,[1]Tørstofindhold!A$2:B$24,2,FALSE),0)</f>
        <v>0</v>
      </c>
      <c r="V261" s="190">
        <f>IF(D261=År1,P261,SUM(O261,P261))*IFERROR(VLOOKUP(A261,[1]Tørstofindhold!A$2:B$24,2,FALSE),0)</f>
        <v>0</v>
      </c>
      <c r="W261" s="190">
        <f>J261*IFERROR(VLOOKUP(A261,[1]Tørstofindhold!A$2:B$24,2,FALSE),0)</f>
        <v>0</v>
      </c>
      <c r="X261" s="191">
        <f t="shared" si="65"/>
        <v>0</v>
      </c>
      <c r="Y261" s="171">
        <f t="shared" si="76"/>
        <v>0</v>
      </c>
      <c r="Z261" s="103">
        <f t="shared" si="77"/>
        <v>0</v>
      </c>
    </row>
    <row r="262" spans="1:26" hidden="1" x14ac:dyDescent="0.25">
      <c r="A262" s="192" t="str">
        <f t="shared" si="72"/>
        <v>Industriaffald</v>
      </c>
      <c r="B262" s="192" t="str">
        <f t="shared" si="73"/>
        <v>Bionedbrydeligt affald</v>
      </c>
      <c r="C262" s="192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2">
        <f t="shared" si="74"/>
        <v>2050</v>
      </c>
      <c r="E262" s="190" t="s">
        <v>24</v>
      </c>
      <c r="F262" s="193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184821.60646832324</v>
      </c>
      <c r="G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0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169627.25510324695</v>
      </c>
      <c r="K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3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2">
        <f t="shared" si="62"/>
        <v>15194.351365076291</v>
      </c>
      <c r="O262" s="193">
        <f t="shared" si="75"/>
        <v>15194.351365076291</v>
      </c>
      <c r="P262" s="203">
        <f t="shared" si="63"/>
        <v>169627.25510324695</v>
      </c>
      <c r="Q262" s="190">
        <f>IFERROR(VLOOKUP(A262,[1]Energiindhold!$A$2:$C$11,3,FALSE),IFERROR(VLOOKUP(A262,[1]Biogasudbytte!$A$2:$B$18,2,FALSE)*[1]Energiindhold!$C$10,0))*O262</f>
        <v>6.5839099730553033E-2</v>
      </c>
      <c r="R262" s="190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0.69060350545025562</v>
      </c>
      <c r="S262" s="190">
        <f>IFERROR(VLOOKUP(A262,[1]Biogasudbytte!$A$2:$B$18,2,FALSE)*[1]Energiindhold!$C$10,0)*J262*IFERROR(VLOOKUP(A262,Biogasanlæg!$F$3:$G$8,2,FALSE),1)</f>
        <v>0.6247644057197026</v>
      </c>
      <c r="T262" s="191">
        <f t="shared" si="64"/>
        <v>6.5839099730553019E-2</v>
      </c>
      <c r="U262" s="189">
        <f>O262*IFERROR(VLOOKUP(A262,[1]Tørstofindhold!A$2:B$24,2,FALSE),0)</f>
        <v>6381.6275733320417</v>
      </c>
      <c r="V262" s="190">
        <f>IF(D262=År1,P262,SUM(O262,P262))*IFERROR(VLOOKUP(A262,[1]Tørstofindhold!A$2:B$24,2,FALSE),0)</f>
        <v>77625.074716695759</v>
      </c>
      <c r="W262" s="190">
        <f>J262*IFERROR(VLOOKUP(A262,[1]Tørstofindhold!A$2:B$24,2,FALSE),0)</f>
        <v>71243.447143363723</v>
      </c>
      <c r="X262" s="191">
        <f t="shared" si="65"/>
        <v>6381.6275733320363</v>
      </c>
      <c r="Y262" s="171">
        <f t="shared" si="76"/>
        <v>0</v>
      </c>
      <c r="Z262" s="103">
        <f t="shared" si="77"/>
        <v>1</v>
      </c>
    </row>
    <row r="263" spans="1:26" hidden="1" x14ac:dyDescent="0.25">
      <c r="A263" s="192" t="str">
        <f t="shared" si="72"/>
        <v>Juletræer</v>
      </c>
      <c r="B263" s="192" t="str">
        <f t="shared" si="73"/>
        <v/>
      </c>
      <c r="C263" s="192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2">
        <f t="shared" si="74"/>
        <v>2050</v>
      </c>
      <c r="E263" s="190" t="s">
        <v>24</v>
      </c>
      <c r="F263" s="193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188875.23433835641</v>
      </c>
      <c r="G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0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3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2">
        <f t="shared" si="62"/>
        <v>188875.23433835641</v>
      </c>
      <c r="O263" s="193">
        <f t="shared" si="75"/>
        <v>0</v>
      </c>
      <c r="P263" s="203">
        <f t="shared" si="63"/>
        <v>0</v>
      </c>
      <c r="Q263" s="190">
        <f>IFERROR(VLOOKUP(A263,[1]Energiindhold!$A$2:$C$11,3,FALSE),IFERROR(VLOOKUP(A263,[1]Biogasudbytte!$A$2:$B$18,2,FALSE)*[1]Energiindhold!$C$10,0))*O263</f>
        <v>0</v>
      </c>
      <c r="R263" s="190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0">
        <f>IFERROR(VLOOKUP(A263,[1]Biogasudbytte!$A$2:$B$18,2,FALSE)*[1]Energiindhold!$C$10,0)*J263*IFERROR(VLOOKUP(A263,Biogasanlæg!$F$3:$G$8,2,FALSE),1)</f>
        <v>0</v>
      </c>
      <c r="T263" s="191">
        <f t="shared" si="64"/>
        <v>0</v>
      </c>
      <c r="U263" s="189">
        <f>O263*IFERROR(VLOOKUP(A263,[1]Tørstofindhold!A$2:B$24,2,FALSE),0)</f>
        <v>0</v>
      </c>
      <c r="V263" s="190">
        <f>IF(D263=År1,P263,SUM(O263,P263))*IFERROR(VLOOKUP(A263,[1]Tørstofindhold!A$2:B$24,2,FALSE),0)</f>
        <v>0</v>
      </c>
      <c r="W263" s="190">
        <f>J263*IFERROR(VLOOKUP(A263,[1]Tørstofindhold!A$2:B$24,2,FALSE),0)</f>
        <v>0</v>
      </c>
      <c r="X263" s="191">
        <f t="shared" si="65"/>
        <v>0</v>
      </c>
      <c r="Y263" s="171">
        <f t="shared" si="76"/>
        <v>0</v>
      </c>
      <c r="Z263" s="103">
        <f t="shared" si="77"/>
        <v>1</v>
      </c>
    </row>
    <row r="264" spans="1:26" hidden="1" x14ac:dyDescent="0.25">
      <c r="A264" s="192" t="str">
        <f t="shared" si="72"/>
        <v>Kartofler</v>
      </c>
      <c r="B264" s="192" t="str">
        <f t="shared" si="73"/>
        <v/>
      </c>
      <c r="C264" s="192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2">
        <f t="shared" si="74"/>
        <v>2050</v>
      </c>
      <c r="E264" s="190" t="s">
        <v>24</v>
      </c>
      <c r="F264" s="193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634382.54064061423</v>
      </c>
      <c r="G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0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3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2">
        <f t="shared" si="62"/>
        <v>522407.03298106097</v>
      </c>
      <c r="O264" s="193">
        <f t="shared" si="75"/>
        <v>0</v>
      </c>
      <c r="P264" s="203">
        <f t="shared" si="63"/>
        <v>0</v>
      </c>
      <c r="Q264" s="190">
        <f>IFERROR(VLOOKUP(A264,[1]Energiindhold!$A$2:$C$11,3,FALSE),IFERROR(VLOOKUP(A264,[1]Biogasudbytte!$A$2:$B$18,2,FALSE)*[1]Energiindhold!$C$10,0))*O264</f>
        <v>0</v>
      </c>
      <c r="R264" s="190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0">
        <f>IFERROR(VLOOKUP(A264,[1]Biogasudbytte!$A$2:$B$18,2,FALSE)*[1]Energiindhold!$C$10,0)*J264*IFERROR(VLOOKUP(A264,Biogasanlæg!$F$3:$G$8,2,FALSE),1)</f>
        <v>0</v>
      </c>
      <c r="T264" s="191">
        <f t="shared" si="64"/>
        <v>0</v>
      </c>
      <c r="U264" s="189">
        <f>O264*IFERROR(VLOOKUP(A264,[1]Tørstofindhold!A$2:B$24,2,FALSE),0)</f>
        <v>0</v>
      </c>
      <c r="V264" s="190">
        <f>IF(D264=År1,P264,SUM(O264,P264))*IFERROR(VLOOKUP(A264,[1]Tørstofindhold!A$2:B$24,2,FALSE),0)</f>
        <v>0</v>
      </c>
      <c r="W264" s="190">
        <f>J264*IFERROR(VLOOKUP(A264,[1]Tørstofindhold!A$2:B$24,2,FALSE),0)</f>
        <v>0</v>
      </c>
      <c r="X264" s="191">
        <f t="shared" si="65"/>
        <v>0</v>
      </c>
      <c r="Y264" s="171">
        <f t="shared" si="76"/>
        <v>0</v>
      </c>
      <c r="Z264" s="103">
        <f t="shared" si="77"/>
        <v>1</v>
      </c>
    </row>
    <row r="265" spans="1:26" hidden="1" x14ac:dyDescent="0.25">
      <c r="A265" s="192" t="str">
        <f t="shared" si="72"/>
        <v>Korn</v>
      </c>
      <c r="B265" s="192" t="str">
        <f t="shared" si="73"/>
        <v>Halm og strå</v>
      </c>
      <c r="C265" s="192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2">
        <f t="shared" si="74"/>
        <v>2050</v>
      </c>
      <c r="E265" s="190" t="s">
        <v>24</v>
      </c>
      <c r="F265" s="193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1422520.7615932694</v>
      </c>
      <c r="G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368193.1930872486</v>
      </c>
      <c r="H265" s="190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0</v>
      </c>
      <c r="K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3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2">
        <f t="shared" si="62"/>
        <v>786078.55015676143</v>
      </c>
      <c r="O265" s="193">
        <f t="shared" si="75"/>
        <v>786078.55015676143</v>
      </c>
      <c r="P265" s="203">
        <f t="shared" si="63"/>
        <v>0</v>
      </c>
      <c r="Q265" s="190">
        <f>IFERROR(VLOOKUP(A265,[1]Energiindhold!$A$2:$C$11,3,FALSE),IFERROR(VLOOKUP(A265,[1]Biogasudbytte!$A$2:$B$18,2,FALSE)*[1]Energiindhold!$C$10,0))*O265</f>
        <v>2.6922089832898863</v>
      </c>
      <c r="R265" s="190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2.6922089832898863</v>
      </c>
      <c r="S265" s="190">
        <f>IFERROR(VLOOKUP(A265,[1]Biogasudbytte!$A$2:$B$18,2,FALSE)*[1]Energiindhold!$C$10,0)*J265*IFERROR(VLOOKUP(A265,Biogasanlæg!$F$3:$G$8,2,FALSE),1)</f>
        <v>0</v>
      </c>
      <c r="T265" s="191">
        <f t="shared" si="64"/>
        <v>2.6922089832898863</v>
      </c>
      <c r="U265" s="189">
        <f>O265*IFERROR(VLOOKUP(A265,[1]Tørstofindhold!A$2:B$24,2,FALSE),0)</f>
        <v>243684.35054859603</v>
      </c>
      <c r="V265" s="190">
        <f>IF(D265=År1,P265,SUM(O265,P265))*IFERROR(VLOOKUP(A265,[1]Tørstofindhold!A$2:B$24,2,FALSE),0)</f>
        <v>243684.35054859603</v>
      </c>
      <c r="W265" s="190">
        <f>J265*IFERROR(VLOOKUP(A265,[1]Tørstofindhold!A$2:B$24,2,FALSE),0)</f>
        <v>0</v>
      </c>
      <c r="X265" s="191">
        <f t="shared" si="65"/>
        <v>243684.35054859603</v>
      </c>
      <c r="Y265" s="171">
        <f t="shared" si="76"/>
        <v>0</v>
      </c>
      <c r="Z265" s="103">
        <f t="shared" si="77"/>
        <v>1</v>
      </c>
    </row>
    <row r="266" spans="1:26" x14ac:dyDescent="0.25">
      <c r="A266" s="192" t="str">
        <f t="shared" si="72"/>
        <v>Kunstgødning</v>
      </c>
      <c r="B266" s="192" t="str">
        <f t="shared" si="73"/>
        <v/>
      </c>
      <c r="C266" s="192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2">
        <f t="shared" si="74"/>
        <v>2050</v>
      </c>
      <c r="E266" s="190" t="s">
        <v>24</v>
      </c>
      <c r="F266" s="193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0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3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479704.42610224185</v>
      </c>
      <c r="L266" s="193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2">
        <f t="shared" ca="1" si="62"/>
        <v>-479704.42610224185</v>
      </c>
      <c r="O266" s="193">
        <f t="shared" si="75"/>
        <v>0</v>
      </c>
      <c r="P266" s="203">
        <f t="shared" si="63"/>
        <v>0</v>
      </c>
      <c r="Q266" s="190">
        <f>IFERROR(VLOOKUP(A266,[1]Energiindhold!$A$2:$C$11,3,FALSE),IFERROR(VLOOKUP(A266,[1]Biogasudbytte!$A$2:$B$18,2,FALSE)*[1]Energiindhold!$C$10,0))*O266</f>
        <v>0</v>
      </c>
      <c r="R266" s="190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0">
        <f>IFERROR(VLOOKUP(A266,[1]Biogasudbytte!$A$2:$B$18,2,FALSE)*[1]Energiindhold!$C$10,0)*J266*IFERROR(VLOOKUP(A266,Biogasanlæg!$F$3:$G$8,2,FALSE),1)</f>
        <v>0</v>
      </c>
      <c r="T266" s="191">
        <f t="shared" si="64"/>
        <v>0</v>
      </c>
      <c r="U266" s="189">
        <f>O266*IFERROR(VLOOKUP(A266,[1]Tørstofindhold!A$2:B$24,2,FALSE),0)</f>
        <v>0</v>
      </c>
      <c r="V266" s="190">
        <f>IF(D266=År1,P266,SUM(O266,P266))*IFERROR(VLOOKUP(A266,[1]Tørstofindhold!A$2:B$24,2,FALSE),0)</f>
        <v>0</v>
      </c>
      <c r="W266" s="190">
        <f>J266*IFERROR(VLOOKUP(A266,[1]Tørstofindhold!A$2:B$24,2,FALSE),0)</f>
        <v>0</v>
      </c>
      <c r="X266" s="191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hidden="1" x14ac:dyDescent="0.25">
      <c r="A267" s="192" t="str">
        <f t="shared" si="72"/>
        <v>Kvæggylle</v>
      </c>
      <c r="B267" s="192" t="str">
        <f t="shared" si="73"/>
        <v>Husdyrgødning</v>
      </c>
      <c r="C267" s="192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2">
        <f t="shared" si="74"/>
        <v>2050</v>
      </c>
      <c r="E267" s="190" t="s">
        <v>24</v>
      </c>
      <c r="F267" s="193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452578.20336624543</v>
      </c>
      <c r="G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0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362062.56269299635</v>
      </c>
      <c r="K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90515.640673249072</v>
      </c>
      <c r="L267" s="193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2">
        <f t="shared" si="62"/>
        <v>0</v>
      </c>
      <c r="O267" s="193">
        <f t="shared" si="75"/>
        <v>0</v>
      </c>
      <c r="P267" s="203">
        <f t="shared" si="63"/>
        <v>362062.56269299635</v>
      </c>
      <c r="Q267" s="190">
        <f>IFERROR(VLOOKUP(A267,[1]Energiindhold!$A$2:$C$11,3,FALSE),IFERROR(VLOOKUP(A267,[1]Biogasudbytte!$A$2:$B$18,2,FALSE)*[1]Energiindhold!$C$10,0))*O267</f>
        <v>0</v>
      </c>
      <c r="R267" s="190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0.18327244860956785</v>
      </c>
      <c r="S267" s="190">
        <f>IFERROR(VLOOKUP(A267,[1]Biogasudbytte!$A$2:$B$18,2,FALSE)*[1]Energiindhold!$C$10,0)*J267*IFERROR(VLOOKUP(A267,Biogasanlæg!$F$3:$G$8,2,FALSE),1)</f>
        <v>0.18327244860956785</v>
      </c>
      <c r="T267" s="191">
        <f t="shared" si="64"/>
        <v>0</v>
      </c>
      <c r="U267" s="189">
        <f>O267*IFERROR(VLOOKUP(A267,[1]Tørstofindhold!A$2:B$24,2,FALSE),0)</f>
        <v>0</v>
      </c>
      <c r="V267" s="190">
        <f>IF(D267=År1,P267,SUM(O267,P267))*IFERROR(VLOOKUP(A267,[1]Tørstofindhold!A$2:B$24,2,FALSE),0)</f>
        <v>27516.754764667723</v>
      </c>
      <c r="W267" s="190">
        <f>J267*IFERROR(VLOOKUP(A267,[1]Tørstofindhold!A$2:B$24,2,FALSE),0)</f>
        <v>27516.754764667723</v>
      </c>
      <c r="X267" s="191">
        <f t="shared" si="65"/>
        <v>0</v>
      </c>
      <c r="Y267" s="171">
        <f t="shared" si="76"/>
        <v>0</v>
      </c>
      <c r="Z267" s="103">
        <f t="shared" si="77"/>
        <v>0</v>
      </c>
    </row>
    <row r="268" spans="1:26" hidden="1" x14ac:dyDescent="0.25">
      <c r="A268" s="192" t="str">
        <f t="shared" si="72"/>
        <v>Mælk til foder</v>
      </c>
      <c r="B268" s="192" t="str">
        <f t="shared" si="73"/>
        <v/>
      </c>
      <c r="C268" s="192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2">
        <f t="shared" si="74"/>
        <v>2050</v>
      </c>
      <c r="E268" s="190" t="s">
        <v>24</v>
      </c>
      <c r="F268" s="193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56535.233681691527</v>
      </c>
      <c r="G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85984.378525822089</v>
      </c>
      <c r="H268" s="190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3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2">
        <f t="shared" si="62"/>
        <v>-29449.144844130562</v>
      </c>
      <c r="O268" s="193">
        <f t="shared" si="75"/>
        <v>0</v>
      </c>
      <c r="P268" s="203">
        <f t="shared" si="63"/>
        <v>0</v>
      </c>
      <c r="Q268" s="190">
        <f>IFERROR(VLOOKUP(A268,[1]Energiindhold!$A$2:$C$11,3,FALSE),IFERROR(VLOOKUP(A268,[1]Biogasudbytte!$A$2:$B$18,2,FALSE)*[1]Energiindhold!$C$10,0))*O268</f>
        <v>0</v>
      </c>
      <c r="R268" s="190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0">
        <f>IFERROR(VLOOKUP(A268,[1]Biogasudbytte!$A$2:$B$18,2,FALSE)*[1]Energiindhold!$C$10,0)*J268*IFERROR(VLOOKUP(A268,Biogasanlæg!$F$3:$G$8,2,FALSE),1)</f>
        <v>0</v>
      </c>
      <c r="T268" s="191">
        <f t="shared" si="64"/>
        <v>0</v>
      </c>
      <c r="U268" s="189">
        <f>O268*IFERROR(VLOOKUP(A268,[1]Tørstofindhold!A$2:B$24,2,FALSE),0)</f>
        <v>0</v>
      </c>
      <c r="V268" s="190">
        <f>IF(D268=År1,P268,SUM(O268,P268))*IFERROR(VLOOKUP(A268,[1]Tørstofindhold!A$2:B$24,2,FALSE),0)</f>
        <v>0</v>
      </c>
      <c r="W268" s="190">
        <f>J268*IFERROR(VLOOKUP(A268,[1]Tørstofindhold!A$2:B$24,2,FALSE),0)</f>
        <v>0</v>
      </c>
      <c r="X268" s="191">
        <f t="shared" si="65"/>
        <v>0</v>
      </c>
      <c r="Y268" s="171">
        <f t="shared" si="76"/>
        <v>0</v>
      </c>
      <c r="Z268" s="103">
        <f t="shared" si="77"/>
        <v>1</v>
      </c>
    </row>
    <row r="269" spans="1:26" hidden="1" x14ac:dyDescent="0.25">
      <c r="A269" s="192" t="str">
        <f t="shared" si="72"/>
        <v>Majs</v>
      </c>
      <c r="B269" s="192" t="str">
        <f t="shared" si="73"/>
        <v>Græs og urter</v>
      </c>
      <c r="C269" s="192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2">
        <f t="shared" si="74"/>
        <v>2050</v>
      </c>
      <c r="E269" s="190" t="s">
        <v>24</v>
      </c>
      <c r="F269" s="193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1162586.9095964739</v>
      </c>
      <c r="G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359568.84629440639</v>
      </c>
      <c r="H269" s="190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199670.8224928487</v>
      </c>
      <c r="K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3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2">
        <f t="shared" si="62"/>
        <v>603347.24080921884</v>
      </c>
      <c r="O269" s="193">
        <f t="shared" si="75"/>
        <v>300848.41353906074</v>
      </c>
      <c r="P269" s="203">
        <f t="shared" si="63"/>
        <v>199670.8224928487</v>
      </c>
      <c r="Q269" s="190">
        <f>IFERROR(VLOOKUP(A269,[1]Energiindhold!$A$2:$C$11,3,FALSE),IFERROR(VLOOKUP(A269,[1]Biogasudbytte!$A$2:$B$18,2,FALSE)*[1]Energiindhold!$C$10,0))*O269</f>
        <v>1.0800458046052281</v>
      </c>
      <c r="R269" s="190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1.7968640573545551</v>
      </c>
      <c r="S269" s="190">
        <f>IFERROR(VLOOKUP(A269,[1]Biogasudbytte!$A$2:$B$18,2,FALSE)*[1]Energiindhold!$C$10,0)*J269*IFERROR(VLOOKUP(A269,Biogasanlæg!$F$3:$G$8,2,FALSE),1)</f>
        <v>0.71681825274932687</v>
      </c>
      <c r="T269" s="191">
        <f t="shared" si="64"/>
        <v>1.0800458046052284</v>
      </c>
      <c r="U269" s="189">
        <f>O269*IFERROR(VLOOKUP(A269,[1]Tørstofindhold!A$2:B$24,2,FALSE),0)</f>
        <v>90254.524061718213</v>
      </c>
      <c r="V269" s="190">
        <f>IF(D269=År1,P269,SUM(O269,P269))*IFERROR(VLOOKUP(A269,[1]Tørstofindhold!A$2:B$24,2,FALSE),0)</f>
        <v>150155.77080957283</v>
      </c>
      <c r="W269" s="190">
        <f>J269*IFERROR(VLOOKUP(A269,[1]Tørstofindhold!A$2:B$24,2,FALSE),0)</f>
        <v>59901.24674785461</v>
      </c>
      <c r="X269" s="191">
        <f t="shared" si="65"/>
        <v>90254.524061718228</v>
      </c>
      <c r="Y269" s="171">
        <f t="shared" si="76"/>
        <v>0</v>
      </c>
      <c r="Z269" s="103">
        <f t="shared" si="77"/>
        <v>1</v>
      </c>
    </row>
    <row r="270" spans="1:26" hidden="1" x14ac:dyDescent="0.25">
      <c r="A270" s="192" t="str">
        <f t="shared" si="72"/>
        <v>Mejeriprodukter</v>
      </c>
      <c r="B270" s="192" t="str">
        <f t="shared" si="73"/>
        <v/>
      </c>
      <c r="C270" s="192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2">
        <f t="shared" si="74"/>
        <v>2050</v>
      </c>
      <c r="E270" s="190" t="s">
        <v>24</v>
      </c>
      <c r="F270" s="193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109083.65982189869</v>
      </c>
      <c r="G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0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3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2">
        <f t="shared" si="62"/>
        <v>-319130.36946957966</v>
      </c>
      <c r="O270" s="193">
        <f t="shared" si="75"/>
        <v>0</v>
      </c>
      <c r="P270" s="203">
        <f t="shared" si="63"/>
        <v>0</v>
      </c>
      <c r="Q270" s="190">
        <f>IFERROR(VLOOKUP(A270,[1]Energiindhold!$A$2:$C$11,3,FALSE),IFERROR(VLOOKUP(A270,[1]Biogasudbytte!$A$2:$B$18,2,FALSE)*[1]Energiindhold!$C$10,0))*O270</f>
        <v>0</v>
      </c>
      <c r="R270" s="190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0">
        <f>IFERROR(VLOOKUP(A270,[1]Biogasudbytte!$A$2:$B$18,2,FALSE)*[1]Energiindhold!$C$10,0)*J270*IFERROR(VLOOKUP(A270,Biogasanlæg!$F$3:$G$8,2,FALSE),1)</f>
        <v>0</v>
      </c>
      <c r="T270" s="191">
        <f t="shared" si="64"/>
        <v>0</v>
      </c>
      <c r="U270" s="189">
        <f>O270*IFERROR(VLOOKUP(A270,[1]Tørstofindhold!A$2:B$24,2,FALSE),0)</f>
        <v>0</v>
      </c>
      <c r="V270" s="190">
        <f>IF(D270=År1,P270,SUM(O270,P270))*IFERROR(VLOOKUP(A270,[1]Tørstofindhold!A$2:B$24,2,FALSE),0)</f>
        <v>0</v>
      </c>
      <c r="W270" s="190">
        <f>J270*IFERROR(VLOOKUP(A270,[1]Tørstofindhold!A$2:B$24,2,FALSE),0)</f>
        <v>0</v>
      </c>
      <c r="X270" s="191">
        <f t="shared" si="65"/>
        <v>0</v>
      </c>
      <c r="Y270" s="171">
        <f t="shared" si="76"/>
        <v>0</v>
      </c>
      <c r="Z270" s="103">
        <f t="shared" si="77"/>
        <v>1</v>
      </c>
    </row>
    <row r="271" spans="1:26" hidden="1" x14ac:dyDescent="0.25">
      <c r="A271" s="192" t="str">
        <f t="shared" si="72"/>
        <v>Muslinger</v>
      </c>
      <c r="B271" s="192" t="str">
        <f t="shared" si="73"/>
        <v>Havbiomasse</v>
      </c>
      <c r="C271" s="192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2">
        <f t="shared" si="74"/>
        <v>2050</v>
      </c>
      <c r="E271" s="190" t="s">
        <v>24</v>
      </c>
      <c r="F271" s="193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48650.027670673619</v>
      </c>
      <c r="G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0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3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2">
        <f t="shared" si="62"/>
        <v>48650.027670673619</v>
      </c>
      <c r="O271" s="193">
        <f t="shared" si="75"/>
        <v>48650.027670673619</v>
      </c>
      <c r="P271" s="203">
        <f t="shared" si="63"/>
        <v>0</v>
      </c>
      <c r="Q271" s="190">
        <f>IFERROR(VLOOKUP(A271,[1]Energiindhold!$A$2:$C$11,3,FALSE),IFERROR(VLOOKUP(A271,[1]Biogasudbytte!$A$2:$B$18,2,FALSE)*[1]Energiindhold!$C$10,0))*O271</f>
        <v>4.366339983442958E-2</v>
      </c>
      <c r="R271" s="190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0">
        <f>IFERROR(VLOOKUP(A271,[1]Biogasudbytte!$A$2:$B$18,2,FALSE)*[1]Energiindhold!$C$10,0)*J271*IFERROR(VLOOKUP(A271,Biogasanlæg!$F$3:$G$8,2,FALSE),1)</f>
        <v>0</v>
      </c>
      <c r="T271" s="191">
        <f t="shared" si="64"/>
        <v>4.366339983442958E-2</v>
      </c>
      <c r="U271" s="189">
        <f>O271*IFERROR(VLOOKUP(A271,[1]Tørstofindhold!A$2:B$24,2,FALSE),0)</f>
        <v>7297.504150601043</v>
      </c>
      <c r="V271" s="190">
        <f>IF(D271=År1,P271,SUM(O271,P271))*IFERROR(VLOOKUP(A271,[1]Tørstofindhold!A$2:B$24,2,FALSE),0)</f>
        <v>7297.504150601043</v>
      </c>
      <c r="W271" s="190">
        <f>J271*IFERROR(VLOOKUP(A271,[1]Tørstofindhold!A$2:B$24,2,FALSE),0)</f>
        <v>0</v>
      </c>
      <c r="X271" s="191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hidden="1" x14ac:dyDescent="0.25">
      <c r="A272" s="192" t="str">
        <f t="shared" si="72"/>
        <v>Oksekød</v>
      </c>
      <c r="B272" s="192" t="str">
        <f t="shared" si="73"/>
        <v/>
      </c>
      <c r="C272" s="192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2">
        <f t="shared" si="74"/>
        <v>2050</v>
      </c>
      <c r="E272" s="190" t="s">
        <v>24</v>
      </c>
      <c r="F272" s="193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3652.7817732906901</v>
      </c>
      <c r="G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0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27206.356861018925</v>
      </c>
      <c r="J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3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2">
        <f t="shared" si="62"/>
        <v>-23553.575087728233</v>
      </c>
      <c r="O272" s="193">
        <f t="shared" si="75"/>
        <v>0</v>
      </c>
      <c r="P272" s="203">
        <f t="shared" si="63"/>
        <v>0</v>
      </c>
      <c r="Q272" s="190">
        <f>IFERROR(VLOOKUP(A272,[1]Energiindhold!$A$2:$C$11,3,FALSE),IFERROR(VLOOKUP(A272,[1]Biogasudbytte!$A$2:$B$18,2,FALSE)*[1]Energiindhold!$C$10,0))*O272</f>
        <v>0</v>
      </c>
      <c r="R272" s="190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0">
        <f>IFERROR(VLOOKUP(A272,[1]Biogasudbytte!$A$2:$B$18,2,FALSE)*[1]Energiindhold!$C$10,0)*J272*IFERROR(VLOOKUP(A272,Biogasanlæg!$F$3:$G$8,2,FALSE),1)</f>
        <v>0</v>
      </c>
      <c r="T272" s="191">
        <f t="shared" si="64"/>
        <v>0</v>
      </c>
      <c r="U272" s="189">
        <f>O272*IFERROR(VLOOKUP(A272,[1]Tørstofindhold!A$2:B$24,2,FALSE),0)</f>
        <v>0</v>
      </c>
      <c r="V272" s="190">
        <f>IF(D272=År1,P272,SUM(O272,P272))*IFERROR(VLOOKUP(A272,[1]Tørstofindhold!A$2:B$24,2,FALSE),0)</f>
        <v>0</v>
      </c>
      <c r="W272" s="190">
        <f>J272*IFERROR(VLOOKUP(A272,[1]Tørstofindhold!A$2:B$24,2,FALSE),0)</f>
        <v>0</v>
      </c>
      <c r="X272" s="191">
        <f t="shared" si="65"/>
        <v>0</v>
      </c>
      <c r="Y272" s="171">
        <f t="shared" si="76"/>
        <v>1</v>
      </c>
      <c r="Z272" s="103">
        <f t="shared" si="77"/>
        <v>0</v>
      </c>
    </row>
    <row r="273" spans="1:26" hidden="1" x14ac:dyDescent="0.25">
      <c r="A273" s="192" t="str">
        <f t="shared" si="72"/>
        <v>Øvrige</v>
      </c>
      <c r="B273" s="192" t="str">
        <f t="shared" si="73"/>
        <v/>
      </c>
      <c r="C273" s="192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2">
        <f t="shared" si="74"/>
        <v>2050</v>
      </c>
      <c r="E273" s="190" t="s">
        <v>24</v>
      </c>
      <c r="F273" s="193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414923.14293457061</v>
      </c>
      <c r="G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0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3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2">
        <f t="shared" si="62"/>
        <v>414923.14293457061</v>
      </c>
      <c r="O273" s="193">
        <f t="shared" si="75"/>
        <v>0</v>
      </c>
      <c r="P273" s="203">
        <f t="shared" si="63"/>
        <v>0</v>
      </c>
      <c r="Q273" s="190">
        <f>IFERROR(VLOOKUP(A273,[1]Energiindhold!$A$2:$C$11,3,FALSE),IFERROR(VLOOKUP(A273,[1]Biogasudbytte!$A$2:$B$18,2,FALSE)*[1]Energiindhold!$C$10,0))*O273</f>
        <v>0</v>
      </c>
      <c r="R273" s="190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0">
        <f>IFERROR(VLOOKUP(A273,[1]Biogasudbytte!$A$2:$B$18,2,FALSE)*[1]Energiindhold!$C$10,0)*J273*IFERROR(VLOOKUP(A273,Biogasanlæg!$F$3:$G$8,2,FALSE),1)</f>
        <v>0</v>
      </c>
      <c r="T273" s="191">
        <f t="shared" si="64"/>
        <v>0</v>
      </c>
      <c r="U273" s="189">
        <f>O273*IFERROR(VLOOKUP(A273,[1]Tørstofindhold!A$2:B$24,2,FALSE),0)</f>
        <v>0</v>
      </c>
      <c r="V273" s="190">
        <f>IF(D273=År1,P273,SUM(O273,P273))*IFERROR(VLOOKUP(A273,[1]Tørstofindhold!A$2:B$24,2,FALSE),0)</f>
        <v>0</v>
      </c>
      <c r="W273" s="190">
        <f>J273*IFERROR(VLOOKUP(A273,[1]Tørstofindhold!A$2:B$24,2,FALSE),0)</f>
        <v>0</v>
      </c>
      <c r="X273" s="191">
        <f t="shared" si="65"/>
        <v>0</v>
      </c>
      <c r="Y273" s="171">
        <f t="shared" si="76"/>
        <v>0</v>
      </c>
      <c r="Z273" s="103">
        <f t="shared" si="77"/>
        <v>1</v>
      </c>
    </row>
    <row r="274" spans="1:26" hidden="1" x14ac:dyDescent="0.25">
      <c r="A274" s="192" t="str">
        <f t="shared" si="72"/>
        <v>Pil &amp; poppel</v>
      </c>
      <c r="B274" s="192" t="str">
        <f t="shared" si="73"/>
        <v>Vedmasse</v>
      </c>
      <c r="C274" s="192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2">
        <f t="shared" si="74"/>
        <v>2050</v>
      </c>
      <c r="E274" s="190" t="s">
        <v>24</v>
      </c>
      <c r="F274" s="193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35429.762263631419</v>
      </c>
      <c r="G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0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3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35429.762263631419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2">
        <f t="shared" si="62"/>
        <v>0</v>
      </c>
      <c r="O274" s="193">
        <f t="shared" si="75"/>
        <v>0</v>
      </c>
      <c r="P274" s="203">
        <f t="shared" si="63"/>
        <v>35429.762263631419</v>
      </c>
      <c r="Q274" s="190">
        <f>IFERROR(VLOOKUP(A274,[1]Energiindhold!$A$2:$C$11,3,FALSE),IFERROR(VLOOKUP(A274,[1]Biogasudbytte!$A$2:$B$18,2,FALSE)*[1]Energiindhold!$C$10,0))*O274</f>
        <v>0</v>
      </c>
      <c r="R274" s="190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0.65190762565081795</v>
      </c>
      <c r="S274" s="190">
        <f>IFERROR(VLOOKUP(A274,[1]Biogasudbytte!$A$2:$B$18,2,FALSE)*[1]Energiindhold!$C$10,0)*J274*IFERROR(VLOOKUP(A274,Biogasanlæg!$F$3:$G$8,2,FALSE),1)</f>
        <v>0</v>
      </c>
      <c r="T274" s="191">
        <f t="shared" si="64"/>
        <v>0.65190762565081795</v>
      </c>
      <c r="U274" s="189">
        <f>O274*IFERROR(VLOOKUP(A274,[1]Tørstofindhold!A$2:B$24,2,FALSE),0)</f>
        <v>0</v>
      </c>
      <c r="V274" s="190">
        <f>IF(D274=År1,P274,SUM(O274,P274))*IFERROR(VLOOKUP(A274,[1]Tørstofindhold!A$2:B$24,2,FALSE),0)</f>
        <v>14703.35133940704</v>
      </c>
      <c r="W274" s="190">
        <f>J274*IFERROR(VLOOKUP(A274,[1]Tørstofindhold!A$2:B$24,2,FALSE),0)</f>
        <v>0</v>
      </c>
      <c r="X274" s="191">
        <f t="shared" si="65"/>
        <v>14703.35133940704</v>
      </c>
      <c r="Y274" s="171">
        <f t="shared" si="76"/>
        <v>0</v>
      </c>
      <c r="Z274" s="103">
        <f t="shared" si="77"/>
        <v>0</v>
      </c>
    </row>
    <row r="275" spans="1:26" hidden="1" x14ac:dyDescent="0.25">
      <c r="A275" s="192" t="str">
        <f t="shared" ref="A275:A276" si="78">A227</f>
        <v>Pyrolysegas</v>
      </c>
      <c r="B275" s="192" t="str">
        <f t="shared" ref="B275:B276" si="79">IF(B227&lt;&gt;"",B227,"")</f>
        <v>Pyrolyseprodukter</v>
      </c>
      <c r="C275" s="192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2">
        <f t="shared" si="74"/>
        <v>2050</v>
      </c>
      <c r="E275" s="190" t="s">
        <v>24</v>
      </c>
      <c r="F275" s="193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396080.27887342701</v>
      </c>
      <c r="G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0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3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396080.27887342701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2">
        <f t="shared" ref="N275:N276" si="80">F275-SUM(G275:M275)</f>
        <v>0</v>
      </c>
      <c r="O275" s="193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3">
        <f t="shared" ref="P275:P276" si="82">SUM(J275,L275)</f>
        <v>396080.27887342701</v>
      </c>
      <c r="Q275" s="190">
        <f>IFERROR(VLOOKUP(A275,[1]Energiindhold!$A$2:$C$11,3,FALSE),IFERROR(VLOOKUP(A275,[1]Biogasudbytte!$A$2:$B$18,2,FALSE)*[1]Energiindhold!$C$10,0))*O275</f>
        <v>0</v>
      </c>
      <c r="R275" s="190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3.5494451276757242</v>
      </c>
      <c r="S275" s="190">
        <f>IFERROR(VLOOKUP(A275,[1]Biogasudbytte!$A$2:$B$18,2,FALSE)*[1]Energiindhold!$C$10,0)*J275*IFERROR(VLOOKUP(A275,Biogasanlæg!$F$3:$G$8,2,FALSE),1)</f>
        <v>0</v>
      </c>
      <c r="T275" s="191">
        <f t="shared" ref="T275:T276" si="83">R275-S275</f>
        <v>3.5494451276757242</v>
      </c>
      <c r="U275" s="189">
        <f>O275*IFERROR(VLOOKUP(A275,[1]Tørstofindhold!A$2:B$24,2,FALSE),0)</f>
        <v>0</v>
      </c>
      <c r="V275" s="190">
        <f>IF(D275=År1,P275,SUM(O275,P275))*IFERROR(VLOOKUP(A275,[1]Tørstofindhold!A$2:B$24,2,FALSE),0)</f>
        <v>0</v>
      </c>
      <c r="W275" s="190">
        <f>J275*IFERROR(VLOOKUP(A275,[1]Tørstofindhold!A$2:B$24,2,FALSE),0)</f>
        <v>0</v>
      </c>
      <c r="X275" s="191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hidden="1" x14ac:dyDescent="0.25">
      <c r="A276" s="192" t="str">
        <f t="shared" si="78"/>
        <v>Pyrolyseolie</v>
      </c>
      <c r="B276" s="192" t="str">
        <f t="shared" si="79"/>
        <v>Pyrolyseprodukter</v>
      </c>
      <c r="C276" s="192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2">
        <f t="shared" si="74"/>
        <v>2050</v>
      </c>
      <c r="E276" s="190" t="s">
        <v>24</v>
      </c>
      <c r="F276" s="193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99020.069718356754</v>
      </c>
      <c r="G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0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3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99020.069718356754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2">
        <f t="shared" si="80"/>
        <v>0</v>
      </c>
      <c r="O276" s="193">
        <f t="shared" si="81"/>
        <v>0</v>
      </c>
      <c r="P276" s="203">
        <f t="shared" si="82"/>
        <v>99020.069718356754</v>
      </c>
      <c r="Q276" s="190">
        <f>IFERROR(VLOOKUP(A276,[1]Energiindhold!$A$2:$C$11,3,FALSE),IFERROR(VLOOKUP(A276,[1]Biogasudbytte!$A$2:$B$18,2,FALSE)*[1]Energiindhold!$C$10,0))*O276</f>
        <v>0</v>
      </c>
      <c r="R276" s="190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3.2942562622872735</v>
      </c>
      <c r="S276" s="190">
        <f>IFERROR(VLOOKUP(A276,[1]Biogasudbytte!$A$2:$B$18,2,FALSE)*[1]Energiindhold!$C$10,0)*J276*IFERROR(VLOOKUP(A276,Biogasanlæg!$F$3:$G$8,2,FALSE),1)</f>
        <v>0</v>
      </c>
      <c r="T276" s="191">
        <f t="shared" si="83"/>
        <v>3.2942562622872735</v>
      </c>
      <c r="U276" s="189">
        <f>O276*IFERROR(VLOOKUP(A276,[1]Tørstofindhold!A$2:B$24,2,FALSE),0)</f>
        <v>0</v>
      </c>
      <c r="V276" s="190">
        <f>IF(D276=År1,P276,SUM(O276,P276))*IFERROR(VLOOKUP(A276,[1]Tørstofindhold!A$2:B$24,2,FALSE),0)</f>
        <v>0</v>
      </c>
      <c r="W276" s="190">
        <f>J276*IFERROR(VLOOKUP(A276,[1]Tørstofindhold!A$2:B$24,2,FALSE),0)</f>
        <v>0</v>
      </c>
      <c r="X276" s="191">
        <f t="shared" si="84"/>
        <v>0</v>
      </c>
      <c r="Y276" s="171">
        <f t="shared" si="85"/>
        <v>0</v>
      </c>
      <c r="Z276" s="103">
        <f t="shared" si="86"/>
        <v>0</v>
      </c>
    </row>
    <row r="277" spans="1:26" hidden="1" x14ac:dyDescent="0.25">
      <c r="A277" s="192" t="str">
        <f t="shared" ref="A277:A290" si="87">A229</f>
        <v>Råmælk</v>
      </c>
      <c r="B277" s="192" t="str">
        <f t="shared" ref="B277:B290" si="88">IF(B229&lt;&gt;"",B229,"")</f>
        <v/>
      </c>
      <c r="C277" s="192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2">
        <f t="shared" si="74"/>
        <v>2050</v>
      </c>
      <c r="E277" s="190" t="s">
        <v>24</v>
      </c>
      <c r="F277" s="193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169865.53179855406</v>
      </c>
      <c r="G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0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3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2">
        <f t="shared" si="62"/>
        <v>169865.53179855406</v>
      </c>
      <c r="O277" s="193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3">
        <f t="shared" si="63"/>
        <v>0</v>
      </c>
      <c r="Q277" s="190">
        <f>IFERROR(VLOOKUP(A277,[1]Energiindhold!$A$2:$C$11,3,FALSE),IFERROR(VLOOKUP(A277,[1]Biogasudbytte!$A$2:$B$18,2,FALSE)*[1]Energiindhold!$C$10,0))*O277</f>
        <v>0</v>
      </c>
      <c r="R277" s="190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0">
        <f>IFERROR(VLOOKUP(A277,[1]Biogasudbytte!$A$2:$B$18,2,FALSE)*[1]Energiindhold!$C$10,0)*J277*IFERROR(VLOOKUP(A277,Biogasanlæg!$F$3:$G$8,2,FALSE),1)</f>
        <v>0</v>
      </c>
      <c r="T277" s="191">
        <f t="shared" si="64"/>
        <v>0</v>
      </c>
      <c r="U277" s="189">
        <f>O277*IFERROR(VLOOKUP(A277,[1]Tørstofindhold!A$2:B$24,2,FALSE),0)</f>
        <v>0</v>
      </c>
      <c r="V277" s="190">
        <f>IF(D277=År1,P277,SUM(O277,P277))*IFERROR(VLOOKUP(A277,[1]Tørstofindhold!A$2:B$24,2,FALSE),0)</f>
        <v>0</v>
      </c>
      <c r="W277" s="190">
        <f>J277*IFERROR(VLOOKUP(A277,[1]Tørstofindhold!A$2:B$24,2,FALSE),0)</f>
        <v>0</v>
      </c>
      <c r="X277" s="191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hidden="1" x14ac:dyDescent="0.25">
      <c r="A278" s="192" t="str">
        <f t="shared" si="87"/>
        <v>Raps</v>
      </c>
      <c r="B278" s="192" t="str">
        <f t="shared" si="88"/>
        <v/>
      </c>
      <c r="C278" s="192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2">
        <f t="shared" si="74"/>
        <v>2050</v>
      </c>
      <c r="E278" s="190" t="s">
        <v>24</v>
      </c>
      <c r="F278" s="193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198603.01144531288</v>
      </c>
      <c r="G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0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3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198603.01144531288</v>
      </c>
      <c r="N278" s="202">
        <f t="shared" si="62"/>
        <v>0</v>
      </c>
      <c r="O278" s="193">
        <f t="shared" si="89"/>
        <v>0</v>
      </c>
      <c r="P278" s="203">
        <f t="shared" si="63"/>
        <v>0</v>
      </c>
      <c r="Q278" s="190">
        <f>IFERROR(VLOOKUP(A278,[1]Energiindhold!$A$2:$C$11,3,FALSE),IFERROR(VLOOKUP(A278,[1]Biogasudbytte!$A$2:$B$18,2,FALSE)*[1]Energiindhold!$C$10,0))*O278</f>
        <v>0</v>
      </c>
      <c r="R278" s="190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0">
        <f>IFERROR(VLOOKUP(A278,[1]Biogasudbytte!$A$2:$B$18,2,FALSE)*[1]Energiindhold!$C$10,0)*J278*IFERROR(VLOOKUP(A278,Biogasanlæg!$F$3:$G$8,2,FALSE),1)</f>
        <v>0</v>
      </c>
      <c r="T278" s="191">
        <f t="shared" si="64"/>
        <v>0</v>
      </c>
      <c r="U278" s="189">
        <f>O278*IFERROR(VLOOKUP(A278,[1]Tørstofindhold!A$2:B$24,2,FALSE),0)</f>
        <v>0</v>
      </c>
      <c r="V278" s="190">
        <f>IF(D278=År1,P278,SUM(O278,P278))*IFERROR(VLOOKUP(A278,[1]Tørstofindhold!A$2:B$24,2,FALSE),0)</f>
        <v>0</v>
      </c>
      <c r="W278" s="190">
        <f>J278*IFERROR(VLOOKUP(A278,[1]Tørstofindhold!A$2:B$24,2,FALSE),0)</f>
        <v>0</v>
      </c>
      <c r="X278" s="191">
        <f t="shared" si="65"/>
        <v>0</v>
      </c>
      <c r="Y278" s="171">
        <f t="shared" si="90"/>
        <v>0</v>
      </c>
      <c r="Z278" s="103">
        <f t="shared" si="91"/>
        <v>0</v>
      </c>
    </row>
    <row r="279" spans="1:26" hidden="1" x14ac:dyDescent="0.25">
      <c r="A279" s="192" t="str">
        <f t="shared" si="87"/>
        <v>Rapskage</v>
      </c>
      <c r="B279" s="192" t="str">
        <f t="shared" si="88"/>
        <v/>
      </c>
      <c r="C279" s="192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2">
        <f t="shared" si="74"/>
        <v>2050</v>
      </c>
      <c r="E279" s="190" t="s">
        <v>24</v>
      </c>
      <c r="F279" s="193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99301.505722656439</v>
      </c>
      <c r="G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12321.935177858404</v>
      </c>
      <c r="H279" s="190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3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2">
        <f t="shared" si="62"/>
        <v>86979.570544798029</v>
      </c>
      <c r="O279" s="193">
        <f t="shared" si="89"/>
        <v>0</v>
      </c>
      <c r="P279" s="203">
        <f t="shared" si="63"/>
        <v>0</v>
      </c>
      <c r="Q279" s="190">
        <f>IFERROR(VLOOKUP(A279,[1]Energiindhold!$A$2:$C$11,3,FALSE),IFERROR(VLOOKUP(A279,[1]Biogasudbytte!$A$2:$B$18,2,FALSE)*[1]Energiindhold!$C$10,0))*O279</f>
        <v>0</v>
      </c>
      <c r="R279" s="190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0">
        <f>IFERROR(VLOOKUP(A279,[1]Biogasudbytte!$A$2:$B$18,2,FALSE)*[1]Energiindhold!$C$10,0)*J279*IFERROR(VLOOKUP(A279,Biogasanlæg!$F$3:$G$8,2,FALSE),1)</f>
        <v>0</v>
      </c>
      <c r="T279" s="191">
        <f t="shared" si="64"/>
        <v>0</v>
      </c>
      <c r="U279" s="189">
        <f>O279*IFERROR(VLOOKUP(A279,[1]Tørstofindhold!A$2:B$24,2,FALSE),0)</f>
        <v>0</v>
      </c>
      <c r="V279" s="190">
        <f>IF(D279=År1,P279,SUM(O279,P279))*IFERROR(VLOOKUP(A279,[1]Tørstofindhold!A$2:B$24,2,FALSE),0)</f>
        <v>0</v>
      </c>
      <c r="W279" s="190">
        <f>J279*IFERROR(VLOOKUP(A279,[1]Tørstofindhold!A$2:B$24,2,FALSE),0)</f>
        <v>0</v>
      </c>
      <c r="X279" s="191">
        <f t="shared" si="65"/>
        <v>0</v>
      </c>
      <c r="Y279" s="171">
        <f t="shared" si="90"/>
        <v>0</v>
      </c>
      <c r="Z279" s="103">
        <f t="shared" si="91"/>
        <v>1</v>
      </c>
    </row>
    <row r="280" spans="1:26" hidden="1" x14ac:dyDescent="0.25">
      <c r="A280" s="192" t="str">
        <f t="shared" si="87"/>
        <v>Rapsolie</v>
      </c>
      <c r="B280" s="192" t="str">
        <f t="shared" si="88"/>
        <v>Rapsolie</v>
      </c>
      <c r="C280" s="192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2">
        <f t="shared" si="74"/>
        <v>2050</v>
      </c>
      <c r="E280" s="190" t="s">
        <v>24</v>
      </c>
      <c r="F280" s="193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63552.963662500122</v>
      </c>
      <c r="G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0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3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63552.963662500122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2">
        <f t="shared" si="62"/>
        <v>0</v>
      </c>
      <c r="O280" s="193">
        <f t="shared" si="89"/>
        <v>0</v>
      </c>
      <c r="P280" s="203">
        <f t="shared" si="63"/>
        <v>63552.963662500122</v>
      </c>
      <c r="Q280" s="190">
        <f>IFERROR(VLOOKUP(A280,[1]Energiindhold!$A$2:$C$11,3,FALSE),IFERROR(VLOOKUP(A280,[1]Biogasudbytte!$A$2:$B$18,2,FALSE)*[1]Energiindhold!$C$10,0))*O280</f>
        <v>0</v>
      </c>
      <c r="R280" s="190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2.2243537281875039</v>
      </c>
      <c r="S280" s="190">
        <f>IFERROR(VLOOKUP(A280,[1]Biogasudbytte!$A$2:$B$18,2,FALSE)*[1]Energiindhold!$C$10,0)*J280*IFERROR(VLOOKUP(A280,Biogasanlæg!$F$3:$G$8,2,FALSE),1)</f>
        <v>0</v>
      </c>
      <c r="T280" s="191">
        <f t="shared" si="64"/>
        <v>2.2243537281875039</v>
      </c>
      <c r="U280" s="189">
        <f>O280*IFERROR(VLOOKUP(A280,[1]Tørstofindhold!A$2:B$24,2,FALSE),0)</f>
        <v>0</v>
      </c>
      <c r="V280" s="190">
        <f>IF(D280=År1,P280,SUM(O280,P280))*IFERROR(VLOOKUP(A280,[1]Tørstofindhold!A$2:B$24,2,FALSE),0)</f>
        <v>0</v>
      </c>
      <c r="W280" s="190">
        <f>J280*IFERROR(VLOOKUP(A280,[1]Tørstofindhold!A$2:B$24,2,FALSE),0)</f>
        <v>0</v>
      </c>
      <c r="X280" s="191">
        <f t="shared" si="65"/>
        <v>0</v>
      </c>
      <c r="Y280" s="171">
        <f t="shared" si="90"/>
        <v>0</v>
      </c>
      <c r="Z280" s="103">
        <f t="shared" si="91"/>
        <v>0</v>
      </c>
    </row>
    <row r="281" spans="1:26" hidden="1" x14ac:dyDescent="0.25">
      <c r="A281" s="192" t="str">
        <f t="shared" si="87"/>
        <v>Roer</v>
      </c>
      <c r="B281" s="192" t="str">
        <f t="shared" si="88"/>
        <v>Græs og urter</v>
      </c>
      <c r="C281" s="192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2">
        <f t="shared" si="74"/>
        <v>2050</v>
      </c>
      <c r="E281" s="190" t="s">
        <v>24</v>
      </c>
      <c r="F281" s="193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202279.77798791436</v>
      </c>
      <c r="G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54392.166443596157</v>
      </c>
      <c r="H281" s="190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0</v>
      </c>
      <c r="K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3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2">
        <f t="shared" si="62"/>
        <v>147887.61154431821</v>
      </c>
      <c r="O281" s="193">
        <f t="shared" si="89"/>
        <v>147887.61154431821</v>
      </c>
      <c r="P281" s="203">
        <f t="shared" si="63"/>
        <v>0</v>
      </c>
      <c r="Q281" s="190">
        <f>IFERROR(VLOOKUP(A281,[1]Energiindhold!$A$2:$C$11,3,FALSE),IFERROR(VLOOKUP(A281,[1]Biogasudbytte!$A$2:$B$18,2,FALSE)*[1]Energiindhold!$C$10,0))*O281</f>
        <v>0.40137289323574138</v>
      </c>
      <c r="R281" s="190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0.40137289323574138</v>
      </c>
      <c r="S281" s="190">
        <f>IFERROR(VLOOKUP(A281,[1]Biogasudbytte!$A$2:$B$18,2,FALSE)*[1]Energiindhold!$C$10,0)*J281*IFERROR(VLOOKUP(A281,Biogasanlæg!$F$3:$G$8,2,FALSE),1)</f>
        <v>0</v>
      </c>
      <c r="T281" s="191">
        <f t="shared" si="64"/>
        <v>0.40137289323574138</v>
      </c>
      <c r="U281" s="189">
        <f>O281*IFERROR(VLOOKUP(A281,[1]Tørstofindhold!A$2:B$24,2,FALSE),0)</f>
        <v>29577.522308863641</v>
      </c>
      <c r="V281" s="190">
        <f>IF(D281=År1,P281,SUM(O281,P281))*IFERROR(VLOOKUP(A281,[1]Tørstofindhold!A$2:B$24,2,FALSE),0)</f>
        <v>29577.522308863641</v>
      </c>
      <c r="W281" s="190">
        <f>J281*IFERROR(VLOOKUP(A281,[1]Tørstofindhold!A$2:B$24,2,FALSE),0)</f>
        <v>0</v>
      </c>
      <c r="X281" s="191">
        <f t="shared" si="65"/>
        <v>29577.522308863641</v>
      </c>
      <c r="Y281" s="171">
        <f t="shared" si="90"/>
        <v>0</v>
      </c>
      <c r="Z281" s="103">
        <f t="shared" si="91"/>
        <v>1</v>
      </c>
    </row>
    <row r="282" spans="1:26" hidden="1" x14ac:dyDescent="0.25">
      <c r="A282" s="192" t="str">
        <f t="shared" si="87"/>
        <v>Slagteriaffald til andet</v>
      </c>
      <c r="B282" s="192" t="str">
        <f t="shared" si="88"/>
        <v/>
      </c>
      <c r="C282" s="192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2">
        <f t="shared" ref="D282:D290" si="92">År3</f>
        <v>2050</v>
      </c>
      <c r="E282" s="190" t="s">
        <v>24</v>
      </c>
      <c r="F282" s="193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10947.489741068959</v>
      </c>
      <c r="G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0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3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2">
        <f t="shared" ref="N282:N290" si="93">F282-SUM(G282:M282)</f>
        <v>10947.489741068959</v>
      </c>
      <c r="O282" s="193">
        <f t="shared" si="89"/>
        <v>0</v>
      </c>
      <c r="P282" s="203">
        <f t="shared" ref="P282:P290" si="94">SUM(J282,L282)</f>
        <v>0</v>
      </c>
      <c r="Q282" s="190">
        <f>IFERROR(VLOOKUP(A282,[1]Energiindhold!$A$2:$C$11,3,FALSE),IFERROR(VLOOKUP(A282,[1]Biogasudbytte!$A$2:$B$18,2,FALSE)*[1]Energiindhold!$C$10,0))*O282</f>
        <v>0</v>
      </c>
      <c r="R282" s="190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0">
        <f>IFERROR(VLOOKUP(A282,[1]Biogasudbytte!$A$2:$B$18,2,FALSE)*[1]Energiindhold!$C$10,0)*J282*IFERROR(VLOOKUP(A282,Biogasanlæg!$F$3:$G$8,2,FALSE),1)</f>
        <v>0</v>
      </c>
      <c r="T282" s="191">
        <f t="shared" ref="T282:T290" si="95">R282-S282</f>
        <v>0</v>
      </c>
      <c r="U282" s="189">
        <f>O282*IFERROR(VLOOKUP(A282,[1]Tørstofindhold!A$2:B$24,2,FALSE),0)</f>
        <v>0</v>
      </c>
      <c r="V282" s="190">
        <f>IF(D282=År1,P282,SUM(O282,P282))*IFERROR(VLOOKUP(A282,[1]Tørstofindhold!A$2:B$24,2,FALSE),0)</f>
        <v>0</v>
      </c>
      <c r="W282" s="190">
        <f>J282*IFERROR(VLOOKUP(A282,[1]Tørstofindhold!A$2:B$24,2,FALSE),0)</f>
        <v>0</v>
      </c>
      <c r="X282" s="191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hidden="1" x14ac:dyDescent="0.25">
      <c r="A283" s="192" t="str">
        <f t="shared" si="87"/>
        <v>Slagteriaffald til foder</v>
      </c>
      <c r="B283" s="192" t="str">
        <f t="shared" si="88"/>
        <v/>
      </c>
      <c r="C283" s="192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2">
        <f t="shared" si="92"/>
        <v>2050</v>
      </c>
      <c r="E283" s="190" t="s">
        <v>24</v>
      </c>
      <c r="F283" s="193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8892.8868915055173</v>
      </c>
      <c r="G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3012.1327530000003</v>
      </c>
      <c r="H283" s="190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3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2">
        <f t="shared" si="93"/>
        <v>5880.7541385055174</v>
      </c>
      <c r="O283" s="193">
        <f t="shared" si="89"/>
        <v>0</v>
      </c>
      <c r="P283" s="203">
        <f t="shared" si="94"/>
        <v>0</v>
      </c>
      <c r="Q283" s="190">
        <f>IFERROR(VLOOKUP(A283,[1]Energiindhold!$A$2:$C$11,3,FALSE),IFERROR(VLOOKUP(A283,[1]Biogasudbytte!$A$2:$B$18,2,FALSE)*[1]Energiindhold!$C$10,0))*O283</f>
        <v>0</v>
      </c>
      <c r="R283" s="190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0">
        <f>IFERROR(VLOOKUP(A283,[1]Biogasudbytte!$A$2:$B$18,2,FALSE)*[1]Energiindhold!$C$10,0)*J283*IFERROR(VLOOKUP(A283,Biogasanlæg!$F$3:$G$8,2,FALSE),1)</f>
        <v>0</v>
      </c>
      <c r="T283" s="191">
        <f t="shared" si="95"/>
        <v>0</v>
      </c>
      <c r="U283" s="189">
        <f>O283*IFERROR(VLOOKUP(A283,[1]Tørstofindhold!A$2:B$24,2,FALSE),0)</f>
        <v>0</v>
      </c>
      <c r="V283" s="190">
        <f>IF(D283=År1,P283,SUM(O283,P283))*IFERROR(VLOOKUP(A283,[1]Tørstofindhold!A$2:B$24,2,FALSE),0)</f>
        <v>0</v>
      </c>
      <c r="W283" s="190">
        <f>J283*IFERROR(VLOOKUP(A283,[1]Tørstofindhold!A$2:B$24,2,FALSE),0)</f>
        <v>0</v>
      </c>
      <c r="X283" s="191">
        <f t="shared" si="96"/>
        <v>0</v>
      </c>
      <c r="Y283" s="171">
        <f t="shared" si="90"/>
        <v>0</v>
      </c>
      <c r="Z283" s="103">
        <f t="shared" si="91"/>
        <v>1</v>
      </c>
    </row>
    <row r="284" spans="1:26" hidden="1" x14ac:dyDescent="0.25">
      <c r="A284" s="192" t="str">
        <f t="shared" si="87"/>
        <v>Spildevandsslam</v>
      </c>
      <c r="B284" s="192" t="str">
        <f t="shared" si="88"/>
        <v>Bionedbrydeligt affald</v>
      </c>
      <c r="C284" s="192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2">
        <f t="shared" si="92"/>
        <v>2050</v>
      </c>
      <c r="E284" s="190" t="s">
        <v>24</v>
      </c>
      <c r="F284" s="193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3496034.8535429356</v>
      </c>
      <c r="G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0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2796827.8828343488</v>
      </c>
      <c r="K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3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2">
        <f t="shared" si="93"/>
        <v>699206.97070858674</v>
      </c>
      <c r="O284" s="193">
        <f t="shared" si="89"/>
        <v>699206.97070858674</v>
      </c>
      <c r="P284" s="203">
        <f t="shared" si="94"/>
        <v>2796827.8828343488</v>
      </c>
      <c r="Q284" s="190">
        <f>IFERROR(VLOOKUP(A284,[1]Energiindhold!$A$2:$C$11,3,FALSE),IFERROR(VLOOKUP(A284,[1]Biogasudbytte!$A$2:$B$18,2,FALSE)*[1]Energiindhold!$C$10,0))*O284</f>
        <v>0.3489112704532919</v>
      </c>
      <c r="R284" s="190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1.7445563522664607</v>
      </c>
      <c r="S284" s="190">
        <f>IFERROR(VLOOKUP(A284,[1]Biogasudbytte!$A$2:$B$18,2,FALSE)*[1]Energiindhold!$C$10,0)*J284*IFERROR(VLOOKUP(A284,Biogasanlæg!$F$3:$G$8,2,FALSE),1)</f>
        <v>1.3956450818131687</v>
      </c>
      <c r="T284" s="191">
        <f t="shared" si="95"/>
        <v>0.34891127045329196</v>
      </c>
      <c r="U284" s="189">
        <f>O284*IFERROR(VLOOKUP(A284,[1]Tørstofindhold!A$2:B$24,2,FALSE),0)</f>
        <v>41952.418242515203</v>
      </c>
      <c r="V284" s="190">
        <f>IF(D284=År1,P284,SUM(O284,P284))*IFERROR(VLOOKUP(A284,[1]Tørstofindhold!A$2:B$24,2,FALSE),0)</f>
        <v>209762.09121257614</v>
      </c>
      <c r="W284" s="190">
        <f>J284*IFERROR(VLOOKUP(A284,[1]Tørstofindhold!A$2:B$24,2,FALSE),0)</f>
        <v>167809.67297006093</v>
      </c>
      <c r="X284" s="191">
        <f t="shared" si="96"/>
        <v>41952.41824251521</v>
      </c>
      <c r="Y284" s="171">
        <f t="shared" si="90"/>
        <v>0</v>
      </c>
      <c r="Z284" s="103">
        <f t="shared" si="91"/>
        <v>1</v>
      </c>
    </row>
    <row r="285" spans="1:26" hidden="1" x14ac:dyDescent="0.25">
      <c r="A285" s="192" t="str">
        <f t="shared" si="87"/>
        <v>Svinegylle</v>
      </c>
      <c r="B285" s="192" t="str">
        <f t="shared" si="88"/>
        <v>Husdyrgødning</v>
      </c>
      <c r="C285" s="192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2">
        <f t="shared" si="92"/>
        <v>2050</v>
      </c>
      <c r="E285" s="190" t="s">
        <v>24</v>
      </c>
      <c r="F285" s="193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1045598.7208186348</v>
      </c>
      <c r="G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0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836478.97665490792</v>
      </c>
      <c r="K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209119.74416372692</v>
      </c>
      <c r="L285" s="193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2">
        <f t="shared" si="93"/>
        <v>0</v>
      </c>
      <c r="O285" s="193">
        <f t="shared" si="89"/>
        <v>0</v>
      </c>
      <c r="P285" s="203">
        <f t="shared" si="94"/>
        <v>836478.97665490792</v>
      </c>
      <c r="Q285" s="190">
        <f>IFERROR(VLOOKUP(A285,[1]Energiindhold!$A$2:$C$11,3,FALSE),IFERROR(VLOOKUP(A285,[1]Biogasudbytte!$A$2:$B$18,2,FALSE)*[1]Energiindhold!$C$10,0))*O285</f>
        <v>0</v>
      </c>
      <c r="R285" s="190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0.36035514314293438</v>
      </c>
      <c r="S285" s="190">
        <f>IFERROR(VLOOKUP(A285,[1]Biogasudbytte!$A$2:$B$18,2,FALSE)*[1]Energiindhold!$C$10,0)*J285*IFERROR(VLOOKUP(A285,Biogasanlæg!$F$3:$G$8,2,FALSE),1)</f>
        <v>0.36035514314293438</v>
      </c>
      <c r="T285" s="191">
        <f t="shared" si="95"/>
        <v>0</v>
      </c>
      <c r="U285" s="189">
        <f>O285*IFERROR(VLOOKUP(A285,[1]Tørstofindhold!A$2:B$24,2,FALSE),0)</f>
        <v>0</v>
      </c>
      <c r="V285" s="190">
        <f>IF(D285=År1,P285,SUM(O285,P285))*IFERROR(VLOOKUP(A285,[1]Tørstofindhold!A$2:B$24,2,FALSE),0)</f>
        <v>41823.948832745402</v>
      </c>
      <c r="W285" s="190">
        <f>J285*IFERROR(VLOOKUP(A285,[1]Tørstofindhold!A$2:B$24,2,FALSE),0)</f>
        <v>41823.948832745402</v>
      </c>
      <c r="X285" s="191">
        <f t="shared" si="96"/>
        <v>0</v>
      </c>
      <c r="Y285" s="171">
        <f t="shared" si="90"/>
        <v>0</v>
      </c>
      <c r="Z285" s="103">
        <f t="shared" si="91"/>
        <v>0</v>
      </c>
    </row>
    <row r="286" spans="1:26" hidden="1" x14ac:dyDescent="0.25">
      <c r="A286" s="192" t="str">
        <f t="shared" si="87"/>
        <v>Svinekød</v>
      </c>
      <c r="B286" s="192" t="str">
        <f t="shared" si="88"/>
        <v/>
      </c>
      <c r="C286" s="192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2">
        <f t="shared" si="92"/>
        <v>2050</v>
      </c>
      <c r="E286" s="190" t="s">
        <v>24</v>
      </c>
      <c r="F286" s="193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97091.997795525866</v>
      </c>
      <c r="G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0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55237.148778432362</v>
      </c>
      <c r="J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3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2">
        <f t="shared" si="93"/>
        <v>41854.849017093504</v>
      </c>
      <c r="O286" s="193">
        <f t="shared" si="89"/>
        <v>0</v>
      </c>
      <c r="P286" s="203">
        <f t="shared" si="94"/>
        <v>0</v>
      </c>
      <c r="Q286" s="190">
        <f>IFERROR(VLOOKUP(A286,[1]Energiindhold!$A$2:$C$11,3,FALSE),IFERROR(VLOOKUP(A286,[1]Biogasudbytte!$A$2:$B$18,2,FALSE)*[1]Energiindhold!$C$10,0))*O286</f>
        <v>0</v>
      </c>
      <c r="R286" s="190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0">
        <f>IFERROR(VLOOKUP(A286,[1]Biogasudbytte!$A$2:$B$18,2,FALSE)*[1]Energiindhold!$C$10,0)*J286*IFERROR(VLOOKUP(A286,Biogasanlæg!$F$3:$G$8,2,FALSE),1)</f>
        <v>0</v>
      </c>
      <c r="T286" s="191">
        <f t="shared" si="95"/>
        <v>0</v>
      </c>
      <c r="U286" s="189">
        <f>O286*IFERROR(VLOOKUP(A286,[1]Tørstofindhold!A$2:B$24,2,FALSE),0)</f>
        <v>0</v>
      </c>
      <c r="V286" s="190">
        <f>IF(D286=År1,P286,SUM(O286,P286))*IFERROR(VLOOKUP(A286,[1]Tørstofindhold!A$2:B$24,2,FALSE),0)</f>
        <v>0</v>
      </c>
      <c r="W286" s="190">
        <f>J286*IFERROR(VLOOKUP(A286,[1]Tørstofindhold!A$2:B$24,2,FALSE),0)</f>
        <v>0</v>
      </c>
      <c r="X286" s="191">
        <f t="shared" si="96"/>
        <v>0</v>
      </c>
      <c r="Y286" s="171">
        <f t="shared" si="90"/>
        <v>0</v>
      </c>
      <c r="Z286" s="103">
        <f t="shared" si="91"/>
        <v>1</v>
      </c>
    </row>
    <row r="287" spans="1:26" hidden="1" x14ac:dyDescent="0.25">
      <c r="A287" s="192" t="str">
        <f t="shared" si="87"/>
        <v>Tang</v>
      </c>
      <c r="B287" s="192" t="str">
        <f t="shared" si="88"/>
        <v>Havbiomasse</v>
      </c>
      <c r="C287" s="192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2">
        <f t="shared" si="92"/>
        <v>2050</v>
      </c>
      <c r="E287" s="190" t="s">
        <v>24</v>
      </c>
      <c r="F287" s="193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4500</v>
      </c>
      <c r="G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0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3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2">
        <f t="shared" si="93"/>
        <v>4500</v>
      </c>
      <c r="O287" s="193">
        <f t="shared" si="89"/>
        <v>4500</v>
      </c>
      <c r="P287" s="203">
        <f t="shared" si="94"/>
        <v>0</v>
      </c>
      <c r="Q287" s="190">
        <f>IFERROR(VLOOKUP(A287,[1]Energiindhold!$A$2:$C$11,3,FALSE),IFERROR(VLOOKUP(A287,[1]Biogasudbytte!$A$2:$B$18,2,FALSE)*[1]Energiindhold!$C$10,0))*O287</f>
        <v>4.0387500000000007E-3</v>
      </c>
      <c r="R287" s="190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0">
        <f>IFERROR(VLOOKUP(A287,[1]Biogasudbytte!$A$2:$B$18,2,FALSE)*[1]Energiindhold!$C$10,0)*J287*IFERROR(VLOOKUP(A287,Biogasanlæg!$F$3:$G$8,2,FALSE),1)</f>
        <v>0</v>
      </c>
      <c r="T287" s="191">
        <f t="shared" si="95"/>
        <v>4.0387500000000007E-3</v>
      </c>
      <c r="U287" s="189">
        <f>O287*IFERROR(VLOOKUP(A287,[1]Tørstofindhold!A$2:B$24,2,FALSE),0)</f>
        <v>675</v>
      </c>
      <c r="V287" s="190">
        <f>IF(D287=År1,P287,SUM(O287,P287))*IFERROR(VLOOKUP(A287,[1]Tørstofindhold!A$2:B$24,2,FALSE),0)</f>
        <v>675</v>
      </c>
      <c r="W287" s="190">
        <f>J287*IFERROR(VLOOKUP(A287,[1]Tørstofindhold!A$2:B$24,2,FALSE),0)</f>
        <v>0</v>
      </c>
      <c r="X287" s="191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hidden="1" x14ac:dyDescent="0.25">
      <c r="A288" s="192" t="str">
        <f t="shared" si="87"/>
        <v>Total til biogas</v>
      </c>
      <c r="B288" s="192" t="str">
        <f t="shared" si="88"/>
        <v/>
      </c>
      <c r="C288" s="192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2">
        <f t="shared" si="92"/>
        <v>2050</v>
      </c>
      <c r="E288" s="190" t="s">
        <v>24</v>
      </c>
      <c r="F288" s="193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0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3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2">
        <f t="shared" si="93"/>
        <v>0</v>
      </c>
      <c r="O288" s="193">
        <f t="shared" si="89"/>
        <v>0</v>
      </c>
      <c r="P288" s="203">
        <f t="shared" si="94"/>
        <v>0</v>
      </c>
      <c r="Q288" s="190">
        <f>IFERROR(VLOOKUP(A288,[1]Energiindhold!$A$2:$C$11,3,FALSE),IFERROR(VLOOKUP(A288,[1]Biogasudbytte!$A$2:$B$18,2,FALSE)*[1]Energiindhold!$C$10,0))*O288</f>
        <v>0</v>
      </c>
      <c r="R288" s="190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0">
        <f>IFERROR(VLOOKUP(A288,[1]Biogasudbytte!$A$2:$B$18,2,FALSE)*[1]Energiindhold!$C$10,0)*J288*IFERROR(VLOOKUP(A288,Biogasanlæg!$F$3:$G$8,2,FALSE),1)</f>
        <v>0</v>
      </c>
      <c r="T288" s="191">
        <f t="shared" si="95"/>
        <v>0</v>
      </c>
      <c r="U288" s="189">
        <f>O288*IFERROR(VLOOKUP(A288,[1]Tørstofindhold!A$2:B$24,2,FALSE),0)</f>
        <v>0</v>
      </c>
      <c r="V288" s="190">
        <f>IF(D288=År1,P288,SUM(O288,P288))*IFERROR(VLOOKUP(A288,[1]Tørstofindhold!A$2:B$24,2,FALSE),0)</f>
        <v>0</v>
      </c>
      <c r="W288" s="190">
        <f>J288*IFERROR(VLOOKUP(A288,[1]Tørstofindhold!A$2:B$24,2,FALSE),0)</f>
        <v>0</v>
      </c>
      <c r="X288" s="191">
        <f t="shared" si="96"/>
        <v>0</v>
      </c>
      <c r="Y288" s="171">
        <f t="shared" si="90"/>
        <v>0</v>
      </c>
      <c r="Z288" s="103">
        <f t="shared" si="91"/>
        <v>0</v>
      </c>
    </row>
    <row r="289" spans="1:26" hidden="1" x14ac:dyDescent="0.25">
      <c r="A289" s="192" t="str">
        <f t="shared" si="87"/>
        <v>Træ til energi</v>
      </c>
      <c r="B289" s="192" t="str">
        <f t="shared" si="88"/>
        <v>Vedmasse</v>
      </c>
      <c r="C289" s="192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2">
        <f t="shared" si="92"/>
        <v>2050</v>
      </c>
      <c r="E289" s="190" t="s">
        <v>24</v>
      </c>
      <c r="F289" s="193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629106.00625063898</v>
      </c>
      <c r="G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0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3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629106.00625063898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2">
        <f t="shared" si="93"/>
        <v>0</v>
      </c>
      <c r="O289" s="193">
        <f t="shared" si="89"/>
        <v>0</v>
      </c>
      <c r="P289" s="203">
        <f t="shared" si="94"/>
        <v>629106.00625063898</v>
      </c>
      <c r="Q289" s="190">
        <f>IFERROR(VLOOKUP(A289,[1]Energiindhold!$A$2:$C$11,3,FALSE),IFERROR(VLOOKUP(A289,[1]Biogasudbytte!$A$2:$B$18,2,FALSE)*[1]Energiindhold!$C$10,0))*O289</f>
        <v>0</v>
      </c>
      <c r="R289" s="190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9.1179912474852252</v>
      </c>
      <c r="S289" s="190">
        <f>IFERROR(VLOOKUP(A289,[1]Biogasudbytte!$A$2:$B$18,2,FALSE)*[1]Energiindhold!$C$10,0)*J289*IFERROR(VLOOKUP(A289,Biogasanlæg!$F$3:$G$8,2,FALSE),1)</f>
        <v>0</v>
      </c>
      <c r="T289" s="191">
        <f t="shared" si="95"/>
        <v>9.1179912474852252</v>
      </c>
      <c r="U289" s="189">
        <f>O289*IFERROR(VLOOKUP(A289,[1]Tørstofindhold!A$2:B$24,2,FALSE),0)</f>
        <v>0</v>
      </c>
      <c r="V289" s="190">
        <f>IF(D289=År1,P289,SUM(O289,P289))*IFERROR(VLOOKUP(A289,[1]Tørstofindhold!A$2:B$24,2,FALSE),0)</f>
        <v>311145.34559146187</v>
      </c>
      <c r="W289" s="190">
        <f>J289*IFERROR(VLOOKUP(A289,[1]Tørstofindhold!A$2:B$24,2,FALSE),0)</f>
        <v>0</v>
      </c>
      <c r="X289" s="191">
        <f t="shared" si="96"/>
        <v>311145.34559146187</v>
      </c>
      <c r="Y289" s="171">
        <f t="shared" si="90"/>
        <v>0</v>
      </c>
      <c r="Z289" s="103">
        <f t="shared" si="91"/>
        <v>0</v>
      </c>
    </row>
    <row r="290" spans="1:26" ht="15.75" hidden="1" thickBot="1" x14ac:dyDescent="0.3">
      <c r="A290" s="192" t="str">
        <f t="shared" si="87"/>
        <v>Træmaterialer</v>
      </c>
      <c r="B290" s="192" t="str">
        <f t="shared" si="88"/>
        <v/>
      </c>
      <c r="C290" s="192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2">
        <f t="shared" si="92"/>
        <v>2050</v>
      </c>
      <c r="E290" s="190" t="s">
        <v>24</v>
      </c>
      <c r="F290" s="193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178830.65970425931</v>
      </c>
      <c r="G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0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3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178830.65970425931</v>
      </c>
      <c r="N290" s="204">
        <f t="shared" si="93"/>
        <v>0</v>
      </c>
      <c r="O290" s="205">
        <f t="shared" si="89"/>
        <v>0</v>
      </c>
      <c r="P290" s="206">
        <f t="shared" si="94"/>
        <v>0</v>
      </c>
      <c r="Q290" s="195">
        <f>IFERROR(VLOOKUP(A290,[1]Energiindhold!$A$2:$C$11,3,FALSE),IFERROR(VLOOKUP(A290,[1]Biogasudbytte!$A$2:$B$18,2,FALSE)*[1]Energiindhold!$C$10,0))*O290</f>
        <v>0</v>
      </c>
      <c r="R290" s="195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5">
        <f>IFERROR(VLOOKUP(A290,[1]Biogasudbytte!$A$2:$B$18,2,FALSE)*[1]Energiindhold!$C$10,0)*J290*IFERROR(VLOOKUP(A290,Biogasanlæg!$F$3:$G$8,2,FALSE),1)</f>
        <v>0</v>
      </c>
      <c r="T290" s="196">
        <f t="shared" si="95"/>
        <v>0</v>
      </c>
      <c r="U290" s="194">
        <f>O290*IFERROR(VLOOKUP(A290,[1]Tørstofindhold!A$2:B$24,2,FALSE),0)</f>
        <v>0</v>
      </c>
      <c r="V290" s="195">
        <f>IF(D290=År1,P290,SUM(O290,P290))*IFERROR(VLOOKUP(A290,[1]Tørstofindhold!A$2:B$24,2,FALSE),0)</f>
        <v>0</v>
      </c>
      <c r="W290" s="195">
        <f>J290*IFERROR(VLOOKUP(A290,[1]Tørstofindhold!A$2:B$24,2,FALSE),0)</f>
        <v>0</v>
      </c>
      <c r="X290" s="196">
        <f t="shared" si="96"/>
        <v>0</v>
      </c>
      <c r="Y290" s="171">
        <f t="shared" si="90"/>
        <v>0</v>
      </c>
      <c r="Z290" s="103">
        <f t="shared" si="91"/>
        <v>0</v>
      </c>
    </row>
  </sheetData>
  <autoFilter ref="A2:Z290" xr:uid="{E8FEB0F6-BC35-420D-A381-2F9B028DCC93}">
    <filterColumn colId="0">
      <filters>
        <filter val="Biogasgylle"/>
        <filter val="Kunstgødning"/>
      </filters>
    </filterColumn>
    <filterColumn colId="3">
      <filters>
        <filter val="2030"/>
        <filter val="2050"/>
      </filters>
    </filterColumn>
    <filterColumn colId="10">
      <filters>
        <filter val="1.136.584"/>
        <filter val="1.144.486"/>
        <filter val="1.273.541"/>
        <filter val="1.443.229"/>
        <filter val="1.723"/>
        <filter val="1.801.732"/>
        <filter val="1.924.034"/>
        <filter val="11.134.650"/>
        <filter val="110.402"/>
        <filter val="12.818.096"/>
        <filter val="14.714"/>
        <filter val="14.824.449"/>
        <filter val="145"/>
        <filter val="209.120"/>
        <filter val="266"/>
        <filter val="280.528"/>
        <filter val="3.170"/>
        <filter val="3.214.902"/>
        <filter val="3.219.780"/>
        <filter val="3.946.983"/>
        <filter val="309.416"/>
        <filter val="338"/>
        <filter val="377.070"/>
        <filter val="4.104"/>
        <filter val="4.582.749"/>
        <filter val="41.551"/>
        <filter val="479.704"/>
        <filter val="515.528"/>
        <filter val="567.745"/>
        <filter val="638.439"/>
        <filter val="664.027"/>
        <filter val="7.001.760"/>
        <filter val="730.308"/>
        <filter val="9.058.051"/>
        <filter val="90.516"/>
        <filter val="93.457"/>
      </filters>
    </filterColumn>
  </autoFilter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R19" sqref="R19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67" t="s">
        <v>23</v>
      </c>
      <c r="B2" s="368"/>
      <c r="C2" s="368"/>
      <c r="D2" s="368"/>
      <c r="E2" s="368"/>
      <c r="F2" s="368"/>
      <c r="G2" s="368"/>
      <c r="H2" s="368"/>
      <c r="I2" s="368"/>
      <c r="J2" s="368"/>
      <c r="K2" s="368"/>
      <c r="L2" s="368"/>
      <c r="M2" s="368"/>
      <c r="N2" s="368"/>
      <c r="O2" s="368"/>
      <c r="P2" s="368"/>
      <c r="Q2" s="368"/>
      <c r="R2" s="368"/>
      <c r="S2" s="368"/>
      <c r="T2" s="368"/>
      <c r="U2" s="369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73" t="s">
        <v>7</v>
      </c>
      <c r="D3" s="374"/>
      <c r="E3" s="374"/>
      <c r="F3" s="374"/>
      <c r="G3" s="374"/>
      <c r="H3" s="374"/>
      <c r="I3" s="374"/>
      <c r="J3" s="374"/>
      <c r="K3" s="375"/>
      <c r="L3" s="373" t="s">
        <v>8</v>
      </c>
      <c r="M3" s="374"/>
      <c r="N3" s="374"/>
      <c r="O3" s="374"/>
      <c r="P3" s="374"/>
      <c r="Q3" s="374"/>
      <c r="R3" s="374"/>
      <c r="S3" s="374"/>
      <c r="T3" s="375"/>
      <c r="U3" s="71"/>
      <c r="W3" s="31" t="s">
        <v>281</v>
      </c>
      <c r="X3" s="35">
        <f>C24+C51</f>
        <v>11808068</v>
      </c>
      <c r="Y3" s="11">
        <f>D24+D51</f>
        <v>9597731.076909367</v>
      </c>
      <c r="Z3" s="23">
        <f>E24+E51</f>
        <v>6343027.2216558158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282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624279.37582031451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283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561138.95623976586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17988.68709801232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0.29674680641973877</v>
      </c>
      <c r="I6" s="11">
        <f>IF(Landbrug!$E$47&gt;0,SUMIF(Landbrug!$B$32:$B$45,$B6,IF($I$4=År2,Landbrug!$D$32:$D$45,Landbrug!$E$32:$E$45)),'[1]Afgrødefordeling - jordtype'!$G4)*(1-Landbrug!$E$5)*Arealanvendelse!P$26</f>
        <v>456814.61907104118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0.43582889538516162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0.28302441074714974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87576.600106784259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2807.4829574932523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4.6313085394988143E-2</v>
      </c>
      <c r="R6" s="11">
        <f>IF(Landbrug!$E$47&gt;0,SUMIF(Landbrug!$B$32:$B$45,$B6,IF($R$4=År2,Landbrug!$D$32:$D$45,Landbrug!$E$32:$E$45)),'[1]Afgrødefordeling - jordtype'!$G4)*(Landbrug!$E$5)*Arealanvendelse!P$26</f>
        <v>96900.070712039029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9.2448553566549435E-2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6.0035481067577209E-2</v>
      </c>
      <c r="U6" s="94"/>
      <c r="W6" s="31" t="s">
        <v>284</v>
      </c>
      <c r="X6" s="34">
        <f t="shared" ref="X6:Z8" si="1">F24+F51</f>
        <v>490924</v>
      </c>
      <c r="Y6" s="11">
        <f t="shared" si="1"/>
        <v>552772.32309063291</v>
      </c>
      <c r="Z6" s="23">
        <f t="shared" si="1"/>
        <v>584743.27834418393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161327.44991893266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1542.0658644465243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1.7086450333499009E-2</v>
      </c>
      <c r="I7" s="11">
        <f>IF(Landbrug!$E$47&gt;0,SUMIF(Landbrug!$B$32:$B$45,$B7,IF($I$4=År2,Landbrug!$D$32:$D$45,Landbrug!$E$32:$E$45)),'[1]Afgrødefordeling - jordtype'!$G5)*(1-Landbrug!$E$5)*Arealanvendelse!P$26</f>
        <v>131334.20298292433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3.7361084700125495E-2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1.6296325462585758E-2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25178.272530700477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240.66923895986218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2.6666714393322154E-3</v>
      </c>
      <c r="R7" s="11">
        <f>IF(Landbrug!$E$47&gt;0,SUMIF(Landbrug!$B$32:$B$45,$B7,IF($R$4=År2,Landbrug!$D$32:$D$45,Landbrug!$E$32:$E$45)),'[1]Afgrødefordeling - jordtype'!$G5)*(Landbrug!$E$5)*Arealanvendelse!P$26</f>
        <v>27858.770329711224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7.9250785727538933E-3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3.4567963102454641E-3</v>
      </c>
      <c r="U7" s="94"/>
      <c r="W7" s="31" t="s">
        <v>285</v>
      </c>
      <c r="X7" s="34">
        <f t="shared" si="1"/>
        <v>224348</v>
      </c>
      <c r="Y7" s="11">
        <f t="shared" si="1"/>
        <v>210555.77489895534</v>
      </c>
      <c r="Z7" s="23">
        <f t="shared" si="1"/>
        <v>170920.62417968543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127659.1125445467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1651.2179103063932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2.2126179468366147E-2</v>
      </c>
      <c r="I8" s="11">
        <f>IF(Landbrug!$E$47&gt;0,SUMIF(Landbrug!$B$32:$B$45,$B8,IF($I$4=År2,Landbrug!$D$32:$D$45,Landbrug!$E$32:$E$45)),'[1]Afgrødefordeling - jordtype'!$G6)*(1-Landbrug!$E$5)*Arealanvendelse!P$26</f>
        <v>103925.32583866185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4.0005614304589723E-2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2.1103003539193144E-2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19923.67652429342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257.704529354177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3.4532187609588785E-3</v>
      </c>
      <c r="R8" s="11">
        <f>IF(Landbrug!$E$47&gt;0,SUMIF(Landbrug!$B$32:$B$45,$B8,IF($R$4=År2,Landbrug!$D$32:$D$45,Landbrug!$E$32:$E$45)),'[1]Afgrødefordeling - jordtype'!$G6)*(Landbrug!$E$5)*Arealanvendelse!P$26</f>
        <v>22044.766086988879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8.4860393979432746E-3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4.4763946901318786E-3</v>
      </c>
      <c r="U8" s="94"/>
      <c r="W8" s="46" t="s">
        <v>286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182370.16077792388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15238.021720870902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0.51029954485989426</v>
      </c>
      <c r="I9" s="11">
        <f>IF(Landbrug!$E$47&gt;0,SUMIF(Landbrug!$B$32:$B$45,$B9,IF($I$4=År2,Landbrug!$D$32:$D$45,Landbrug!$E$32:$E$45)),'[1]Afgrødefordeling - jordtype'!$G7)*(1-Landbrug!$E$5)*Arealanvendelse!P$26</f>
        <v>97073.106552596262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0.36918592992793164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0.48670187804556381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28462.395034704889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2378.1883610607765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7.9642125498364996E-2</v>
      </c>
      <c r="R9" s="11">
        <f>IF(Landbrug!$E$47&gt;0,SUMIF(Landbrug!$B$32:$B$45,$B9,IF($R$4=År2,Landbrug!$D$32:$D$45,Landbrug!$E$32:$E$45)),'[1]Afgrødefordeling - jordtype'!$G7)*(Landbrug!$E$5)*Arealanvendelse!P$26</f>
        <v>20591.265026308294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7.8312166954409748E-2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0.10323979231269535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56113.895623976576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71.268800751408534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5.9312754358377721E-4</v>
      </c>
      <c r="I10" s="11">
        <f>IF(Landbrug!$E$47&gt;0,SUMIF(Landbrug!$B$32:$B$45,$B10,IF($I$4=År2,Landbrug!$D$32:$D$45,Landbrug!$E$32:$E$45)),'[1]Afgrødefordeling - jordtype'!$G8)*(1-Landbrug!$E$5)*Arealanvendelse!P$26</f>
        <v>45681.461907104116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1.7266964808312041E-3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5.6569968029666602E-4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8757.6600106784263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11.122876417849888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9.2569038593999904E-5</v>
      </c>
      <c r="R10" s="11">
        <f>IF(Landbrug!$E$47&gt;0,SUMIF(Landbrug!$B$32:$B$45,$B10,IF($R$4=År2,Landbrug!$D$32:$D$45,Landbrug!$E$32:$E$45)),'[1]Afgrødefordeling - jordtype'!$G8)*(Landbrug!$E$5)*Arealanvendelse!P$26</f>
        <v>9690.0070712039033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3.6626895047934632E-4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1.1999690188111097E-4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42085.421717982426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1125.1496418632635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3.1394414813143305E-2</v>
      </c>
      <c r="I11" s="11">
        <f>IF(Landbrug!$E$47&gt;0,SUMIF(Landbrug!$B$32:$B$45,$B11,IF($I$4=År2,Landbrug!$D$32:$D$45,Landbrug!$E$32:$E$45)),'[1]Afgrødefordeling - jordtype'!$G9)*(1-Landbrug!$E$5)*Arealanvendelse!P$26</f>
        <v>34261.096430328085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2.7260061998102159E-2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2.9942649966292749E-2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6568.2450080088183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175.60138919253245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4.8997063581206323E-3</v>
      </c>
      <c r="R11" s="11">
        <f>IF(Landbrug!$E$47&gt;0,SUMIF(Landbrug!$B$32:$B$45,$B11,IF($R$4=År2,Landbrug!$D$32:$D$45,Landbrug!$E$32:$E$45)),'[1]Afgrødefordeling - jordtype'!$G9)*(Landbrug!$E$5)*Arealanvendelse!P$26</f>
        <v>7267.505303402927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5.7824373935368217E-3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6.3514712049711885E-3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7014.236952997072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29.518660249897398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3.3950117003646611E-4</v>
      </c>
      <c r="I12" s="11">
        <f>IF(Landbrug!$E$47&gt;0,SUMIF(Landbrug!$B$32:$B$45,$B12,IF($I$4=År2,Landbrug!$D$32:$D$45,Landbrug!$E$32:$E$45)),'[1]Afgrødefordeling - jordtype'!$G10)*(1-Landbrug!$E$5)*Arealanvendelse!P$26</f>
        <v>5710.1827383880145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7.1517643393687155E-4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3.2380169396541565E-4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1094.7075013348033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4.6069585361111542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5.2985731739795291E-5</v>
      </c>
      <c r="R12" s="11">
        <f>IF(Landbrug!$E$47&gt;0,SUMIF(Landbrug!$B$32:$B$45,$B12,IF($R$4=År2,Landbrug!$D$32:$D$45,Landbrug!$E$32:$E$45)),'[1]Afgrødefordeling - jordtype'!$G10)*(Landbrug!$E$5)*Arealanvendelse!P$26</f>
        <v>1211.2508839004879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1.5170409204721518E-4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6.8685207810845745E-5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70142.369529970732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3810.4154462517859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4.2220294070089238E-2</v>
      </c>
      <c r="I13" s="11">
        <f>IF(Landbrug!$E$47&gt;0,SUMIF(Landbrug!$B$32:$B$45,$B13,IF($I$4=År2,Landbrug!$D$32:$D$45,Landbrug!$E$32:$E$45)),'[1]Afgrødefordeling - jordtype'!$G11)*(1-Landbrug!$E$5)*Arealanvendelse!P$26</f>
        <v>57101.827383880147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9.2318530299077425E-2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4.0267910529275863E-2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10947.075013348032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594.6891158890071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6.5892944502451414E-3</v>
      </c>
      <c r="R13" s="11">
        <f>IF(Landbrug!$E$47&gt;0,SUMIF(Landbrug!$B$32:$B$45,$B13,IF($R$4=År2,Landbrug!$D$32:$D$45,Landbrug!$E$32:$E$45)),'[1]Afgrødefordeling - jordtype'!$G11)*(Landbrug!$E$5)*Arealanvendelse!P$26</f>
        <v>12112.508839004879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1.9582718548289149E-2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8.5416779910585158E-3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14028.473905994144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64.91370276951497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1.2099053290264164E-3</v>
      </c>
      <c r="I14" s="11">
        <f>IF(Landbrug!$E$47&gt;0,SUMIF(Landbrug!$B$32:$B$45,$B14,IF($I$4=År2,Landbrug!$D$32:$D$45,Landbrug!$E$32:$E$45)),'[1]Afgrødefordeling - jordtype'!$G12)*(1-Landbrug!$E$5)*Arealanvendelse!P$26</f>
        <v>11420.365476776029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1.5727255257291396E-3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1.1539559496494725E-3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2189.4150026696066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10.131040316629504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1.8882915539718639E-4</v>
      </c>
      <c r="R14" s="11">
        <f>IF(Landbrug!$E$47&gt;0,SUMIF(Landbrug!$B$32:$B$45,$B14,IF($R$4=År2,Landbrug!$D$32:$D$45,Landbrug!$E$32:$E$45)),'[1]Afgrødefordeling - jordtype'!$G12)*(Landbrug!$E$5)*Arealanvendelse!P$26</f>
        <v>2422.5017678009758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3.3360844485163561E-4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2.4477853477413049E-4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39235.776034734517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1148.0573462747577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2.1398266344745977E-2</v>
      </c>
      <c r="I15" s="11">
        <f>IF(Landbrug!$E$47&gt;0,SUMIF(Landbrug!$B$32:$B$45,$B15,IF($I$4=År2,Landbrug!$D$32:$D$45,Landbrug!$E$32:$E$45)),'[1]Afgrødefordeling - jordtype'!$G13)*(1-Landbrug!$E$5)*Arealanvendelse!P$26</f>
        <v>31941.243579612597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2.7815068567234969E-2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2.040875113805252E-2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6123.5026181377571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179.17658005444198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3.3396138225904128E-3</v>
      </c>
      <c r="R15" s="11">
        <f>IF(Landbrug!$E$47&gt;0,SUMIF(Landbrug!$B$32:$B$45,$B15,IF($R$4=År2,Landbrug!$D$32:$D$45,Landbrug!$E$32:$E$45)),'[1]Afgrødefordeling - jordtype'!$G13)*(Landbrug!$E$5)*Arealanvendelse!P$26</f>
        <v>6775.4153047663094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5.9001660597165087E-3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4.329129029283868E-3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56668.45145378921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2833.7440917610315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6.8082129291564208E-2</v>
      </c>
      <c r="I16" s="11">
        <f>IF(Landbrug!$E$47&gt;0,SUMIF(Landbrug!$B$32:$B$45,$B16,IF($I$4=År2,Landbrug!$D$32:$D$45,Landbrug!$E$32:$E$45)),'[1]Afgrødefordeling - jordtype'!$G14)*(1-Landbrug!$E$5)*Arealanvendelse!P$26</f>
        <v>46132.91730390468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6.8655791864482674E-2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6.4933822734728863E-2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8844.2091864295289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442.26063859854253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1.0625534629319271E-2</v>
      </c>
      <c r="R16" s="11">
        <f>IF(Landbrug!$E$47&gt;0,SUMIF(Landbrug!$B$32:$B$45,$B16,IF($R$4=År2,Landbrug!$D$32:$D$45,Landbrug!$E$32:$E$45)),'[1]Afgrødefordeling - jordtype'!$G14)*(Landbrug!$E$5)*Arealanvendelse!P$26</f>
        <v>9785.7703371919033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1.4563349789435716E-2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1.3773841186154611E-2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10643.311931460419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325.57753513414758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6.0683334637179846E-3</v>
      </c>
      <c r="I17" s="11">
        <f>IF(Landbrug!$E$47&gt;0,SUMIF(Landbrug!$B$32:$B$45,$B17,IF($I$4=År2,Landbrug!$D$32:$D$45,Landbrug!$E$32:$E$45)),'[1]Afgrødefordeling - jordtype'!$G15)*(1-Landbrug!$E$5)*Arealanvendelse!P$26</f>
        <v>8664.5570255986549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7.888074139408327E-3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5.7877168873610831E-3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1661.0949257192565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50.812678893768705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9.4708094520454093E-4</v>
      </c>
      <c r="R17" s="11">
        <f>IF(Landbrug!$E$47&gt;0,SUMIF(Landbrug!$B$32:$B$45,$B17,IF($R$4=År2,Landbrug!$D$32:$D$45,Landbrug!$E$32:$E$45)),'[1]Afgrødefordeling - jordtype'!$G15)*(Landbrug!$E$5)*Arealanvendelse!P$26</f>
        <v>1837.9363387633509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1.6732278477532812E-3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1.2276975215614421E-3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4092.8205610553005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534.71836671684468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1.4324445842879414E-2</v>
      </c>
      <c r="I18" s="11">
        <f>IF(Landbrug!$E$47&gt;0,SUMIF(Landbrug!$B$32:$B$45,$B18,IF($I$4=År2,Landbrug!$D$32:$D$45,Landbrug!$E$32:$E$45)),'[1]Afgrødefordeling - jordtype'!$G16)*(1-Landbrug!$E$5)*Arealanvendelse!P$26</f>
        <v>3331.9024543463102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1.2955126399086169E-2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1.3662043722977473E-2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638.76390259244579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83.453155499160744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2.2356071546690416E-3</v>
      </c>
      <c r="R18" s="11">
        <f>IF(Landbrug!$E$47&gt;0,SUMIF(Landbrug!$B$32:$B$45,$B18,IF($R$4=År2,Landbrug!$D$32:$D$45,Landbrug!$E$32:$E$45)),'[1]Afgrødefordeling - jordtype'!$G16)*(Landbrug!$E$5)*Arealanvendelse!P$26</f>
        <v>706.76718728558092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2.7480571149576727E-3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2.8980092745709792E-3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70142.369529970732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15113.849399235503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0.52979341323357754</v>
      </c>
      <c r="I19" s="11">
        <f>IF(Landbrug!$E$47&gt;0,SUMIF(Landbrug!$B$32:$B$45,$B19,IF($I$4=År2,Landbrug!$D$32:$D$45,Landbrug!$E$32:$E$45)),'[1]Afgrødefordeling - jordtype'!$G17)*(1-Landbrug!$E$5)*Arealanvendelse!P$26</f>
        <v>108493.47202937228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0.36617748993000948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0.50529429585861441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10947.075013348032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2358.8088657766393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8.2684521140500539E-2</v>
      </c>
      <c r="R19" s="11">
        <f>IF(Landbrug!$E$47&gt;0,SUMIF(Landbrug!$B$32:$B$45,$B19,IF($R$4=År2,Landbrug!$D$32:$D$45,Landbrug!$E$32:$E$45)),'[1]Afgrødefordeling - jordtype'!$G17)*(Landbrug!$E$5)*Arealanvendelse!P$26</f>
        <v>23013.766794109266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7.7674013015456553E-2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0.10718363851546366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1402662.8067230999</v>
      </c>
      <c r="G20" s="38">
        <f t="shared" si="2"/>
        <v>61477.205584644296</v>
      </c>
      <c r="H20" s="38">
        <f t="shared" si="2"/>
        <v>1.5616828121838626</v>
      </c>
      <c r="I20" s="38">
        <f t="shared" si="2"/>
        <v>1141886.2807745344</v>
      </c>
      <c r="J20" s="38">
        <f t="shared" si="2"/>
        <v>1.489466265955707</v>
      </c>
      <c r="K20" s="39">
        <f t="shared" si="2"/>
        <v>1.489466265955707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218912.69237874972</v>
      </c>
      <c r="P20" s="38">
        <f t="shared" si="2"/>
        <v>9594.708386042752</v>
      </c>
      <c r="Q20" s="38">
        <f t="shared" si="2"/>
        <v>0.24373084352002478</v>
      </c>
      <c r="R20" s="38">
        <f t="shared" si="2"/>
        <v>242218.30198247702</v>
      </c>
      <c r="S20" s="38">
        <f t="shared" si="2"/>
        <v>0.31594738974818026</v>
      </c>
      <c r="T20" s="39">
        <f t="shared" si="2"/>
        <v>0.31594738974818021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73" t="s">
        <v>7</v>
      </c>
      <c r="D22" s="374"/>
      <c r="E22" s="375"/>
      <c r="F22" s="379" t="s">
        <v>8</v>
      </c>
      <c r="G22" s="374"/>
      <c r="H22" s="375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8065001.0864567999</v>
      </c>
      <c r="E24" s="23">
        <f>($F24+$C24)*Landbrug!E11*(1-Landbrug!E6)</f>
        <v>4825776.8190355003</v>
      </c>
      <c r="F24" s="34">
        <f>SUM([1]Dyrehold!E58:G61)</f>
        <v>475477</v>
      </c>
      <c r="G24" s="11">
        <f>($F24+$C24)*Landbrug!D11*Landbrug!D6</f>
        <v>528953.31354319979</v>
      </c>
      <c r="H24" s="23">
        <f>($F24+$C24)*Landbrug!E11*Landbrug!E6</f>
        <v>545444.68096449983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548590.27160400525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147641.72839599467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70" t="s">
        <v>24</v>
      </c>
      <c r="B29" s="371"/>
      <c r="C29" s="371"/>
      <c r="D29" s="371"/>
      <c r="E29" s="371"/>
      <c r="F29" s="371"/>
      <c r="G29" s="371"/>
      <c r="H29" s="371"/>
      <c r="I29" s="371"/>
      <c r="J29" s="371"/>
      <c r="K29" s="371"/>
      <c r="L29" s="371"/>
      <c r="M29" s="371"/>
      <c r="N29" s="371"/>
      <c r="O29" s="371"/>
      <c r="P29" s="371"/>
      <c r="Q29" s="371"/>
      <c r="R29" s="371"/>
      <c r="S29" s="371"/>
      <c r="T29" s="371"/>
      <c r="U29" s="372"/>
    </row>
    <row r="30" spans="1:21" x14ac:dyDescent="0.25">
      <c r="A30" s="56"/>
      <c r="B30" s="53"/>
      <c r="C30" s="376" t="s">
        <v>7</v>
      </c>
      <c r="D30" s="377"/>
      <c r="E30" s="377"/>
      <c r="F30" s="377"/>
      <c r="G30" s="377"/>
      <c r="H30" s="377"/>
      <c r="I30" s="377"/>
      <c r="J30" s="377"/>
      <c r="K30" s="378"/>
      <c r="L30" s="376" t="s">
        <v>8</v>
      </c>
      <c r="M30" s="377"/>
      <c r="N30" s="377"/>
      <c r="O30" s="377"/>
      <c r="P30" s="377"/>
      <c r="Q30" s="377"/>
      <c r="R30" s="377"/>
      <c r="S30" s="377"/>
      <c r="T30" s="378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182635.09976023421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2543.5266161074505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4.5754933628917617E-2</v>
      </c>
      <c r="I33" s="11">
        <f>IF(Landbrug!$E$47&gt;0,SUMIF(Landbrug!$B$32:$B$45,$B33,IF($I$31=År2,Landbrug!$D$32:$D$45,Landbrug!$E$32:$E$45)),'[1]Afgrødefordeling - jordtype'!$P4)*(1-Landbrug!$E$5)*Arealanvendelse!P$36</f>
        <v>165742.2609289588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6.1624419250252083E-2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4.3639098547811596E-2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28503.743893215742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396.96658170463104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7.1409433987328075E-3</v>
      </c>
      <c r="R33" s="11">
        <f>IF(Landbrug!$E$47&gt;0,SUMIF(Landbrug!$B$32:$B$45,$B33,IF($R$31=År2,Landbrug!$D$32:$D$45,Landbrug!$E$32:$E$45)),'[1]Afgrødefordeling - jordtype'!$P4)*(Landbrug!$E$5)*Arealanvendelse!P$36</f>
        <v>35157.449287960953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1.3071846507629228E-2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9.2567784798388234E-3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52507.591181067335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68.781025480452769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8.3106047603679744E-4</v>
      </c>
      <c r="I34" s="11">
        <f>IF(Landbrug!$E$47&gt;0,SUMIF(Landbrug!$B$32:$B$45,$B34,IF($I$31=År2,Landbrug!$D$32:$D$45,Landbrug!$E$32:$E$45)),'[1]Afgrødefordeling - jordtype'!$P5)*(1-Landbrug!$E$5)*Arealanvendelse!P$36</f>
        <v>47650.900017075655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1.6664228020370887E-3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7.9262993379232123E-4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8194.826369299526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10.734610913134247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1.2970308007510711E-4</v>
      </c>
      <c r="R34" s="11">
        <f>IF(Landbrug!$E$47&gt;0,SUMIF(Landbrug!$B$32:$B$45,$B34,IF($R$31=År2,Landbrug!$D$32:$D$45,Landbrug!$E$32:$E$45)),'[1]Afgrødefordeling - jordtype'!$P5)*(Landbrug!$E$5)*Arealanvendelse!P$36</f>
        <v>10107.766670288775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3.5348362467453397E-4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1.6813362231958326E-4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41549.485195453271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277.81730642917057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4.0595359645178462E-3</v>
      </c>
      <c r="I35" s="11">
        <f>IF(Landbrug!$E$47&gt;0,SUMIF(Landbrug!$B$32:$B$45,$B35,IF($I$31=År2,Landbrug!$D$32:$D$45,Landbrug!$E$32:$E$45)),'[1]Afgrødefordeling - jordtype'!$P6)*(1-Landbrug!$E$5)*Arealanvendelse!P$36</f>
        <v>37706.364361338121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6.7309420148972078E-3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3.8718117580661539E-3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6484.6017357065812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43.358770367558421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6.3356919677446158E-4</v>
      </c>
      <c r="R35" s="11">
        <f>IF(Landbrug!$E$47&gt;0,SUMIF(Landbrug!$B$32:$B$45,$B35,IF($R$31=År2,Landbrug!$D$32:$D$45,Landbrug!$E$32:$E$45)),'[1]Afgrødefordeling - jordtype'!$P6)*(Landbrug!$E$5)*Arealanvendelse!P$36</f>
        <v>7998.3197130111166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1.4277755789175895E-3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8.2129340322615392E-4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59356.407422076118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816.89928733229783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2.9831848636857054E-2</v>
      </c>
      <c r="I36" s="11">
        <f>IF(Landbrug!$E$47&gt;0,SUMIF(Landbrug!$B$32:$B$45,$B36,IF($I$31=År2,Landbrug!$D$32:$D$45,Landbrug!$E$32:$E$45)),'[1]Afgrødefordeling - jordtype'!$P7)*(1-Landbrug!$E$5)*Arealanvendelse!P$36</f>
        <v>35220.230447403745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1.9791789812224642E-2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2.8452341185441699E-2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9263.7167652951175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127.4929523582199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4.6558376485268237E-3</v>
      </c>
      <c r="R36" s="11">
        <f>IF(Landbrug!$E$47&gt;0,SUMIF(Landbrug!$B$32:$B$45,$B36,IF($R$31=År2,Landbrug!$D$32:$D$45,Landbrug!$E$32:$E$45)),'[1]Afgrødefordeling - jordtype'!$P7)*(Landbrug!$E$5)*Arealanvendelse!P$36</f>
        <v>7470.957973691703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4.1982584450173483E-3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6.0353450999421779E-3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18263.509976023419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15.471187824817051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1.4040654632499296E-4</v>
      </c>
      <c r="I37" s="11">
        <f>IF(Landbrug!$E$47&gt;0,SUMIF(Landbrug!$B$32:$B$45,$B37,IF($I$31=År2,Landbrug!$D$32:$D$45,Landbrug!$E$32:$E$45)),'[1]Afgrødefordeling - jordtype'!$P8)*(1-Landbrug!$E$5)*Arealanvendelse!P$36</f>
        <v>16574.226092895879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3.7483506513290803E-4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1.3391375805562911E-4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2850.3743893215742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2.4145784466477478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2.1913160409102947E-5</v>
      </c>
      <c r="R37" s="11">
        <f>IF(Landbrug!$E$47&gt;0,SUMIF(Landbrug!$B$32:$B$45,$B37,IF($R$31=År2,Landbrug!$D$32:$D$45,Landbrug!$E$32:$E$45)),'[1]Afgrødefordeling - jordtype'!$P8)*(Landbrug!$E$5)*Arealanvendelse!P$36</f>
        <v>3515.7449287960953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7.9510468361525957E-5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2.8405948678466784E-5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13697.632482017563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26.302435262527187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8.0030056464171814E-4</v>
      </c>
      <c r="I38" s="11">
        <f>IF(Landbrug!$E$47&gt;0,SUMIF(Landbrug!$B$32:$B$45,$B38,IF($I$31=År2,Landbrug!$D$32:$D$45,Landbrug!$E$32:$E$45)),'[1]Afgrødefordeling - jordtype'!$P9)*(1-Landbrug!$E$5)*Arealanvendelse!P$36</f>
        <v>12430.669569671909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6.37253916533074E-4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7.6329244604556935E-4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2137.7807919911802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4.1050043473308326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1.2490240026200229E-4</v>
      </c>
      <c r="R38" s="11">
        <f>IF(Landbrug!$E$47&gt;0,SUMIF(Landbrug!$B$32:$B$45,$B38,IF($R$31=År2,Landbrug!$D$32:$D$45,Landbrug!$E$32:$E$45)),'[1]Afgrødefordeling - jordtype'!$P9)*(Landbrug!$E$5)*Arealanvendelse!P$36</f>
        <v>2636.8086965970715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1.351750732039854E-4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1.6191051885815108E-4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2282.9387470029274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73.48347036613049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9.2161460426674424E-4</v>
      </c>
      <c r="I39" s="11">
        <f>IF(Landbrug!$E$47&gt;0,SUMIF(Landbrug!$B$32:$B$45,$B39,IF($I$31=År2,Landbrug!$D$32:$D$45,Landbrug!$E$32:$E$45)),'[1]Afgrødefordeling - jordtype'!$P10)*(1-Landbrug!$E$5)*Arealanvendelse!P$36</f>
        <v>2071.7782616119848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1.7803533712322671E-3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8.7899658788446707E-4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356.29679866519677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11.468518496448112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1.4383580529018554E-4</v>
      </c>
      <c r="R39" s="11">
        <f>IF(Landbrug!$E$47&gt;0,SUMIF(Landbrug!$B$32:$B$45,$B39,IF($R$31=År2,Landbrug!$D$32:$D$45,Landbrug!$E$32:$E$45)),'[1]Afgrødefordeling - jordtype'!$P10)*(Landbrug!$E$5)*Arealanvendelse!P$36</f>
        <v>439.46811609951192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3.7765071510987484E-4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1.8645382167246271E-4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22829.387470029276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78.344719162303662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9.466157148310761E-4</v>
      </c>
      <c r="I40" s="11">
        <f>IF(Landbrug!$E$47&gt;0,SUMIF(Landbrug!$B$32:$B$45,$B40,IF($I$31=År2,Landbrug!$D$32:$D$45,Landbrug!$E$32:$E$45)),'[1]Afgrødefordeling - jordtype'!$P11)*(1-Landbrug!$E$5)*Arealanvendelse!P$36</f>
        <v>20717.78261611985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1.8981314326050301E-3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9.0284157772906114E-4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3562.9679866519677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12.227210505099418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1.4773771271930092E-4</v>
      </c>
      <c r="R40" s="11">
        <f>IF(Landbrug!$E$47&gt;0,SUMIF(Landbrug!$B$32:$B$45,$B40,IF($R$31=År2,Landbrug!$D$32:$D$45,Landbrug!$E$32:$E$45)),'[1]Afgrødefordeling - jordtype'!$P11)*(Landbrug!$E$5)*Arealanvendelse!P$36</f>
        <v>4394.6811609951192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4.0263394024955173E-4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1.9151184982131597E-4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4565.8774940058547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16.900566419398675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3.4350362462884858E-4</v>
      </c>
      <c r="I41" s="11">
        <f>IF(Landbrug!$E$47&gt;0,SUMIF(Landbrug!$B$32:$B$45,$B41,IF($I$31=År2,Landbrug!$D$32:$D$45,Landbrug!$E$32:$E$45)),'[1]Afgrødefordeling - jordtype'!$P12)*(1-Landbrug!$E$5)*Arealanvendelse!P$36</f>
        <v>4143.5565232239696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4.094659690212412E-4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3.2761906395237006E-4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712.59359733039355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2.6376606550506607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5.36103922831151E-5</v>
      </c>
      <c r="R41" s="11">
        <f>IF(Landbrug!$E$47&gt;0,SUMIF(Landbrug!$B$32:$B$45,$B41,IF($R$31=År2,Landbrug!$D$32:$D$45,Landbrug!$E$32:$E$45)),'[1]Afgrødefordeling - jordtype'!$P12)*(Landbrug!$E$5)*Arealanvendelse!P$36</f>
        <v>878.93623219902383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8.6856417671172357E-5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6.9494952959593638E-5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12770.152188849457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120.67824120695344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2.452782483126852E-3</v>
      </c>
      <c r="I42" s="11">
        <f>IF(Landbrug!$E$47&gt;0,SUMIF(Landbrug!$B$32:$B$45,$B42,IF($I$31=År2,Landbrug!$D$32:$D$45,Landbrug!$E$32:$E$45)),'[1]Afgrødefordeling - jordtype'!$P13)*(1-Landbrug!$E$5)*Arealanvendelse!P$36</f>
        <v>11588.976593028619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2.9237856145973122E-3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2.3393590156990207E-3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1993.0295323637881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18.834176373339556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3.8280420256893069E-4</v>
      </c>
      <c r="R42" s="11">
        <f>IF(Landbrug!$E$47&gt;0,SUMIF(Landbrug!$B$32:$B$45,$B42,IF($R$31=År2,Landbrug!$D$32:$D$45,Landbrug!$E$32:$E$45)),'[1]Afgrødefordeling - jordtype'!$P13)*(Landbrug!$E$5)*Arealanvendelse!P$36</f>
        <v>2458.2677621575858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6.2019694855094509E-4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4.9622766999676197E-4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18444.002451504257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876.11830838913772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2.2953573895167008E-2</v>
      </c>
      <c r="I43" s="11">
        <f>IF(Landbrug!$E$47&gt;0,SUMIF(Landbrug!$B$32:$B$45,$B43,IF($I$31=År2,Landbrug!$D$32:$D$45,Landbrug!$E$32:$E$45)),'[1]Afgrødefordeling - jordtype'!$P14)*(1-Landbrug!$E$5)*Arealanvendelse!P$36</f>
        <v>16738.023911640095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2.1226544910947009E-2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2.1892136952037899E-2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2878.5437352058666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136.73522732084808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3.5823496830607472E-3</v>
      </c>
      <c r="R43" s="11">
        <f>IF(Landbrug!$E$47&gt;0,SUMIF(Landbrug!$B$32:$B$45,$B43,IF($R$31=År2,Landbrug!$D$32:$D$45,Landbrug!$E$32:$E$45)),'[1]Afgrødefordeling - jordtype'!$P14)*(Landbrug!$E$5)*Arealanvendelse!P$36</f>
        <v>3550.4899206509294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4.5026004356554256E-3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4.6437866261898574E-3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3464.1015648020552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26.483091404220694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5.3826822503920445E-4</v>
      </c>
      <c r="I44" s="11">
        <f>IF(Landbrug!$E$47&gt;0,SUMIF(Landbrug!$B$32:$B$45,$B44,IF($I$31=År2,Landbrug!$D$32:$D$45,Landbrug!$E$32:$E$45)),'[1]Afgrødefordeling - jordtype'!$P15)*(1-Landbrug!$E$5)*Arealanvendelse!P$36</f>
        <v>3143.6893904380149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6.4163084333437122E-4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5.1337720885242047E-4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540.64012861072547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4.1331992364968713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8.4007179630396072E-5</v>
      </c>
      <c r="R44" s="11">
        <f>IF(Landbrug!$E$47&gt;0,SUMIF(Landbrug!$B$32:$B$45,$B44,IF($R$31=År2,Landbrug!$D$32:$D$45,Landbrug!$E$32:$E$45)),'[1]Afgrødefordeling - jordtype'!$P15)*(Landbrug!$E$5)*Arealanvendelse!P$36</f>
        <v>666.84320403230618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1.3610351222244238E-4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1.0889819581718008E-4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1332.0990873242467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56.207011126951372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1.6419437573988649E-3</v>
      </c>
      <c r="I45" s="11">
        <f>IF(Landbrug!$E$47&gt;0,SUMIF(Landbrug!$B$32:$B$45,$B45,IF($I$31=År2,Landbrug!$D$32:$D$45,Landbrug!$E$32:$E$45)),'[1]Afgrødefordeling - jordtype'!$P16)*(1-Landbrug!$E$5)*Arealanvendelse!P$36</f>
        <v>1208.8865437387055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1.3617802921958929E-3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1.56601572237464E-3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207.89985755927555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8.7721924880213127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2.5625711820675929E-4</v>
      </c>
      <c r="R45" s="11">
        <f>IF(Landbrug!$E$47&gt;0,SUMIF(Landbrug!$B$32:$B$45,$B45,IF($R$31=År2,Landbrug!$D$32:$D$45,Landbrug!$E$32:$E$45)),'[1]Afgrødefordeling - jordtype'!$P16)*(Landbrug!$E$5)*Arealanvendelse!P$36</f>
        <v>256.43047897487696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2.8886248622337122E-4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3.3218515323098425E-4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22829.387470029276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1628.961148843877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5.7100799688875818E-2</v>
      </c>
      <c r="I46" s="11">
        <f>IF(Landbrug!$E$47&gt;0,SUMIF(Landbrug!$B$32:$B$45,$B46,IF($I$31=År2,Landbrug!$D$32:$D$45,Landbrug!$E$32:$E$45)),'[1]Afgrødefordeling - jordtype'!$P17)*(1-Landbrug!$E$5)*Arealanvendelse!P$36</f>
        <v>39363.786970627712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3.9466378744780817E-2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5.4460300281297752E-2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3562.9679866519677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254.23093074442014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8.9116855005759964E-3</v>
      </c>
      <c r="R46" s="11">
        <f>IF(Landbrug!$E$47&gt;0,SUMIF(Landbrug!$B$32:$B$45,$B46,IF($R$31=År2,Landbrug!$D$32:$D$45,Landbrug!$E$32:$E$45)),'[1]Afgrødefordeling - jordtype'!$P17)*(Landbrug!$E$5)*Arealanvendelse!P$36</f>
        <v>8349.8942058907251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8.3716560973777481E-3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1.1552184908154068E-2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456527.67249041918</v>
      </c>
      <c r="G47" s="38">
        <f t="shared" si="3"/>
        <v>6625.9744153556876</v>
      </c>
      <c r="H47" s="38">
        <f t="shared" si="3"/>
        <v>0.16831718781063046</v>
      </c>
      <c r="I47" s="38">
        <f t="shared" si="3"/>
        <v>414301.13222777314</v>
      </c>
      <c r="J47" s="38">
        <f t="shared" si="3"/>
        <v>0.16053373403979093</v>
      </c>
      <c r="K47" s="39">
        <f t="shared" si="3"/>
        <v>0.16053373403904062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71249.983567868912</v>
      </c>
      <c r="P47" s="38">
        <f t="shared" si="3"/>
        <v>1034.1116139572466</v>
      </c>
      <c r="Q47" s="38">
        <f t="shared" si="3"/>
        <v>2.6269156479115735E-2</v>
      </c>
      <c r="R47" s="38">
        <f t="shared" si="3"/>
        <v>87882.058351345782</v>
      </c>
      <c r="S47" s="38">
        <f t="shared" si="3"/>
        <v>3.4052610250864743E-2</v>
      </c>
      <c r="T47" s="39">
        <f t="shared" si="3"/>
        <v>3.4052610250705585E-2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73" t="s">
        <v>7</v>
      </c>
      <c r="D49" s="374"/>
      <c r="E49" s="375"/>
      <c r="F49" s="379" t="s">
        <v>8</v>
      </c>
      <c r="G49" s="374"/>
      <c r="H49" s="375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P41"/>
  <sheetViews>
    <sheetView topLeftCell="A2" workbookViewId="0">
      <selection activeCell="AC202" sqref="AC202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1.42578125" bestFit="1" customWidth="1"/>
    <col min="40" max="40" width="12" bestFit="1" customWidth="1"/>
    <col min="41" max="41" width="13.85546875" bestFit="1" customWidth="1"/>
    <col min="42" max="42" width="11.28515625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42" x14ac:dyDescent="0.25">
      <c r="A3" s="77" t="s">
        <v>175</v>
      </c>
      <c r="B3" s="77" t="s">
        <v>62</v>
      </c>
    </row>
    <row r="4" spans="1:42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205</v>
      </c>
      <c r="AG4" s="171" t="s">
        <v>204</v>
      </c>
      <c r="AH4" s="171" t="s">
        <v>209</v>
      </c>
      <c r="AI4" s="171" t="s">
        <v>239</v>
      </c>
      <c r="AJ4" s="171" t="s">
        <v>232</v>
      </c>
      <c r="AK4" s="171" t="s">
        <v>111</v>
      </c>
      <c r="AL4" s="171" t="s">
        <v>116</v>
      </c>
      <c r="AM4" s="171" t="s">
        <v>316</v>
      </c>
      <c r="AN4" s="171" t="s">
        <v>317</v>
      </c>
      <c r="AO4" s="171" t="s">
        <v>119</v>
      </c>
      <c r="AP4" s="171" t="s">
        <v>61</v>
      </c>
    </row>
    <row r="5" spans="1:42" x14ac:dyDescent="0.25">
      <c r="A5" s="78" t="s">
        <v>110</v>
      </c>
      <c r="B5" s="240"/>
      <c r="C5" s="240"/>
      <c r="D5" s="240">
        <v>1462906</v>
      </c>
      <c r="E5" s="240">
        <v>3591674.3050150182</v>
      </c>
      <c r="F5" s="240"/>
      <c r="G5" s="240">
        <v>17519.019493513748</v>
      </c>
      <c r="H5" s="240"/>
      <c r="I5" s="240"/>
      <c r="J5" s="240">
        <v>428226</v>
      </c>
      <c r="K5" s="240">
        <v>85676.999999999985</v>
      </c>
      <c r="L5" s="240"/>
      <c r="M5" s="240">
        <v>75934</v>
      </c>
      <c r="N5" s="240">
        <v>1600078</v>
      </c>
      <c r="O5" s="240"/>
      <c r="P5" s="240">
        <v>2095654</v>
      </c>
      <c r="Q5" s="240"/>
      <c r="R5" s="240">
        <v>3785.9999999999991</v>
      </c>
      <c r="S5" s="240">
        <v>16707252.628844582</v>
      </c>
      <c r="T5" s="240"/>
      <c r="U5" s="240">
        <v>1080026</v>
      </c>
      <c r="V5" s="240"/>
      <c r="W5" s="240"/>
      <c r="X5" s="240"/>
      <c r="Y5" s="240">
        <v>28645.000000000004</v>
      </c>
      <c r="Z5" s="240"/>
      <c r="AA5" s="240">
        <v>12361269.40396174</v>
      </c>
      <c r="AB5" s="240">
        <v>18084794.991926327</v>
      </c>
      <c r="AC5" s="240"/>
      <c r="AD5" s="240"/>
      <c r="AE5" s="240"/>
      <c r="AF5" s="240"/>
      <c r="AG5" s="240"/>
      <c r="AH5" s="240">
        <v>3149729.2875139294</v>
      </c>
      <c r="AI5" s="240"/>
      <c r="AJ5" s="240"/>
      <c r="AK5" s="240"/>
      <c r="AL5" s="240"/>
      <c r="AM5" s="240"/>
      <c r="AN5" s="240"/>
      <c r="AO5" s="240"/>
      <c r="AP5" s="240">
        <v>60773171.636755109</v>
      </c>
    </row>
    <row r="6" spans="1:42" x14ac:dyDescent="0.25">
      <c r="A6" s="79">
        <v>2019</v>
      </c>
      <c r="B6" s="240"/>
      <c r="C6" s="240"/>
      <c r="D6" s="240">
        <v>729134</v>
      </c>
      <c r="E6" s="240">
        <v>757087.00000000012</v>
      </c>
      <c r="F6" s="240"/>
      <c r="G6" s="240">
        <v>4441.5</v>
      </c>
      <c r="H6" s="240"/>
      <c r="I6" s="240"/>
      <c r="J6" s="240">
        <v>142742</v>
      </c>
      <c r="K6" s="240">
        <v>85676.999999999985</v>
      </c>
      <c r="L6" s="240"/>
      <c r="M6" s="240">
        <v>75934</v>
      </c>
      <c r="N6" s="240">
        <v>78</v>
      </c>
      <c r="O6" s="240"/>
      <c r="P6" s="240">
        <v>995654</v>
      </c>
      <c r="Q6" s="240"/>
      <c r="R6" s="240">
        <v>3785.9999999999991</v>
      </c>
      <c r="S6" s="240">
        <v>4353509.666666667</v>
      </c>
      <c r="T6" s="240"/>
      <c r="U6" s="240">
        <v>330026</v>
      </c>
      <c r="V6" s="240"/>
      <c r="W6" s="240"/>
      <c r="X6" s="240"/>
      <c r="Y6" s="240">
        <v>28645.000000000004</v>
      </c>
      <c r="Z6" s="240"/>
      <c r="AA6" s="240">
        <v>2668834</v>
      </c>
      <c r="AB6" s="240">
        <v>2914869.3333333335</v>
      </c>
      <c r="AC6" s="240"/>
      <c r="AD6" s="240"/>
      <c r="AE6" s="240"/>
      <c r="AF6" s="240"/>
      <c r="AG6" s="240"/>
      <c r="AH6" s="240">
        <v>0</v>
      </c>
      <c r="AI6" s="240"/>
      <c r="AJ6" s="240"/>
      <c r="AK6" s="240"/>
      <c r="AL6" s="240"/>
      <c r="AM6" s="240"/>
      <c r="AN6" s="240"/>
      <c r="AO6" s="240"/>
      <c r="AP6" s="240">
        <v>13090417.500000002</v>
      </c>
    </row>
    <row r="7" spans="1:42" x14ac:dyDescent="0.25">
      <c r="A7" s="79">
        <v>2030</v>
      </c>
      <c r="B7" s="240"/>
      <c r="C7" s="240"/>
      <c r="D7" s="240">
        <v>363995</v>
      </c>
      <c r="E7" s="240">
        <v>1512611.3283061129</v>
      </c>
      <c r="F7" s="240"/>
      <c r="G7" s="240">
        <v>5606.6153976329697</v>
      </c>
      <c r="H7" s="240"/>
      <c r="I7" s="240"/>
      <c r="J7" s="240">
        <v>142742</v>
      </c>
      <c r="K7" s="240">
        <v>0</v>
      </c>
      <c r="L7" s="240"/>
      <c r="M7" s="240">
        <v>0</v>
      </c>
      <c r="N7" s="240">
        <v>800000</v>
      </c>
      <c r="O7" s="240"/>
      <c r="P7" s="240">
        <v>600000.00000000012</v>
      </c>
      <c r="Q7" s="240"/>
      <c r="R7" s="240">
        <v>0</v>
      </c>
      <c r="S7" s="240">
        <v>6897517.7984649893</v>
      </c>
      <c r="T7" s="240"/>
      <c r="U7" s="240">
        <v>0</v>
      </c>
      <c r="V7" s="240"/>
      <c r="W7" s="240"/>
      <c r="X7" s="240"/>
      <c r="Y7" s="240">
        <v>0</v>
      </c>
      <c r="Z7" s="240"/>
      <c r="AA7" s="240">
        <v>3645941.0625492036</v>
      </c>
      <c r="AB7" s="240">
        <v>8560529.974906262</v>
      </c>
      <c r="AC7" s="240"/>
      <c r="AD7" s="240"/>
      <c r="AE7" s="240"/>
      <c r="AF7" s="240"/>
      <c r="AG7" s="240"/>
      <c r="AH7" s="240">
        <v>1727125.9811688233</v>
      </c>
      <c r="AI7" s="240"/>
      <c r="AJ7" s="240"/>
      <c r="AK7" s="240"/>
      <c r="AL7" s="240"/>
      <c r="AM7" s="240"/>
      <c r="AN7" s="240"/>
      <c r="AO7" s="240"/>
      <c r="AP7" s="240">
        <v>24256069.760793023</v>
      </c>
    </row>
    <row r="8" spans="1:42" x14ac:dyDescent="0.25">
      <c r="A8" s="79">
        <v>2050</v>
      </c>
      <c r="B8" s="240"/>
      <c r="C8" s="240"/>
      <c r="D8" s="240">
        <v>369777</v>
      </c>
      <c r="E8" s="240">
        <v>1321975.9767089051</v>
      </c>
      <c r="F8" s="240"/>
      <c r="G8" s="240">
        <v>7470.90409588078</v>
      </c>
      <c r="H8" s="240"/>
      <c r="I8" s="240"/>
      <c r="J8" s="240">
        <v>142742</v>
      </c>
      <c r="K8" s="240">
        <v>0</v>
      </c>
      <c r="L8" s="240"/>
      <c r="M8" s="240">
        <v>0</v>
      </c>
      <c r="N8" s="240">
        <v>800000</v>
      </c>
      <c r="O8" s="240"/>
      <c r="P8" s="240">
        <v>500000.00000000012</v>
      </c>
      <c r="Q8" s="240"/>
      <c r="R8" s="240">
        <v>0</v>
      </c>
      <c r="S8" s="240">
        <v>5456225.1637129262</v>
      </c>
      <c r="T8" s="240"/>
      <c r="U8" s="240">
        <v>750000.00000000012</v>
      </c>
      <c r="V8" s="240"/>
      <c r="W8" s="240"/>
      <c r="X8" s="240"/>
      <c r="Y8" s="240">
        <v>0</v>
      </c>
      <c r="Z8" s="240"/>
      <c r="AA8" s="240">
        <v>6046494.3414125368</v>
      </c>
      <c r="AB8" s="240">
        <v>6609395.6836867323</v>
      </c>
      <c r="AC8" s="240"/>
      <c r="AD8" s="240"/>
      <c r="AE8" s="240"/>
      <c r="AF8" s="240"/>
      <c r="AG8" s="240"/>
      <c r="AH8" s="240">
        <v>1422603.3063451063</v>
      </c>
      <c r="AI8" s="240"/>
      <c r="AJ8" s="240"/>
      <c r="AK8" s="240"/>
      <c r="AL8" s="240"/>
      <c r="AM8" s="240"/>
      <c r="AN8" s="240"/>
      <c r="AO8" s="240"/>
      <c r="AP8" s="240">
        <v>23426684.375962086</v>
      </c>
    </row>
    <row r="9" spans="1:42" x14ac:dyDescent="0.25">
      <c r="A9" s="78" t="s">
        <v>113</v>
      </c>
      <c r="B9" s="240"/>
      <c r="C9" s="240">
        <v>162904.67913357209</v>
      </c>
      <c r="D9" s="240"/>
      <c r="E9" s="240"/>
      <c r="F9" s="240"/>
      <c r="G9" s="240"/>
      <c r="H9" s="240"/>
      <c r="I9" s="240"/>
      <c r="J9" s="240"/>
      <c r="K9" s="240">
        <v>32012199.058547139</v>
      </c>
      <c r="L9" s="240"/>
      <c r="M9" s="240">
        <v>1899685.3776374569</v>
      </c>
      <c r="N9" s="240"/>
      <c r="O9" s="240">
        <v>5421074.2654714445</v>
      </c>
      <c r="P9" s="240"/>
      <c r="Q9" s="240">
        <v>0</v>
      </c>
      <c r="R9" s="240">
        <v>15315681.673813308</v>
      </c>
      <c r="S9" s="240"/>
      <c r="T9" s="240">
        <v>3736937.6464744452</v>
      </c>
      <c r="U9" s="240">
        <v>14862120.36943309</v>
      </c>
      <c r="V9" s="240"/>
      <c r="W9" s="240"/>
      <c r="X9" s="240"/>
      <c r="Y9" s="240">
        <v>2231833.5263562161</v>
      </c>
      <c r="Z9" s="240">
        <v>115548.49351931627</v>
      </c>
      <c r="AA9" s="240"/>
      <c r="AB9" s="240"/>
      <c r="AC9" s="240"/>
      <c r="AD9" s="240"/>
      <c r="AE9" s="240"/>
      <c r="AF9" s="240">
        <v>3231770.9608799992</v>
      </c>
      <c r="AG9" s="240">
        <v>1561356.6904091518</v>
      </c>
      <c r="AH9" s="240"/>
      <c r="AI9" s="240">
        <v>532028.44251516566</v>
      </c>
      <c r="AJ9" s="240"/>
      <c r="AK9" s="240"/>
      <c r="AL9" s="240"/>
      <c r="AM9" s="240"/>
      <c r="AN9" s="240"/>
      <c r="AO9" s="240"/>
      <c r="AP9" s="240">
        <v>81083141.184190303</v>
      </c>
    </row>
    <row r="10" spans="1:42" x14ac:dyDescent="0.25">
      <c r="A10" s="79">
        <v>2019</v>
      </c>
      <c r="B10" s="240"/>
      <c r="C10" s="240">
        <v>72415.092228932088</v>
      </c>
      <c r="D10" s="240"/>
      <c r="E10" s="240"/>
      <c r="F10" s="240"/>
      <c r="G10" s="240"/>
      <c r="H10" s="240"/>
      <c r="I10" s="240"/>
      <c r="J10" s="240"/>
      <c r="K10" s="240">
        <v>13739757.985270014</v>
      </c>
      <c r="L10" s="240"/>
      <c r="M10" s="240">
        <v>867975.34157733875</v>
      </c>
      <c r="N10" s="240"/>
      <c r="O10" s="240">
        <v>5421074.2654714445</v>
      </c>
      <c r="P10" s="240"/>
      <c r="Q10" s="240">
        <v>0</v>
      </c>
      <c r="R10" s="240">
        <v>6600836.8097011279</v>
      </c>
      <c r="S10" s="240"/>
      <c r="T10" s="240">
        <v>1701754.6673799041</v>
      </c>
      <c r="U10" s="240">
        <v>6351407.0475792512</v>
      </c>
      <c r="V10" s="240"/>
      <c r="W10" s="240"/>
      <c r="X10" s="240"/>
      <c r="Y10" s="240">
        <v>944413.49448565592</v>
      </c>
      <c r="Z10" s="240">
        <v>44253.667473236274</v>
      </c>
      <c r="AA10" s="240"/>
      <c r="AB10" s="240"/>
      <c r="AC10" s="240"/>
      <c r="AD10" s="240"/>
      <c r="AE10" s="240"/>
      <c r="AF10" s="240">
        <v>0</v>
      </c>
      <c r="AG10" s="240">
        <v>0</v>
      </c>
      <c r="AH10" s="240"/>
      <c r="AI10" s="240">
        <v>240377.87559326066</v>
      </c>
      <c r="AJ10" s="240"/>
      <c r="AK10" s="240"/>
      <c r="AL10" s="240"/>
      <c r="AM10" s="240"/>
      <c r="AN10" s="240"/>
      <c r="AO10" s="240"/>
      <c r="AP10" s="240">
        <v>35984266.24676016</v>
      </c>
    </row>
    <row r="11" spans="1:42" x14ac:dyDescent="0.25">
      <c r="A11" s="79">
        <v>2030</v>
      </c>
      <c r="B11" s="240"/>
      <c r="C11" s="240">
        <v>55232.015680024619</v>
      </c>
      <c r="D11" s="240"/>
      <c r="E11" s="240"/>
      <c r="F11" s="240"/>
      <c r="G11" s="240"/>
      <c r="H11" s="240"/>
      <c r="I11" s="240"/>
      <c r="J11" s="240"/>
      <c r="K11" s="240">
        <v>11152926.943241669</v>
      </c>
      <c r="L11" s="240"/>
      <c r="M11" s="240">
        <v>629723.56088841078</v>
      </c>
      <c r="N11" s="240"/>
      <c r="O11" s="240">
        <v>0</v>
      </c>
      <c r="P11" s="240"/>
      <c r="Q11" s="240">
        <v>0</v>
      </c>
      <c r="R11" s="240">
        <v>5319268.9308093684</v>
      </c>
      <c r="S11" s="240"/>
      <c r="T11" s="240">
        <v>1242212.0827176087</v>
      </c>
      <c r="U11" s="240">
        <v>5194673.4173534214</v>
      </c>
      <c r="V11" s="240"/>
      <c r="W11" s="240"/>
      <c r="X11" s="240"/>
      <c r="Y11" s="240">
        <v>785800.95035671385</v>
      </c>
      <c r="Z11" s="240">
        <v>43516.133566079996</v>
      </c>
      <c r="AA11" s="240"/>
      <c r="AB11" s="240"/>
      <c r="AC11" s="240"/>
      <c r="AD11" s="240"/>
      <c r="AE11" s="240"/>
      <c r="AF11" s="240">
        <v>1972571.9885723072</v>
      </c>
      <c r="AG11" s="240">
        <v>953003.32509715192</v>
      </c>
      <c r="AH11" s="240"/>
      <c r="AI11" s="240">
        <v>178014.39078613737</v>
      </c>
      <c r="AJ11" s="240"/>
      <c r="AK11" s="240"/>
      <c r="AL11" s="240"/>
      <c r="AM11" s="240"/>
      <c r="AN11" s="240"/>
      <c r="AO11" s="240"/>
      <c r="AP11" s="240">
        <v>27526943.739068896</v>
      </c>
    </row>
    <row r="12" spans="1:42" x14ac:dyDescent="0.25">
      <c r="A12" s="79">
        <v>2050</v>
      </c>
      <c r="B12" s="240"/>
      <c r="C12" s="240">
        <v>35257.571224615385</v>
      </c>
      <c r="D12" s="240"/>
      <c r="E12" s="240"/>
      <c r="F12" s="240"/>
      <c r="G12" s="240"/>
      <c r="H12" s="240"/>
      <c r="I12" s="240"/>
      <c r="J12" s="240"/>
      <c r="K12" s="240">
        <v>7119514.1300354563</v>
      </c>
      <c r="L12" s="240"/>
      <c r="M12" s="240">
        <v>401986.47517170728</v>
      </c>
      <c r="N12" s="240"/>
      <c r="O12" s="240">
        <v>0</v>
      </c>
      <c r="P12" s="240"/>
      <c r="Q12" s="240">
        <v>0</v>
      </c>
      <c r="R12" s="240">
        <v>3395575.9333028104</v>
      </c>
      <c r="S12" s="240"/>
      <c r="T12" s="240">
        <v>792970.89637693239</v>
      </c>
      <c r="U12" s="240">
        <v>3316039.9045004183</v>
      </c>
      <c r="V12" s="240"/>
      <c r="W12" s="240"/>
      <c r="X12" s="240"/>
      <c r="Y12" s="240">
        <v>501619.08151384618</v>
      </c>
      <c r="Z12" s="240">
        <v>27778.692480000002</v>
      </c>
      <c r="AA12" s="240"/>
      <c r="AB12" s="240"/>
      <c r="AC12" s="240"/>
      <c r="AD12" s="240"/>
      <c r="AE12" s="240"/>
      <c r="AF12" s="240">
        <v>1259198.9723076918</v>
      </c>
      <c r="AG12" s="240">
        <v>608353.36531200004</v>
      </c>
      <c r="AH12" s="240"/>
      <c r="AI12" s="240">
        <v>113636.17613576764</v>
      </c>
      <c r="AJ12" s="240"/>
      <c r="AK12" s="240"/>
      <c r="AL12" s="240"/>
      <c r="AM12" s="240"/>
      <c r="AN12" s="240"/>
      <c r="AO12" s="240"/>
      <c r="AP12" s="240">
        <v>17571931.198361244</v>
      </c>
    </row>
    <row r="13" spans="1:42" x14ac:dyDescent="0.25">
      <c r="A13" s="78" t="s">
        <v>128</v>
      </c>
      <c r="B13" s="240">
        <v>182574.19618217932</v>
      </c>
      <c r="C13" s="240">
        <v>292325.4025919938</v>
      </c>
      <c r="D13" s="240"/>
      <c r="E13" s="240"/>
      <c r="F13" s="240">
        <v>281468.55244752642</v>
      </c>
      <c r="G13" s="240"/>
      <c r="H13" s="240">
        <v>150285.8346094953</v>
      </c>
      <c r="I13" s="240">
        <v>1445379.0531089196</v>
      </c>
      <c r="J13" s="240"/>
      <c r="K13" s="240"/>
      <c r="L13" s="240">
        <v>1513844.376677237</v>
      </c>
      <c r="M13" s="240"/>
      <c r="N13" s="240"/>
      <c r="O13" s="240"/>
      <c r="P13" s="240"/>
      <c r="Q13" s="240">
        <v>692260.49385742994</v>
      </c>
      <c r="R13" s="240">
        <v>1658382.281988129</v>
      </c>
      <c r="S13" s="240"/>
      <c r="T13" s="240"/>
      <c r="U13" s="240"/>
      <c r="V13" s="240">
        <v>2647325.8446415998</v>
      </c>
      <c r="W13" s="240">
        <v>255601.5233243031</v>
      </c>
      <c r="X13" s="240"/>
      <c r="Y13" s="240"/>
      <c r="Z13" s="240"/>
      <c r="AA13" s="240"/>
      <c r="AB13" s="240"/>
      <c r="AC13" s="240">
        <v>518948.54735540331</v>
      </c>
      <c r="AD13" s="240"/>
      <c r="AE13" s="240"/>
      <c r="AF13" s="240"/>
      <c r="AG13" s="240"/>
      <c r="AH13" s="240"/>
      <c r="AI13" s="240"/>
      <c r="AJ13" s="240"/>
      <c r="AK13" s="240"/>
      <c r="AL13" s="240"/>
      <c r="AM13" s="240"/>
      <c r="AN13" s="240"/>
      <c r="AO13" s="240"/>
      <c r="AP13" s="240">
        <v>9638396.1067842171</v>
      </c>
    </row>
    <row r="14" spans="1:42" x14ac:dyDescent="0.25">
      <c r="A14" s="79">
        <v>2019</v>
      </c>
      <c r="B14" s="240">
        <v>58403.100598004137</v>
      </c>
      <c r="C14" s="240">
        <v>0</v>
      </c>
      <c r="D14" s="240"/>
      <c r="E14" s="240"/>
      <c r="F14" s="240">
        <v>90038.113421923044</v>
      </c>
      <c r="G14" s="240"/>
      <c r="H14" s="240">
        <v>63270.025647837821</v>
      </c>
      <c r="I14" s="240">
        <v>462357.87973419944</v>
      </c>
      <c r="J14" s="240"/>
      <c r="K14" s="240"/>
      <c r="L14" s="240">
        <v>484259.042458451</v>
      </c>
      <c r="M14" s="240"/>
      <c r="N14" s="240"/>
      <c r="O14" s="240"/>
      <c r="P14" s="240"/>
      <c r="Q14" s="240">
        <v>221445.08976743236</v>
      </c>
      <c r="R14" s="240">
        <v>530494.83043187088</v>
      </c>
      <c r="S14" s="240"/>
      <c r="T14" s="240"/>
      <c r="U14" s="240"/>
      <c r="V14" s="240">
        <v>846844.95867106004</v>
      </c>
      <c r="W14" s="240">
        <v>107607.71285182264</v>
      </c>
      <c r="X14" s="240"/>
      <c r="Y14" s="240"/>
      <c r="Z14" s="240"/>
      <c r="AA14" s="240"/>
      <c r="AB14" s="240"/>
      <c r="AC14" s="240">
        <v>218476.26548703379</v>
      </c>
      <c r="AD14" s="240"/>
      <c r="AE14" s="240"/>
      <c r="AF14" s="240"/>
      <c r="AG14" s="240"/>
      <c r="AH14" s="240"/>
      <c r="AI14" s="240"/>
      <c r="AJ14" s="240"/>
      <c r="AK14" s="240"/>
      <c r="AL14" s="240"/>
      <c r="AM14" s="240"/>
      <c r="AN14" s="240"/>
      <c r="AO14" s="240"/>
      <c r="AP14" s="240">
        <v>3083197.0190696353</v>
      </c>
    </row>
    <row r="15" spans="1:42" x14ac:dyDescent="0.25">
      <c r="A15" s="79">
        <v>2030</v>
      </c>
      <c r="B15" s="240">
        <v>60789.12467762841</v>
      </c>
      <c r="C15" s="240">
        <v>81052.166236837889</v>
      </c>
      <c r="D15" s="240"/>
      <c r="E15" s="240"/>
      <c r="F15" s="240">
        <v>93716.56721134379</v>
      </c>
      <c r="G15" s="240"/>
      <c r="H15" s="240">
        <v>52683.90805394463</v>
      </c>
      <c r="I15" s="240">
        <v>481247.23703122488</v>
      </c>
      <c r="J15" s="240"/>
      <c r="K15" s="240"/>
      <c r="L15" s="240">
        <v>504043.1587853356</v>
      </c>
      <c r="M15" s="240"/>
      <c r="N15" s="240"/>
      <c r="O15" s="240"/>
      <c r="P15" s="240"/>
      <c r="Q15" s="240">
        <v>230492.09773600774</v>
      </c>
      <c r="R15" s="240">
        <v>552167.88248845807</v>
      </c>
      <c r="S15" s="240"/>
      <c r="T15" s="240"/>
      <c r="U15" s="240"/>
      <c r="V15" s="240">
        <v>881442.3078256119</v>
      </c>
      <c r="W15" s="240">
        <v>89603.169774824273</v>
      </c>
      <c r="X15" s="240"/>
      <c r="Y15" s="240"/>
      <c r="Z15" s="240"/>
      <c r="AA15" s="240"/>
      <c r="AB15" s="240"/>
      <c r="AC15" s="240">
        <v>181921.58711858263</v>
      </c>
      <c r="AD15" s="240"/>
      <c r="AE15" s="240"/>
      <c r="AF15" s="240"/>
      <c r="AG15" s="240"/>
      <c r="AH15" s="240"/>
      <c r="AI15" s="240"/>
      <c r="AJ15" s="240"/>
      <c r="AK15" s="240"/>
      <c r="AL15" s="240"/>
      <c r="AM15" s="240"/>
      <c r="AN15" s="240"/>
      <c r="AO15" s="240"/>
      <c r="AP15" s="240">
        <v>3209159.2069398002</v>
      </c>
    </row>
    <row r="16" spans="1:42" x14ac:dyDescent="0.25">
      <c r="A16" s="79">
        <v>2050</v>
      </c>
      <c r="B16" s="240">
        <v>63381.970906546776</v>
      </c>
      <c r="C16" s="240">
        <v>211273.23635515591</v>
      </c>
      <c r="D16" s="240"/>
      <c r="E16" s="240"/>
      <c r="F16" s="240">
        <v>97713.871814259604</v>
      </c>
      <c r="G16" s="240"/>
      <c r="H16" s="240">
        <v>34331.900907712836</v>
      </c>
      <c r="I16" s="240">
        <v>501773.93634349527</v>
      </c>
      <c r="J16" s="240"/>
      <c r="K16" s="240"/>
      <c r="L16" s="240">
        <v>525542.17543345026</v>
      </c>
      <c r="M16" s="240"/>
      <c r="N16" s="240"/>
      <c r="O16" s="240"/>
      <c r="P16" s="240"/>
      <c r="Q16" s="240">
        <v>240323.30635398987</v>
      </c>
      <c r="R16" s="240">
        <v>575719.56906779984</v>
      </c>
      <c r="S16" s="240"/>
      <c r="T16" s="240"/>
      <c r="U16" s="240"/>
      <c r="V16" s="240">
        <v>919038.57814492821</v>
      </c>
      <c r="W16" s="240">
        <v>58390.640697656214</v>
      </c>
      <c r="X16" s="240"/>
      <c r="Y16" s="240"/>
      <c r="Z16" s="240"/>
      <c r="AA16" s="240"/>
      <c r="AB16" s="240"/>
      <c r="AC16" s="240">
        <v>118550.69474978685</v>
      </c>
      <c r="AD16" s="240"/>
      <c r="AE16" s="240"/>
      <c r="AF16" s="240"/>
      <c r="AG16" s="240"/>
      <c r="AH16" s="240"/>
      <c r="AI16" s="240"/>
      <c r="AJ16" s="240"/>
      <c r="AK16" s="240"/>
      <c r="AL16" s="240"/>
      <c r="AM16" s="240"/>
      <c r="AN16" s="240"/>
      <c r="AO16" s="240"/>
      <c r="AP16" s="240">
        <v>3346039.8807747816</v>
      </c>
    </row>
    <row r="17" spans="1:42" x14ac:dyDescent="0.25">
      <c r="A17" s="78" t="s">
        <v>121</v>
      </c>
      <c r="B17" s="240"/>
      <c r="C17" s="240"/>
      <c r="D17" s="240">
        <v>0</v>
      </c>
      <c r="E17" s="240"/>
      <c r="F17" s="240"/>
      <c r="G17" s="240"/>
      <c r="H17" s="240"/>
      <c r="I17" s="240"/>
      <c r="J17" s="240"/>
      <c r="K17" s="240"/>
      <c r="L17" s="240"/>
      <c r="M17" s="240">
        <v>3652684.2752178712</v>
      </c>
      <c r="N17" s="240">
        <v>1348349</v>
      </c>
      <c r="O17" s="240"/>
      <c r="P17" s="240"/>
      <c r="Q17" s="240"/>
      <c r="R17" s="240"/>
      <c r="S17" s="240"/>
      <c r="T17" s="240"/>
      <c r="U17" s="240"/>
      <c r="V17" s="240"/>
      <c r="W17" s="240"/>
      <c r="X17" s="240"/>
      <c r="Y17" s="240"/>
      <c r="Z17" s="240"/>
      <c r="AA17" s="240"/>
      <c r="AB17" s="240"/>
      <c r="AC17" s="240"/>
      <c r="AD17" s="240">
        <v>517514.09980247903</v>
      </c>
      <c r="AE17" s="240">
        <v>8862084.0365267936</v>
      </c>
      <c r="AF17" s="240"/>
      <c r="AG17" s="240"/>
      <c r="AH17" s="240"/>
      <c r="AI17" s="240"/>
      <c r="AJ17" s="240">
        <v>632719.51157744695</v>
      </c>
      <c r="AK17" s="240"/>
      <c r="AL17" s="240"/>
      <c r="AM17" s="240">
        <v>2228800.0000000005</v>
      </c>
      <c r="AN17" s="240">
        <v>557200.00000000012</v>
      </c>
      <c r="AO17" s="240"/>
      <c r="AP17" s="240">
        <v>17799350.923124593</v>
      </c>
    </row>
    <row r="18" spans="1:42" x14ac:dyDescent="0.25">
      <c r="A18" s="79">
        <v>2019</v>
      </c>
      <c r="B18" s="240"/>
      <c r="C18" s="240"/>
      <c r="D18" s="240">
        <v>0</v>
      </c>
      <c r="E18" s="240"/>
      <c r="F18" s="240"/>
      <c r="G18" s="240"/>
      <c r="H18" s="240"/>
      <c r="I18" s="240"/>
      <c r="J18" s="240"/>
      <c r="K18" s="240"/>
      <c r="L18" s="240"/>
      <c r="M18" s="240">
        <v>1893765.2125355615</v>
      </c>
      <c r="N18" s="240">
        <v>982731</v>
      </c>
      <c r="O18" s="240"/>
      <c r="P18" s="240"/>
      <c r="Q18" s="240"/>
      <c r="R18" s="240"/>
      <c r="S18" s="240"/>
      <c r="T18" s="240"/>
      <c r="U18" s="240"/>
      <c r="V18" s="240"/>
      <c r="W18" s="240"/>
      <c r="X18" s="240"/>
      <c r="Y18" s="240"/>
      <c r="Z18" s="240"/>
      <c r="AA18" s="240"/>
      <c r="AB18" s="240"/>
      <c r="AC18" s="240"/>
      <c r="AD18" s="240">
        <v>209782.38739500003</v>
      </c>
      <c r="AE18" s="240">
        <v>3010238.4923246857</v>
      </c>
      <c r="AF18" s="240"/>
      <c r="AG18" s="240"/>
      <c r="AH18" s="240"/>
      <c r="AI18" s="240"/>
      <c r="AJ18" s="240">
        <v>112887.06079513082</v>
      </c>
      <c r="AK18" s="240"/>
      <c r="AL18" s="240"/>
      <c r="AM18" s="240">
        <v>0</v>
      </c>
      <c r="AN18" s="240">
        <v>0</v>
      </c>
      <c r="AO18" s="240"/>
      <c r="AP18" s="240">
        <v>6209404.1530503789</v>
      </c>
    </row>
    <row r="19" spans="1:42" x14ac:dyDescent="0.25">
      <c r="A19" s="79">
        <v>2030</v>
      </c>
      <c r="B19" s="240"/>
      <c r="C19" s="240"/>
      <c r="D19" s="240">
        <v>0</v>
      </c>
      <c r="E19" s="240"/>
      <c r="F19" s="240"/>
      <c r="G19" s="240"/>
      <c r="H19" s="240"/>
      <c r="I19" s="240"/>
      <c r="J19" s="240"/>
      <c r="K19" s="240"/>
      <c r="L19" s="240"/>
      <c r="M19" s="240">
        <v>1083774.8488732176</v>
      </c>
      <c r="N19" s="240">
        <v>182809.00000000006</v>
      </c>
      <c r="O19" s="240"/>
      <c r="P19" s="240"/>
      <c r="Q19" s="240"/>
      <c r="R19" s="240"/>
      <c r="S19" s="240"/>
      <c r="T19" s="240"/>
      <c r="U19" s="240"/>
      <c r="V19" s="240"/>
      <c r="W19" s="240"/>
      <c r="X19" s="240"/>
      <c r="Y19" s="240"/>
      <c r="Z19" s="240"/>
      <c r="AA19" s="240"/>
      <c r="AB19" s="240"/>
      <c r="AC19" s="240"/>
      <c r="AD19" s="240">
        <v>174650.63022250982</v>
      </c>
      <c r="AE19" s="240">
        <v>2874812.4442172255</v>
      </c>
      <c r="AF19" s="240"/>
      <c r="AG19" s="240"/>
      <c r="AH19" s="240"/>
      <c r="AI19" s="240"/>
      <c r="AJ19" s="240">
        <v>281116.35132546059</v>
      </c>
      <c r="AK19" s="240"/>
      <c r="AL19" s="240"/>
      <c r="AM19" s="240">
        <v>828800.00000000047</v>
      </c>
      <c r="AN19" s="240">
        <v>207200.00000000012</v>
      </c>
      <c r="AO19" s="240"/>
      <c r="AP19" s="240">
        <v>5633163.2746384144</v>
      </c>
    </row>
    <row r="20" spans="1:42" x14ac:dyDescent="0.25">
      <c r="A20" s="79">
        <v>2050</v>
      </c>
      <c r="B20" s="240"/>
      <c r="C20" s="240"/>
      <c r="D20" s="240">
        <v>0</v>
      </c>
      <c r="E20" s="240"/>
      <c r="F20" s="240"/>
      <c r="G20" s="240"/>
      <c r="H20" s="240"/>
      <c r="I20" s="240"/>
      <c r="J20" s="240"/>
      <c r="K20" s="240"/>
      <c r="L20" s="240"/>
      <c r="M20" s="240">
        <v>675144.21380909206</v>
      </c>
      <c r="N20" s="240">
        <v>182808.99999999994</v>
      </c>
      <c r="O20" s="240"/>
      <c r="P20" s="240"/>
      <c r="Q20" s="240"/>
      <c r="R20" s="240"/>
      <c r="S20" s="240"/>
      <c r="T20" s="240"/>
      <c r="U20" s="240"/>
      <c r="V20" s="240"/>
      <c r="W20" s="240"/>
      <c r="X20" s="240"/>
      <c r="Y20" s="240"/>
      <c r="Z20" s="240"/>
      <c r="AA20" s="240"/>
      <c r="AB20" s="240"/>
      <c r="AC20" s="240"/>
      <c r="AD20" s="240">
        <v>133081.08218496924</v>
      </c>
      <c r="AE20" s="240">
        <v>2977033.0999848829</v>
      </c>
      <c r="AF20" s="240"/>
      <c r="AG20" s="240"/>
      <c r="AH20" s="240"/>
      <c r="AI20" s="240"/>
      <c r="AJ20" s="240">
        <v>238716.0994568555</v>
      </c>
      <c r="AK20" s="240"/>
      <c r="AL20" s="240"/>
      <c r="AM20" s="240">
        <v>1400000</v>
      </c>
      <c r="AN20" s="240">
        <v>350000</v>
      </c>
      <c r="AO20" s="240"/>
      <c r="AP20" s="240">
        <v>5956783.4954357995</v>
      </c>
    </row>
    <row r="21" spans="1:42" x14ac:dyDescent="0.25">
      <c r="A21" s="78" t="s">
        <v>165</v>
      </c>
      <c r="B21" s="240"/>
      <c r="C21" s="240"/>
      <c r="D21" s="240">
        <v>0</v>
      </c>
      <c r="E21" s="240"/>
      <c r="F21" s="240"/>
      <c r="G21" s="240"/>
      <c r="H21" s="240"/>
      <c r="I21" s="240"/>
      <c r="J21" s="240"/>
      <c r="K21" s="240"/>
      <c r="L21" s="240"/>
      <c r="M21" s="240">
        <v>0</v>
      </c>
      <c r="N21" s="240">
        <v>0</v>
      </c>
      <c r="O21" s="240"/>
      <c r="P21" s="240"/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240"/>
      <c r="AB21" s="240"/>
      <c r="AC21" s="240"/>
      <c r="AD21" s="240">
        <v>0</v>
      </c>
      <c r="AE21" s="240"/>
      <c r="AF21" s="240"/>
      <c r="AG21" s="240"/>
      <c r="AH21" s="240"/>
      <c r="AI21" s="240"/>
      <c r="AJ21" s="240">
        <v>104203.4407339669</v>
      </c>
      <c r="AK21" s="240"/>
      <c r="AL21" s="240"/>
      <c r="AM21" s="240"/>
      <c r="AN21" s="240"/>
      <c r="AO21" s="240">
        <v>2490322.2580733313</v>
      </c>
      <c r="AP21" s="240">
        <v>2594525.6988072982</v>
      </c>
    </row>
    <row r="22" spans="1:42" x14ac:dyDescent="0.25">
      <c r="A22" s="79">
        <v>2019</v>
      </c>
      <c r="B22" s="240"/>
      <c r="C22" s="240"/>
      <c r="D22" s="240">
        <v>0</v>
      </c>
      <c r="E22" s="240"/>
      <c r="F22" s="240"/>
      <c r="G22" s="240"/>
      <c r="H22" s="240"/>
      <c r="I22" s="240"/>
      <c r="J22" s="240"/>
      <c r="K22" s="240"/>
      <c r="L22" s="240"/>
      <c r="M22" s="240">
        <v>0</v>
      </c>
      <c r="N22" s="240">
        <v>0</v>
      </c>
      <c r="O22" s="240"/>
      <c r="P22" s="240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240"/>
      <c r="AD22" s="240">
        <v>0</v>
      </c>
      <c r="AE22" s="240"/>
      <c r="AF22" s="240"/>
      <c r="AG22" s="240"/>
      <c r="AH22" s="240"/>
      <c r="AI22" s="240"/>
      <c r="AJ22" s="240">
        <v>104203.4407339669</v>
      </c>
      <c r="AK22" s="240"/>
      <c r="AL22" s="240"/>
      <c r="AM22" s="240"/>
      <c r="AN22" s="240"/>
      <c r="AO22" s="240">
        <v>827693.20492220437</v>
      </c>
      <c r="AP22" s="240">
        <v>931896.64565617125</v>
      </c>
    </row>
    <row r="23" spans="1:42" x14ac:dyDescent="0.25">
      <c r="A23" s="79">
        <v>2030</v>
      </c>
      <c r="B23" s="240"/>
      <c r="C23" s="240"/>
      <c r="D23" s="240">
        <v>0</v>
      </c>
      <c r="E23" s="240"/>
      <c r="F23" s="240"/>
      <c r="G23" s="240"/>
      <c r="H23" s="240"/>
      <c r="I23" s="240"/>
      <c r="J23" s="240"/>
      <c r="K23" s="240"/>
      <c r="L23" s="240"/>
      <c r="M23" s="240">
        <v>0</v>
      </c>
      <c r="N23" s="240">
        <v>0</v>
      </c>
      <c r="O23" s="240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/>
      <c r="AD23" s="240">
        <v>0</v>
      </c>
      <c r="AE23" s="240"/>
      <c r="AF23" s="240"/>
      <c r="AG23" s="240"/>
      <c r="AH23" s="240"/>
      <c r="AI23" s="240"/>
      <c r="AJ23" s="240">
        <v>0</v>
      </c>
      <c r="AK23" s="240"/>
      <c r="AL23" s="240"/>
      <c r="AM23" s="240"/>
      <c r="AN23" s="240"/>
      <c r="AO23" s="240">
        <v>792049.6289698272</v>
      </c>
      <c r="AP23" s="240">
        <v>792049.6289698272</v>
      </c>
    </row>
    <row r="24" spans="1:42" x14ac:dyDescent="0.25">
      <c r="A24" s="79">
        <v>2050</v>
      </c>
      <c r="B24" s="240"/>
      <c r="C24" s="240"/>
      <c r="D24" s="240">
        <v>0</v>
      </c>
      <c r="E24" s="240"/>
      <c r="F24" s="240"/>
      <c r="G24" s="240"/>
      <c r="H24" s="240"/>
      <c r="I24" s="240"/>
      <c r="J24" s="240"/>
      <c r="K24" s="240"/>
      <c r="L24" s="240"/>
      <c r="M24" s="240">
        <v>0</v>
      </c>
      <c r="N24" s="240">
        <v>0</v>
      </c>
      <c r="O24" s="240"/>
      <c r="P24" s="240"/>
      <c r="Q24" s="240"/>
      <c r="R24" s="240"/>
      <c r="S24" s="240"/>
      <c r="T24" s="240"/>
      <c r="U24" s="240"/>
      <c r="V24" s="240"/>
      <c r="W24" s="240"/>
      <c r="X24" s="240"/>
      <c r="Y24" s="240"/>
      <c r="Z24" s="240"/>
      <c r="AA24" s="240"/>
      <c r="AB24" s="240"/>
      <c r="AC24" s="240"/>
      <c r="AD24" s="240">
        <v>0</v>
      </c>
      <c r="AE24" s="240"/>
      <c r="AF24" s="240"/>
      <c r="AG24" s="240"/>
      <c r="AH24" s="240"/>
      <c r="AI24" s="240"/>
      <c r="AJ24" s="240">
        <v>0</v>
      </c>
      <c r="AK24" s="240"/>
      <c r="AL24" s="240"/>
      <c r="AM24" s="240"/>
      <c r="AN24" s="240"/>
      <c r="AO24" s="240">
        <v>870579.42418129975</v>
      </c>
      <c r="AP24" s="240">
        <v>870579.42418129975</v>
      </c>
    </row>
    <row r="25" spans="1:42" x14ac:dyDescent="0.25">
      <c r="A25" s="78" t="s">
        <v>115</v>
      </c>
      <c r="B25" s="240"/>
      <c r="C25" s="240"/>
      <c r="D25" s="240"/>
      <c r="E25" s="240">
        <v>1299848.2278888109</v>
      </c>
      <c r="F25" s="240"/>
      <c r="G25" s="240">
        <v>9745.5386870355615</v>
      </c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>
        <v>15288057.532998173</v>
      </c>
      <c r="T25" s="240"/>
      <c r="U25" s="240"/>
      <c r="V25" s="240"/>
      <c r="W25" s="240"/>
      <c r="X25" s="240"/>
      <c r="Y25" s="240"/>
      <c r="Z25" s="240"/>
      <c r="AA25" s="240"/>
      <c r="AB25" s="240">
        <v>21641256.02382122</v>
      </c>
      <c r="AC25" s="240"/>
      <c r="AD25" s="240"/>
      <c r="AE25" s="240"/>
      <c r="AF25" s="240"/>
      <c r="AG25" s="240"/>
      <c r="AH25" s="240"/>
      <c r="AI25" s="240"/>
      <c r="AJ25" s="240"/>
      <c r="AK25" s="240">
        <v>41197272.0123064</v>
      </c>
      <c r="AL25" s="240">
        <v>4221117.4685264993</v>
      </c>
      <c r="AM25" s="240"/>
      <c r="AN25" s="240"/>
      <c r="AO25" s="240"/>
      <c r="AP25" s="240">
        <v>83657296.804228127</v>
      </c>
    </row>
    <row r="26" spans="1:42" x14ac:dyDescent="0.25">
      <c r="A26" s="79">
        <v>2019</v>
      </c>
      <c r="B26" s="240"/>
      <c r="C26" s="240"/>
      <c r="D26" s="240"/>
      <c r="E26" s="240">
        <v>823764.99285714305</v>
      </c>
      <c r="F26" s="240"/>
      <c r="G26" s="240">
        <v>4441.5</v>
      </c>
      <c r="H26" s="240"/>
      <c r="I26" s="240"/>
      <c r="J26" s="240"/>
      <c r="K26" s="240"/>
      <c r="L26" s="240"/>
      <c r="M26" s="240"/>
      <c r="N26" s="240"/>
      <c r="O26" s="240"/>
      <c r="P26" s="240"/>
      <c r="Q26" s="240"/>
      <c r="R26" s="240"/>
      <c r="S26" s="240">
        <v>9696490.333333334</v>
      </c>
      <c r="T26" s="240"/>
      <c r="U26" s="240"/>
      <c r="V26" s="240"/>
      <c r="W26" s="240"/>
      <c r="X26" s="240"/>
      <c r="Y26" s="240"/>
      <c r="Z26" s="240"/>
      <c r="AA26" s="240"/>
      <c r="AB26" s="240">
        <v>14742130.666666664</v>
      </c>
      <c r="AC26" s="240"/>
      <c r="AD26" s="240"/>
      <c r="AE26" s="240"/>
      <c r="AF26" s="240"/>
      <c r="AG26" s="240"/>
      <c r="AH26" s="240"/>
      <c r="AI26" s="240"/>
      <c r="AJ26" s="240"/>
      <c r="AK26" s="240">
        <v>8803491.7355084848</v>
      </c>
      <c r="AL26" s="240">
        <v>944815.08868008247</v>
      </c>
      <c r="AM26" s="240"/>
      <c r="AN26" s="240"/>
      <c r="AO26" s="240"/>
      <c r="AP26" s="240">
        <v>35015134.317045711</v>
      </c>
    </row>
    <row r="27" spans="1:42" x14ac:dyDescent="0.25">
      <c r="A27" s="79">
        <v>2030</v>
      </c>
      <c r="B27" s="240"/>
      <c r="C27" s="240"/>
      <c r="D27" s="240"/>
      <c r="E27" s="240">
        <v>350967.65152171784</v>
      </c>
      <c r="F27" s="240"/>
      <c r="G27" s="240">
        <v>3436.3126630653683</v>
      </c>
      <c r="H27" s="240"/>
      <c r="I27" s="240"/>
      <c r="J27" s="240"/>
      <c r="K27" s="240"/>
      <c r="L27" s="240"/>
      <c r="M27" s="240"/>
      <c r="N27" s="240"/>
      <c r="O27" s="240"/>
      <c r="P27" s="240"/>
      <c r="Q27" s="240"/>
      <c r="R27" s="240"/>
      <c r="S27" s="240">
        <v>4227510.9087366061</v>
      </c>
      <c r="T27" s="240"/>
      <c r="U27" s="240"/>
      <c r="V27" s="240"/>
      <c r="W27" s="240"/>
      <c r="X27" s="240"/>
      <c r="Y27" s="240"/>
      <c r="Z27" s="240"/>
      <c r="AA27" s="240"/>
      <c r="AB27" s="240">
        <v>5246776.4362328704</v>
      </c>
      <c r="AC27" s="240"/>
      <c r="AD27" s="240"/>
      <c r="AE27" s="240"/>
      <c r="AF27" s="240"/>
      <c r="AG27" s="240"/>
      <c r="AH27" s="240"/>
      <c r="AI27" s="240"/>
      <c r="AJ27" s="240"/>
      <c r="AK27" s="240">
        <v>18044229.187614657</v>
      </c>
      <c r="AL27" s="240">
        <v>1660014.4487791653</v>
      </c>
      <c r="AM27" s="240"/>
      <c r="AN27" s="240"/>
      <c r="AO27" s="240"/>
      <c r="AP27" s="240">
        <v>29532934.945548084</v>
      </c>
    </row>
    <row r="28" spans="1:42" x14ac:dyDescent="0.25">
      <c r="A28" s="79">
        <v>2050</v>
      </c>
      <c r="B28" s="240"/>
      <c r="C28" s="240"/>
      <c r="D28" s="240"/>
      <c r="E28" s="240">
        <v>125115.58350994992</v>
      </c>
      <c r="F28" s="240"/>
      <c r="G28" s="240">
        <v>1867.7260239701945</v>
      </c>
      <c r="H28" s="240"/>
      <c r="I28" s="240"/>
      <c r="J28" s="240"/>
      <c r="K28" s="240"/>
      <c r="L28" s="240"/>
      <c r="M28" s="240"/>
      <c r="N28" s="240"/>
      <c r="O28" s="240"/>
      <c r="P28" s="240"/>
      <c r="Q28" s="240"/>
      <c r="R28" s="240"/>
      <c r="S28" s="240">
        <v>1364056.2909282311</v>
      </c>
      <c r="T28" s="240"/>
      <c r="U28" s="240"/>
      <c r="V28" s="240"/>
      <c r="W28" s="240"/>
      <c r="X28" s="240"/>
      <c r="Y28" s="240"/>
      <c r="Z28" s="240"/>
      <c r="AA28" s="240"/>
      <c r="AB28" s="240">
        <v>1652348.9209216826</v>
      </c>
      <c r="AC28" s="240"/>
      <c r="AD28" s="240"/>
      <c r="AE28" s="240"/>
      <c r="AF28" s="240"/>
      <c r="AG28" s="240"/>
      <c r="AH28" s="240"/>
      <c r="AI28" s="240"/>
      <c r="AJ28" s="240"/>
      <c r="AK28" s="240">
        <v>14349551.089183256</v>
      </c>
      <c r="AL28" s="240">
        <v>1616287.9310672511</v>
      </c>
      <c r="AM28" s="240"/>
      <c r="AN28" s="240"/>
      <c r="AO28" s="240"/>
      <c r="AP28" s="240">
        <v>19109227.54163434</v>
      </c>
    </row>
    <row r="29" spans="1:42" x14ac:dyDescent="0.25">
      <c r="A29" s="78" t="s">
        <v>210</v>
      </c>
      <c r="B29" s="240"/>
      <c r="C29" s="240"/>
      <c r="D29" s="240"/>
      <c r="E29" s="240"/>
      <c r="F29" s="240"/>
      <c r="G29" s="240"/>
      <c r="H29" s="240"/>
      <c r="I29" s="240"/>
      <c r="J29" s="240"/>
      <c r="K29" s="240">
        <v>9339855.7817607038</v>
      </c>
      <c r="L29" s="240"/>
      <c r="M29" s="240"/>
      <c r="N29" s="240"/>
      <c r="O29" s="240"/>
      <c r="P29" s="240"/>
      <c r="Q29" s="240"/>
      <c r="R29" s="240"/>
      <c r="S29" s="240"/>
      <c r="T29" s="240"/>
      <c r="U29" s="240"/>
      <c r="V29" s="240"/>
      <c r="W29" s="240"/>
      <c r="X29" s="240"/>
      <c r="Y29" s="240"/>
      <c r="Z29" s="240"/>
      <c r="AA29" s="240"/>
      <c r="AB29" s="240"/>
      <c r="AC29" s="240"/>
      <c r="AD29" s="240"/>
      <c r="AE29" s="240"/>
      <c r="AF29" s="240"/>
      <c r="AG29" s="240"/>
      <c r="AH29" s="240"/>
      <c r="AI29" s="240"/>
      <c r="AJ29" s="240"/>
      <c r="AK29" s="240"/>
      <c r="AL29" s="240"/>
      <c r="AM29" s="240"/>
      <c r="AN29" s="240"/>
      <c r="AO29" s="240"/>
      <c r="AP29" s="240">
        <v>9339855.7817607038</v>
      </c>
    </row>
    <row r="30" spans="1:42" x14ac:dyDescent="0.25">
      <c r="A30" s="79">
        <v>2019</v>
      </c>
      <c r="B30" s="240"/>
      <c r="C30" s="240"/>
      <c r="D30" s="240"/>
      <c r="E30" s="240"/>
      <c r="F30" s="240"/>
      <c r="G30" s="240"/>
      <c r="H30" s="240"/>
      <c r="I30" s="240"/>
      <c r="J30" s="240"/>
      <c r="K30" s="240">
        <v>0</v>
      </c>
      <c r="L30" s="240"/>
      <c r="M30" s="240"/>
      <c r="N30" s="240"/>
      <c r="O30" s="240"/>
      <c r="P30" s="240"/>
      <c r="Q30" s="240"/>
      <c r="R30" s="240"/>
      <c r="S30" s="240"/>
      <c r="T30" s="240"/>
      <c r="U30" s="240"/>
      <c r="V30" s="240"/>
      <c r="W30" s="240"/>
      <c r="X30" s="240"/>
      <c r="Y30" s="240"/>
      <c r="Z30" s="240"/>
      <c r="AA30" s="240"/>
      <c r="AB30" s="240"/>
      <c r="AC30" s="240"/>
      <c r="AD30" s="240"/>
      <c r="AE30" s="240"/>
      <c r="AF30" s="240"/>
      <c r="AG30" s="240"/>
      <c r="AH30" s="240"/>
      <c r="AI30" s="240"/>
      <c r="AJ30" s="240"/>
      <c r="AK30" s="240"/>
      <c r="AL30" s="240"/>
      <c r="AM30" s="240"/>
      <c r="AN30" s="240"/>
      <c r="AO30" s="240"/>
      <c r="AP30" s="240">
        <v>0</v>
      </c>
    </row>
    <row r="31" spans="1:42" x14ac:dyDescent="0.25">
      <c r="A31" s="79">
        <v>2030</v>
      </c>
      <c r="B31" s="240"/>
      <c r="C31" s="240"/>
      <c r="D31" s="240"/>
      <c r="E31" s="240"/>
      <c r="F31" s="240"/>
      <c r="G31" s="240"/>
      <c r="H31" s="240"/>
      <c r="I31" s="240"/>
      <c r="J31" s="240"/>
      <c r="K31" s="240">
        <v>5700756.0608161455</v>
      </c>
      <c r="L31" s="240"/>
      <c r="M31" s="240"/>
      <c r="N31" s="240"/>
      <c r="O31" s="240"/>
      <c r="P31" s="240"/>
      <c r="Q31" s="240"/>
      <c r="R31" s="240"/>
      <c r="S31" s="240"/>
      <c r="T31" s="240"/>
      <c r="U31" s="240"/>
      <c r="V31" s="240"/>
      <c r="W31" s="240"/>
      <c r="X31" s="240"/>
      <c r="Y31" s="240"/>
      <c r="Z31" s="240"/>
      <c r="AA31" s="240"/>
      <c r="AB31" s="240"/>
      <c r="AC31" s="240"/>
      <c r="AD31" s="240"/>
      <c r="AE31" s="240"/>
      <c r="AF31" s="240"/>
      <c r="AG31" s="240"/>
      <c r="AH31" s="240"/>
      <c r="AI31" s="240"/>
      <c r="AJ31" s="240"/>
      <c r="AK31" s="240"/>
      <c r="AL31" s="240"/>
      <c r="AM31" s="240"/>
      <c r="AN31" s="240"/>
      <c r="AO31" s="240"/>
      <c r="AP31" s="240">
        <v>5700756.0608161455</v>
      </c>
    </row>
    <row r="32" spans="1:42" x14ac:dyDescent="0.25">
      <c r="A32" s="79">
        <v>2050</v>
      </c>
      <c r="B32" s="240"/>
      <c r="C32" s="240"/>
      <c r="D32" s="240"/>
      <c r="E32" s="240"/>
      <c r="F32" s="240"/>
      <c r="G32" s="240"/>
      <c r="H32" s="240"/>
      <c r="I32" s="240"/>
      <c r="J32" s="240"/>
      <c r="K32" s="240">
        <v>3639099.7209445592</v>
      </c>
      <c r="L32" s="240"/>
      <c r="M32" s="240"/>
      <c r="N32" s="240"/>
      <c r="O32" s="240"/>
      <c r="P32" s="240"/>
      <c r="Q32" s="240"/>
      <c r="R32" s="240"/>
      <c r="S32" s="240"/>
      <c r="T32" s="240"/>
      <c r="U32" s="240"/>
      <c r="V32" s="240"/>
      <c r="W32" s="240"/>
      <c r="X32" s="240"/>
      <c r="Y32" s="240"/>
      <c r="Z32" s="240"/>
      <c r="AA32" s="240"/>
      <c r="AB32" s="240"/>
      <c r="AC32" s="240"/>
      <c r="AD32" s="240"/>
      <c r="AE32" s="240"/>
      <c r="AF32" s="240"/>
      <c r="AG32" s="240"/>
      <c r="AH32" s="240"/>
      <c r="AI32" s="240"/>
      <c r="AJ32" s="240"/>
      <c r="AK32" s="240"/>
      <c r="AL32" s="240"/>
      <c r="AM32" s="240"/>
      <c r="AN32" s="240"/>
      <c r="AO32" s="240"/>
      <c r="AP32" s="240">
        <v>3639099.7209445592</v>
      </c>
    </row>
    <row r="33" spans="1:42" x14ac:dyDescent="0.25">
      <c r="A33" s="78" t="s">
        <v>238</v>
      </c>
      <c r="B33" s="240"/>
      <c r="C33" s="240"/>
      <c r="D33" s="240"/>
      <c r="E33" s="240"/>
      <c r="F33" s="240"/>
      <c r="G33" s="240"/>
      <c r="H33" s="240"/>
      <c r="I33" s="240"/>
      <c r="J33" s="240"/>
      <c r="K33" s="240"/>
      <c r="L33" s="240"/>
      <c r="M33" s="240"/>
      <c r="N33" s="240"/>
      <c r="O33" s="240"/>
      <c r="P33" s="240"/>
      <c r="Q33" s="240"/>
      <c r="R33" s="240"/>
      <c r="S33" s="240"/>
      <c r="T33" s="240"/>
      <c r="U33" s="240"/>
      <c r="V33" s="240"/>
      <c r="W33" s="240"/>
      <c r="X33" s="240">
        <v>2302884.2259731684</v>
      </c>
      <c r="Y33" s="240"/>
      <c r="Z33" s="240"/>
      <c r="AA33" s="240"/>
      <c r="AB33" s="240"/>
      <c r="AC33" s="240"/>
      <c r="AD33" s="240"/>
      <c r="AE33" s="240"/>
      <c r="AF33" s="240"/>
      <c r="AG33" s="240"/>
      <c r="AH33" s="240"/>
      <c r="AI33" s="240"/>
      <c r="AJ33" s="240"/>
      <c r="AK33" s="240"/>
      <c r="AL33" s="240"/>
      <c r="AM33" s="240"/>
      <c r="AN33" s="240"/>
      <c r="AO33" s="240"/>
      <c r="AP33" s="240">
        <v>2302884.2259731684</v>
      </c>
    </row>
    <row r="34" spans="1:42" x14ac:dyDescent="0.25">
      <c r="A34" s="79">
        <v>2019</v>
      </c>
      <c r="B34" s="240"/>
      <c r="C34" s="240"/>
      <c r="D34" s="240"/>
      <c r="E34" s="240"/>
      <c r="F34" s="240"/>
      <c r="G34" s="240"/>
      <c r="H34" s="240"/>
      <c r="I34" s="240"/>
      <c r="J34" s="240"/>
      <c r="K34" s="240"/>
      <c r="L34" s="240"/>
      <c r="M34" s="240"/>
      <c r="N34" s="240"/>
      <c r="O34" s="240"/>
      <c r="P34" s="240"/>
      <c r="Q34" s="240"/>
      <c r="R34" s="240"/>
      <c r="S34" s="240"/>
      <c r="T34" s="240"/>
      <c r="U34" s="240"/>
      <c r="V34" s="240"/>
      <c r="W34" s="240"/>
      <c r="X34" s="240">
        <v>678407.81727843033</v>
      </c>
      <c r="Y34" s="240"/>
      <c r="Z34" s="240"/>
      <c r="AA34" s="240"/>
      <c r="AB34" s="240"/>
      <c r="AC34" s="240"/>
      <c r="AD34" s="240"/>
      <c r="AE34" s="240"/>
      <c r="AF34" s="240"/>
      <c r="AG34" s="240"/>
      <c r="AH34" s="240"/>
      <c r="AI34" s="240"/>
      <c r="AJ34" s="240"/>
      <c r="AK34" s="240"/>
      <c r="AL34" s="240"/>
      <c r="AM34" s="240"/>
      <c r="AN34" s="240"/>
      <c r="AO34" s="240"/>
      <c r="AP34" s="240">
        <v>678407.81727843033</v>
      </c>
    </row>
    <row r="35" spans="1:42" x14ac:dyDescent="0.25">
      <c r="A35" s="79">
        <v>2030</v>
      </c>
      <c r="B35" s="240"/>
      <c r="C35" s="240"/>
      <c r="D35" s="240"/>
      <c r="E35" s="240"/>
      <c r="F35" s="240"/>
      <c r="G35" s="240"/>
      <c r="H35" s="240"/>
      <c r="I35" s="240"/>
      <c r="J35" s="240"/>
      <c r="K35" s="240"/>
      <c r="L35" s="240"/>
      <c r="M35" s="240"/>
      <c r="N35" s="240"/>
      <c r="O35" s="240"/>
      <c r="P35" s="240"/>
      <c r="Q35" s="240"/>
      <c r="R35" s="240"/>
      <c r="S35" s="240"/>
      <c r="T35" s="240"/>
      <c r="U35" s="240"/>
      <c r="V35" s="240"/>
      <c r="W35" s="240"/>
      <c r="X35" s="240">
        <v>878488.59789206437</v>
      </c>
      <c r="Y35" s="240"/>
      <c r="Z35" s="240"/>
      <c r="AA35" s="240"/>
      <c r="AB35" s="240"/>
      <c r="AC35" s="240"/>
      <c r="AD35" s="240"/>
      <c r="AE35" s="240"/>
      <c r="AF35" s="240"/>
      <c r="AG35" s="240"/>
      <c r="AH35" s="240"/>
      <c r="AI35" s="240"/>
      <c r="AJ35" s="240"/>
      <c r="AK35" s="240"/>
      <c r="AL35" s="240"/>
      <c r="AM35" s="240"/>
      <c r="AN35" s="240"/>
      <c r="AO35" s="240"/>
      <c r="AP35" s="240">
        <v>878488.59789206437</v>
      </c>
    </row>
    <row r="36" spans="1:42" x14ac:dyDescent="0.25">
      <c r="A36" s="79">
        <v>2050</v>
      </c>
      <c r="B36" s="240"/>
      <c r="C36" s="240"/>
      <c r="D36" s="240"/>
      <c r="E36" s="240"/>
      <c r="F36" s="240"/>
      <c r="G36" s="240"/>
      <c r="H36" s="240"/>
      <c r="I36" s="240"/>
      <c r="J36" s="240"/>
      <c r="K36" s="240"/>
      <c r="L36" s="240"/>
      <c r="M36" s="240"/>
      <c r="N36" s="240"/>
      <c r="O36" s="240"/>
      <c r="P36" s="240"/>
      <c r="Q36" s="240"/>
      <c r="R36" s="240"/>
      <c r="S36" s="240"/>
      <c r="T36" s="240"/>
      <c r="U36" s="240"/>
      <c r="V36" s="240"/>
      <c r="W36" s="240"/>
      <c r="X36" s="240">
        <v>745987.81080267346</v>
      </c>
      <c r="Y36" s="240"/>
      <c r="Z36" s="240"/>
      <c r="AA36" s="240"/>
      <c r="AB36" s="240"/>
      <c r="AC36" s="240"/>
      <c r="AD36" s="240"/>
      <c r="AE36" s="240"/>
      <c r="AF36" s="240"/>
      <c r="AG36" s="240"/>
      <c r="AH36" s="240"/>
      <c r="AI36" s="240"/>
      <c r="AJ36" s="240"/>
      <c r="AK36" s="240"/>
      <c r="AL36" s="240"/>
      <c r="AM36" s="240"/>
      <c r="AN36" s="240"/>
      <c r="AO36" s="240"/>
      <c r="AP36" s="240">
        <v>745987.81080267346</v>
      </c>
    </row>
    <row r="37" spans="1:42" x14ac:dyDescent="0.25">
      <c r="A37" s="78" t="s">
        <v>320</v>
      </c>
      <c r="B37" s="240"/>
      <c r="C37" s="240"/>
      <c r="D37" s="240"/>
      <c r="E37" s="240"/>
      <c r="F37" s="240"/>
      <c r="G37" s="240"/>
      <c r="H37" s="240"/>
      <c r="I37" s="240"/>
      <c r="J37" s="240"/>
      <c r="K37" s="240"/>
      <c r="L37" s="240"/>
      <c r="M37" s="240">
        <v>3980000.0000000009</v>
      </c>
      <c r="N37" s="240"/>
      <c r="O37" s="240"/>
      <c r="P37" s="240"/>
      <c r="Q37" s="240"/>
      <c r="R37" s="240"/>
      <c r="S37" s="240"/>
      <c r="T37" s="240"/>
      <c r="U37" s="240"/>
      <c r="V37" s="240"/>
      <c r="W37" s="240"/>
      <c r="X37" s="240"/>
      <c r="Y37" s="240"/>
      <c r="Z37" s="240"/>
      <c r="AA37" s="240"/>
      <c r="AB37" s="240"/>
      <c r="AC37" s="240"/>
      <c r="AD37" s="240"/>
      <c r="AE37" s="240"/>
      <c r="AF37" s="240"/>
      <c r="AG37" s="240"/>
      <c r="AH37" s="240"/>
      <c r="AI37" s="240"/>
      <c r="AJ37" s="240"/>
      <c r="AK37" s="240"/>
      <c r="AL37" s="240"/>
      <c r="AM37" s="240"/>
      <c r="AN37" s="240"/>
      <c r="AO37" s="240"/>
      <c r="AP37" s="240">
        <v>3980000.0000000009</v>
      </c>
    </row>
    <row r="38" spans="1:42" x14ac:dyDescent="0.25">
      <c r="A38" s="79">
        <v>2019</v>
      </c>
      <c r="B38" s="240"/>
      <c r="C38" s="240"/>
      <c r="D38" s="240"/>
      <c r="E38" s="240"/>
      <c r="F38" s="240"/>
      <c r="G38" s="240"/>
      <c r="H38" s="240"/>
      <c r="I38" s="240"/>
      <c r="J38" s="240"/>
      <c r="K38" s="240"/>
      <c r="L38" s="240"/>
      <c r="M38" s="240">
        <v>0</v>
      </c>
      <c r="N38" s="240"/>
      <c r="O38" s="240"/>
      <c r="P38" s="240"/>
      <c r="Q38" s="240"/>
      <c r="R38" s="240"/>
      <c r="S38" s="240"/>
      <c r="T38" s="240"/>
      <c r="U38" s="240"/>
      <c r="V38" s="240"/>
      <c r="W38" s="240"/>
      <c r="X38" s="240"/>
      <c r="Y38" s="240"/>
      <c r="Z38" s="240"/>
      <c r="AA38" s="240"/>
      <c r="AB38" s="240"/>
      <c r="AC38" s="240"/>
      <c r="AD38" s="240"/>
      <c r="AE38" s="240"/>
      <c r="AF38" s="240"/>
      <c r="AG38" s="240"/>
      <c r="AH38" s="240"/>
      <c r="AI38" s="240"/>
      <c r="AJ38" s="240"/>
      <c r="AK38" s="240"/>
      <c r="AL38" s="240"/>
      <c r="AM38" s="240"/>
      <c r="AN38" s="240"/>
      <c r="AO38" s="240"/>
      <c r="AP38" s="240">
        <v>0</v>
      </c>
    </row>
    <row r="39" spans="1:42" x14ac:dyDescent="0.25">
      <c r="A39" s="79">
        <v>2030</v>
      </c>
      <c r="B39" s="240"/>
      <c r="C39" s="240"/>
      <c r="D39" s="240"/>
      <c r="E39" s="240"/>
      <c r="F39" s="240"/>
      <c r="G39" s="240"/>
      <c r="H39" s="240"/>
      <c r="I39" s="240"/>
      <c r="J39" s="240"/>
      <c r="K39" s="240"/>
      <c r="L39" s="240"/>
      <c r="M39" s="240">
        <v>1480000.0000000007</v>
      </c>
      <c r="N39" s="240"/>
      <c r="O39" s="240"/>
      <c r="P39" s="240"/>
      <c r="Q39" s="240"/>
      <c r="R39" s="240"/>
      <c r="S39" s="240"/>
      <c r="T39" s="240"/>
      <c r="U39" s="240"/>
      <c r="V39" s="240"/>
      <c r="W39" s="240"/>
      <c r="X39" s="240"/>
      <c r="Y39" s="240"/>
      <c r="Z39" s="240"/>
      <c r="AA39" s="240"/>
      <c r="AB39" s="240"/>
      <c r="AC39" s="240"/>
      <c r="AD39" s="240"/>
      <c r="AE39" s="240"/>
      <c r="AF39" s="240"/>
      <c r="AG39" s="240"/>
      <c r="AH39" s="240"/>
      <c r="AI39" s="240"/>
      <c r="AJ39" s="240"/>
      <c r="AK39" s="240"/>
      <c r="AL39" s="240"/>
      <c r="AM39" s="240"/>
      <c r="AN39" s="240"/>
      <c r="AO39" s="240"/>
      <c r="AP39" s="240">
        <v>1480000.0000000007</v>
      </c>
    </row>
    <row r="40" spans="1:42" x14ac:dyDescent="0.25">
      <c r="A40" s="79">
        <v>2050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>
        <v>2500000</v>
      </c>
      <c r="N40" s="240"/>
      <c r="O40" s="240"/>
      <c r="P40" s="240"/>
      <c r="Q40" s="240"/>
      <c r="R40" s="240"/>
      <c r="S40" s="240"/>
      <c r="T40" s="240"/>
      <c r="U40" s="240"/>
      <c r="V40" s="240"/>
      <c r="W40" s="240"/>
      <c r="X40" s="240"/>
      <c r="Y40" s="240"/>
      <c r="Z40" s="240"/>
      <c r="AA40" s="240"/>
      <c r="AB40" s="240"/>
      <c r="AC40" s="240"/>
      <c r="AD40" s="240"/>
      <c r="AE40" s="240"/>
      <c r="AF40" s="240"/>
      <c r="AG40" s="240"/>
      <c r="AH40" s="240"/>
      <c r="AI40" s="240"/>
      <c r="AJ40" s="240"/>
      <c r="AK40" s="240"/>
      <c r="AL40" s="240"/>
      <c r="AM40" s="240"/>
      <c r="AN40" s="240"/>
      <c r="AO40" s="240"/>
      <c r="AP40" s="240">
        <v>2500000</v>
      </c>
    </row>
    <row r="41" spans="1:42" x14ac:dyDescent="0.25">
      <c r="A41" s="78" t="s">
        <v>61</v>
      </c>
      <c r="B41" s="240">
        <v>182574.19618217932</v>
      </c>
      <c r="C41" s="240">
        <v>455230.08172556589</v>
      </c>
      <c r="D41" s="240">
        <v>1462906</v>
      </c>
      <c r="E41" s="240">
        <v>4891522.5329038296</v>
      </c>
      <c r="F41" s="240">
        <v>281468.55244752642</v>
      </c>
      <c r="G41" s="240">
        <v>27264.558180549309</v>
      </c>
      <c r="H41" s="240">
        <v>150285.8346094953</v>
      </c>
      <c r="I41" s="240">
        <v>1445379.0531089196</v>
      </c>
      <c r="J41" s="240">
        <v>428226</v>
      </c>
      <c r="K41" s="240">
        <v>41437731.840307847</v>
      </c>
      <c r="L41" s="240">
        <v>1513844.376677237</v>
      </c>
      <c r="M41" s="240">
        <v>9608303.6528553292</v>
      </c>
      <c r="N41" s="240">
        <v>2948427</v>
      </c>
      <c r="O41" s="240">
        <v>5421074.2654714445</v>
      </c>
      <c r="P41" s="240">
        <v>2095654</v>
      </c>
      <c r="Q41" s="240">
        <v>692260.49385742994</v>
      </c>
      <c r="R41" s="240">
        <v>16977849.955801435</v>
      </c>
      <c r="S41" s="240">
        <v>31995310.161842752</v>
      </c>
      <c r="T41" s="240">
        <v>3736937.6464744452</v>
      </c>
      <c r="U41" s="240">
        <v>15942146.36943309</v>
      </c>
      <c r="V41" s="240">
        <v>2647325.8446415998</v>
      </c>
      <c r="W41" s="240">
        <v>255601.5233243031</v>
      </c>
      <c r="X41" s="240">
        <v>2302884.2259731684</v>
      </c>
      <c r="Y41" s="240">
        <v>2260478.5263562161</v>
      </c>
      <c r="Z41" s="240">
        <v>115548.49351931627</v>
      </c>
      <c r="AA41" s="240">
        <v>12361269.40396174</v>
      </c>
      <c r="AB41" s="240">
        <v>39726051.015747547</v>
      </c>
      <c r="AC41" s="240">
        <v>518948.54735540331</v>
      </c>
      <c r="AD41" s="240">
        <v>517514.09980247903</v>
      </c>
      <c r="AE41" s="240">
        <v>8862084.0365267936</v>
      </c>
      <c r="AF41" s="240">
        <v>3231770.9608799992</v>
      </c>
      <c r="AG41" s="240">
        <v>1561356.6904091518</v>
      </c>
      <c r="AH41" s="240">
        <v>3149729.2875139294</v>
      </c>
      <c r="AI41" s="240">
        <v>532028.44251516566</v>
      </c>
      <c r="AJ41" s="240">
        <v>736922.95231141383</v>
      </c>
      <c r="AK41" s="240">
        <v>41197272.0123064</v>
      </c>
      <c r="AL41" s="240">
        <v>4221117.4685264993</v>
      </c>
      <c r="AM41" s="240">
        <v>2228800.0000000005</v>
      </c>
      <c r="AN41" s="240">
        <v>557200.00000000012</v>
      </c>
      <c r="AO41" s="240">
        <v>2490322.2580733313</v>
      </c>
      <c r="AP41" s="240">
        <v>271168622.36162359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12.5703125" bestFit="1" customWidth="1"/>
    <col min="9" max="9" width="8.85546875" bestFit="1" customWidth="1"/>
    <col min="10" max="10" width="14.5703125" bestFit="1" customWidth="1"/>
    <col min="11" max="12" width="11.2851562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1" x14ac:dyDescent="0.25">
      <c r="A2" s="77" t="s">
        <v>287</v>
      </c>
      <c r="B2" s="78">
        <v>1</v>
      </c>
    </row>
    <row r="4" spans="1:11" x14ac:dyDescent="0.25">
      <c r="A4" s="77" t="s">
        <v>315</v>
      </c>
      <c r="B4" s="77" t="s">
        <v>62</v>
      </c>
    </row>
    <row r="5" spans="1:11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14</v>
      </c>
      <c r="G5" s="171" t="s">
        <v>159</v>
      </c>
      <c r="H5" s="171" t="s">
        <v>205</v>
      </c>
      <c r="I5" s="171" t="s">
        <v>54</v>
      </c>
      <c r="J5" s="171" t="s">
        <v>160</v>
      </c>
      <c r="K5" s="171" t="s">
        <v>61</v>
      </c>
    </row>
    <row r="6" spans="1:11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0</v>
      </c>
      <c r="I6" s="76">
        <v>420629.98984142789</v>
      </c>
      <c r="J6" s="76">
        <v>5421074.2654714445</v>
      </c>
      <c r="K6" s="76">
        <v>7785702.6698210612</v>
      </c>
    </row>
    <row r="7" spans="1:11" x14ac:dyDescent="0.25">
      <c r="A7" s="78">
        <v>2030</v>
      </c>
      <c r="B7" s="76">
        <v>2.825725611182861E-2</v>
      </c>
      <c r="C7" s="76">
        <v>0</v>
      </c>
      <c r="D7" s="76">
        <v>0</v>
      </c>
      <c r="E7" s="76">
        <v>1660014.4487791653</v>
      </c>
      <c r="F7" s="76">
        <v>0</v>
      </c>
      <c r="G7" s="76">
        <v>142742</v>
      </c>
      <c r="H7" s="76">
        <v>10506.319254641596</v>
      </c>
      <c r="I7" s="76">
        <v>295986.95488590782</v>
      </c>
      <c r="J7" s="76">
        <v>0</v>
      </c>
      <c r="K7" s="76">
        <v>2109249.751176971</v>
      </c>
    </row>
    <row r="8" spans="1:11" x14ac:dyDescent="0.25">
      <c r="A8" s="78">
        <v>2050</v>
      </c>
      <c r="B8" s="76">
        <v>0.18489040050189942</v>
      </c>
      <c r="C8" s="76">
        <v>0</v>
      </c>
      <c r="D8" s="76">
        <v>0</v>
      </c>
      <c r="E8" s="76">
        <v>1616287.9310672511</v>
      </c>
      <c r="F8" s="76">
        <v>3343.8010555246146</v>
      </c>
      <c r="G8" s="76">
        <v>142742</v>
      </c>
      <c r="H8" s="76">
        <v>6706.74960651531</v>
      </c>
      <c r="I8" s="76">
        <v>342995.31126165221</v>
      </c>
      <c r="J8" s="76">
        <v>0</v>
      </c>
      <c r="K8" s="76">
        <v>2112075.9778813436</v>
      </c>
    </row>
    <row r="9" spans="1:11" x14ac:dyDescent="0.25">
      <c r="A9" s="78" t="s">
        <v>61</v>
      </c>
      <c r="B9" s="76">
        <v>370459.88762915425</v>
      </c>
      <c r="C9" s="76">
        <v>203649.62100550608</v>
      </c>
      <c r="D9" s="76">
        <v>282332.03034110228</v>
      </c>
      <c r="E9" s="76">
        <v>4221117.4685264993</v>
      </c>
      <c r="F9" s="76">
        <v>3343.8010555246146</v>
      </c>
      <c r="G9" s="76">
        <v>428226</v>
      </c>
      <c r="H9" s="76">
        <v>17213.068861156906</v>
      </c>
      <c r="I9" s="76">
        <v>1059612.2559889879</v>
      </c>
      <c r="J9" s="76">
        <v>5421074.2654714445</v>
      </c>
      <c r="K9" s="76">
        <v>12007028.398879377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8554687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8" width="9.85546875" style="171" bestFit="1" customWidth="1"/>
    <col min="9" max="9" width="10.85546875" style="171" bestFit="1" customWidth="1"/>
    <col min="10" max="10" width="13.140625" style="171" bestFit="1" customWidth="1"/>
    <col min="11" max="12" width="9.85546875" style="171" bestFit="1" customWidth="1"/>
    <col min="13" max="13" width="13.85546875" style="171" bestFit="1" customWidth="1"/>
    <col min="14" max="14" width="9.85546875" style="171" bestFit="1" customWidth="1"/>
    <col min="15" max="15" width="16" style="171" bestFit="1" customWidth="1"/>
    <col min="16" max="16" width="10" style="171" bestFit="1" customWidth="1"/>
    <col min="17" max="17" width="8.7109375" style="171" bestFit="1" customWidth="1"/>
    <col min="18" max="18" width="11" style="171" bestFit="1" customWidth="1"/>
    <col min="19" max="19" width="9.85546875" style="171" bestFit="1" customWidth="1"/>
    <col min="20" max="20" width="21" style="171" bestFit="1" customWidth="1"/>
    <col min="21" max="21" width="20.7109375" style="171" bestFit="1" customWidth="1"/>
    <col min="22" max="22" width="9.85546875" style="171" bestFit="1" customWidth="1"/>
    <col min="23" max="23" width="7.140625" style="171" bestFit="1" customWidth="1"/>
    <col min="24" max="24" width="16" style="171" bestFit="1" customWidth="1"/>
    <col min="25" max="27" width="9.85546875" style="171" bestFit="1" customWidth="1"/>
    <col min="28" max="28" width="9.28515625" style="171" bestFit="1" customWidth="1"/>
    <col min="29" max="29" width="11.28515625" style="171" bestFit="1" customWidth="1"/>
    <col min="30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309</v>
      </c>
      <c r="B2" s="78">
        <v>1</v>
      </c>
    </row>
    <row r="4" spans="1:48" x14ac:dyDescent="0.25">
      <c r="A4" s="77" t="s">
        <v>257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6</v>
      </c>
      <c r="J5" s="171" t="s">
        <v>104</v>
      </c>
      <c r="K5" s="171" t="s">
        <v>12</v>
      </c>
      <c r="L5" s="171" t="s">
        <v>48</v>
      </c>
      <c r="M5" s="171" t="s">
        <v>109</v>
      </c>
      <c r="N5" s="171" t="s">
        <v>53</v>
      </c>
      <c r="O5" s="171" t="s">
        <v>117</v>
      </c>
      <c r="P5" s="171" t="s">
        <v>107</v>
      </c>
      <c r="Q5" s="171" t="s">
        <v>14</v>
      </c>
      <c r="R5" s="171" t="s">
        <v>118</v>
      </c>
      <c r="S5" s="171" t="s">
        <v>52</v>
      </c>
      <c r="T5" s="171" t="s">
        <v>122</v>
      </c>
      <c r="U5" s="171" t="s">
        <v>108</v>
      </c>
      <c r="V5" s="171" t="s">
        <v>13</v>
      </c>
      <c r="W5" s="171" t="s">
        <v>100</v>
      </c>
      <c r="X5" s="171" t="s">
        <v>141</v>
      </c>
      <c r="Y5" s="171" t="s">
        <v>209</v>
      </c>
      <c r="Z5" s="171" t="s">
        <v>56</v>
      </c>
      <c r="AA5" s="171" t="s">
        <v>55</v>
      </c>
      <c r="AB5" s="171" t="s">
        <v>239</v>
      </c>
      <c r="AC5" s="171" t="s">
        <v>61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/>
      <c r="K6" s="98">
        <v>2040873.7508661344</v>
      </c>
      <c r="L6" s="98">
        <v>1974670.329311419</v>
      </c>
      <c r="M6" s="98">
        <v>51892.132620096323</v>
      </c>
      <c r="N6" s="98">
        <v>1266262.2462674922</v>
      </c>
      <c r="O6" s="98">
        <v>2536783.2413289398</v>
      </c>
      <c r="P6" s="98">
        <v>880.09999999999991</v>
      </c>
      <c r="Q6" s="98">
        <v>8064.2063400965635</v>
      </c>
      <c r="R6" s="98">
        <v>5269000</v>
      </c>
      <c r="S6" s="98">
        <v>1656364.6415009145</v>
      </c>
      <c r="T6" s="98">
        <v>217010.36743552322</v>
      </c>
      <c r="U6" s="98">
        <v>105946.31157195524</v>
      </c>
      <c r="V6" s="98">
        <v>1382651.4311789067</v>
      </c>
      <c r="W6" s="98">
        <v>76.5</v>
      </c>
      <c r="X6" s="98">
        <v>4368323.901678659</v>
      </c>
      <c r="Y6" s="98"/>
      <c r="Z6" s="98">
        <v>911574.64248506655</v>
      </c>
      <c r="AA6" s="98">
        <v>2005102.1714007764</v>
      </c>
      <c r="AB6" s="98">
        <v>98826.033045954537</v>
      </c>
      <c r="AC6" s="98">
        <v>34625194.021511331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835972.72038527858</v>
      </c>
      <c r="D7" s="98">
        <v>4254375.7434823737</v>
      </c>
      <c r="E7" s="98">
        <v>576116.71098848025</v>
      </c>
      <c r="F7" s="98">
        <v>144189.02716916322</v>
      </c>
      <c r="G7" s="98">
        <v>1327159.1732761196</v>
      </c>
      <c r="H7" s="98">
        <v>651527.44368819008</v>
      </c>
      <c r="I7" s="98">
        <v>1487443.4103780887</v>
      </c>
      <c r="J7" s="98">
        <v>54089.706503608206</v>
      </c>
      <c r="K7" s="98">
        <v>2603685.0557626397</v>
      </c>
      <c r="L7" s="98">
        <v>506782.85975210578</v>
      </c>
      <c r="M7" s="98">
        <v>146751.43669059611</v>
      </c>
      <c r="N7" s="98">
        <v>67599.913366085384</v>
      </c>
      <c r="O7" s="98">
        <v>1798536.4273682984</v>
      </c>
      <c r="P7" s="98">
        <v>148232.6739623498</v>
      </c>
      <c r="Q7" s="98">
        <v>1367.9773147687811</v>
      </c>
      <c r="R7" s="98">
        <v>4173274.1072842204</v>
      </c>
      <c r="S7" s="98">
        <v>107785.76819097856</v>
      </c>
      <c r="T7" s="98">
        <v>170927.12035893119</v>
      </c>
      <c r="U7" s="98">
        <v>74870.869608389519</v>
      </c>
      <c r="V7" s="98">
        <v>1080224.9231294955</v>
      </c>
      <c r="W7" s="98">
        <v>14400</v>
      </c>
      <c r="X7" s="98">
        <v>3645941.0625492036</v>
      </c>
      <c r="Y7" s="98">
        <v>1058561.0852325046</v>
      </c>
      <c r="Z7" s="98">
        <v>848084.29990278604</v>
      </c>
      <c r="AA7" s="98">
        <v>1861865.4474307869</v>
      </c>
      <c r="AB7" s="98">
        <v>261229.90815989478</v>
      </c>
      <c r="AC7" s="98">
        <v>28071941.176548492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583643.97890224867</v>
      </c>
      <c r="D8" s="98">
        <v>7186599.8576386888</v>
      </c>
      <c r="E8" s="98">
        <v>205378.41066727636</v>
      </c>
      <c r="F8" s="98">
        <v>153901.96523502804</v>
      </c>
      <c r="G8" s="98">
        <v>1079479.3223754542</v>
      </c>
      <c r="H8" s="98">
        <v>92224.67040210776</v>
      </c>
      <c r="I8" s="98">
        <v>1187929.0646227887</v>
      </c>
      <c r="J8" s="98">
        <v>44787.470491779066</v>
      </c>
      <c r="K8" s="98">
        <v>2142531.8661417775</v>
      </c>
      <c r="L8" s="98">
        <v>1371945.625518437</v>
      </c>
      <c r="M8" s="98">
        <v>59006.072343790955</v>
      </c>
      <c r="N8" s="98">
        <v>300848.41353906074</v>
      </c>
      <c r="O8" s="98">
        <v>724834.80451910477</v>
      </c>
      <c r="P8" s="98">
        <v>243411.82603765032</v>
      </c>
      <c r="Q8" s="98"/>
      <c r="R8" s="98">
        <v>2559846.5142407757</v>
      </c>
      <c r="S8" s="98">
        <v>258178.31605614454</v>
      </c>
      <c r="T8" s="98">
        <v>103731.07060017808</v>
      </c>
      <c r="U8" s="98">
        <v>44164.318545236878</v>
      </c>
      <c r="V8" s="98">
        <v>648616.74048751721</v>
      </c>
      <c r="W8" s="98">
        <v>18000</v>
      </c>
      <c r="X8" s="98">
        <v>1511623.5853531337</v>
      </c>
      <c r="Y8" s="98">
        <v>355650.82658627635</v>
      </c>
      <c r="Z8" s="98">
        <v>709449.17746015533</v>
      </c>
      <c r="AA8" s="98">
        <v>1558525.3424678326</v>
      </c>
      <c r="AB8" s="98">
        <v>259357.72926556907</v>
      </c>
      <c r="AC8" s="98">
        <v>23565984.337175287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1632327.7090432742</v>
      </c>
      <c r="D9" s="98">
        <v>14671504.673362575</v>
      </c>
      <c r="E9" s="98">
        <v>2133713.1287986143</v>
      </c>
      <c r="F9" s="98">
        <v>436366.27243309037</v>
      </c>
      <c r="G9" s="98">
        <v>3909196.5312597882</v>
      </c>
      <c r="H9" s="98">
        <v>4861755.8243904645</v>
      </c>
      <c r="I9" s="98">
        <v>2675372.4750008774</v>
      </c>
      <c r="J9" s="98">
        <v>98877.176995387272</v>
      </c>
      <c r="K9" s="98">
        <v>6787090.6727705514</v>
      </c>
      <c r="L9" s="98">
        <v>3853398.8145819618</v>
      </c>
      <c r="M9" s="98">
        <v>257649.64165448339</v>
      </c>
      <c r="N9" s="98">
        <v>1634710.5731726382</v>
      </c>
      <c r="O9" s="98">
        <v>5060154.4732163427</v>
      </c>
      <c r="P9" s="98">
        <v>392524.60000000009</v>
      </c>
      <c r="Q9" s="98">
        <v>9432.1836548653446</v>
      </c>
      <c r="R9" s="98">
        <v>12002120.621524995</v>
      </c>
      <c r="S9" s="98">
        <v>2022328.7257480375</v>
      </c>
      <c r="T9" s="98">
        <v>491668.55839463254</v>
      </c>
      <c r="U9" s="98">
        <v>224981.49972558167</v>
      </c>
      <c r="V9" s="98">
        <v>3111493.0947959195</v>
      </c>
      <c r="W9" s="98">
        <v>32476.5</v>
      </c>
      <c r="X9" s="98">
        <v>9525888.5495809969</v>
      </c>
      <c r="Y9" s="98">
        <v>1414211.9118187809</v>
      </c>
      <c r="Z9" s="98">
        <v>2469108.1198480078</v>
      </c>
      <c r="AA9" s="98">
        <v>5425492.9612993961</v>
      </c>
      <c r="AB9" s="98">
        <v>619413.67047141842</v>
      </c>
      <c r="AC9" s="98">
        <v>86263119.535235107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AC202" sqref="AC202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231</v>
      </c>
      <c r="C4" s="171" t="s">
        <v>159</v>
      </c>
      <c r="D4" s="171" t="s">
        <v>225</v>
      </c>
      <c r="E4" s="171" t="s">
        <v>228</v>
      </c>
      <c r="F4" s="171" t="s">
        <v>227</v>
      </c>
      <c r="G4" s="171" t="s">
        <v>223</v>
      </c>
      <c r="H4" s="171" t="s">
        <v>232</v>
      </c>
      <c r="I4" s="171" t="s">
        <v>226</v>
      </c>
      <c r="J4" s="171" t="s">
        <v>322</v>
      </c>
      <c r="K4" s="171" t="s">
        <v>61</v>
      </c>
    </row>
    <row r="5" spans="1:11" x14ac:dyDescent="0.25">
      <c r="A5" s="78" t="s">
        <v>294</v>
      </c>
      <c r="B5" s="238"/>
      <c r="C5" s="238"/>
      <c r="D5" s="238"/>
      <c r="E5" s="238"/>
      <c r="F5" s="238"/>
      <c r="G5" s="238"/>
      <c r="H5" s="238"/>
      <c r="I5" s="238"/>
      <c r="J5" s="238"/>
      <c r="K5" s="238"/>
    </row>
    <row r="6" spans="1:11" x14ac:dyDescent="0.25">
      <c r="A6" s="79">
        <v>2019</v>
      </c>
      <c r="B6" s="238">
        <v>17.543930524502301</v>
      </c>
      <c r="C6" s="238">
        <v>0</v>
      </c>
      <c r="D6" s="238">
        <v>0</v>
      </c>
      <c r="E6" s="238">
        <v>19.573590488557194</v>
      </c>
      <c r="F6" s="238">
        <v>0</v>
      </c>
      <c r="G6" s="238">
        <v>0</v>
      </c>
      <c r="H6" s="238">
        <v>3.951047127829578</v>
      </c>
      <c r="I6" s="238">
        <v>47.489094924341849</v>
      </c>
      <c r="J6" s="238">
        <v>0</v>
      </c>
      <c r="K6" s="238">
        <v>88.557663065230912</v>
      </c>
    </row>
    <row r="7" spans="1:11" x14ac:dyDescent="0.25">
      <c r="A7" s="79">
        <v>2030</v>
      </c>
      <c r="B7" s="238">
        <v>5.9185756611736293</v>
      </c>
      <c r="C7" s="238">
        <v>0</v>
      </c>
      <c r="D7" s="238">
        <v>1.7339476307410988</v>
      </c>
      <c r="E7" s="238">
        <v>12.937347298228788</v>
      </c>
      <c r="F7" s="238">
        <v>0.14596282488120896</v>
      </c>
      <c r="G7" s="238">
        <v>1.2409553954691868</v>
      </c>
      <c r="H7" s="238">
        <v>9.8390722963911195</v>
      </c>
      <c r="I7" s="238">
        <v>44.879863833162844</v>
      </c>
      <c r="J7" s="238">
        <v>14.320480000000003</v>
      </c>
      <c r="K7" s="238">
        <v>91.016204940047885</v>
      </c>
    </row>
    <row r="8" spans="1:11" x14ac:dyDescent="0.25">
      <c r="A8" s="79">
        <v>2050</v>
      </c>
      <c r="B8" s="238">
        <v>4.413950742288951</v>
      </c>
      <c r="C8" s="238">
        <v>0</v>
      </c>
      <c r="D8" s="238">
        <v>1.9504339469703251</v>
      </c>
      <c r="E8" s="238">
        <v>11.676881539930978</v>
      </c>
      <c r="F8" s="238">
        <v>0.23461711386879117</v>
      </c>
      <c r="G8" s="238">
        <v>0.44238509657731323</v>
      </c>
      <c r="H8" s="238">
        <v>8.3550634809899407</v>
      </c>
      <c r="I8" s="238">
        <v>45.596526266723075</v>
      </c>
      <c r="J8" s="238">
        <v>24.189999999999991</v>
      </c>
      <c r="K8" s="238">
        <v>96.859858187349374</v>
      </c>
    </row>
    <row r="9" spans="1:11" x14ac:dyDescent="0.25">
      <c r="A9" s="78" t="s">
        <v>246</v>
      </c>
      <c r="B9" s="238"/>
      <c r="C9" s="238"/>
      <c r="D9" s="238"/>
      <c r="E9" s="238"/>
      <c r="F9" s="238"/>
      <c r="G9" s="238"/>
      <c r="H9" s="238"/>
      <c r="I9" s="238"/>
      <c r="J9" s="238"/>
      <c r="K9" s="238"/>
    </row>
    <row r="10" spans="1:11" x14ac:dyDescent="0.25">
      <c r="A10" s="79">
        <v>2019</v>
      </c>
      <c r="B10" s="238">
        <v>7.483154704207001</v>
      </c>
      <c r="C10" s="238">
        <v>2.1694819870080004</v>
      </c>
      <c r="D10" s="238">
        <v>1.4201719861750002</v>
      </c>
      <c r="E10" s="238">
        <v>0.45076703431999998</v>
      </c>
      <c r="F10" s="238">
        <v>0</v>
      </c>
      <c r="G10" s="238">
        <v>5.0922829580050024</v>
      </c>
      <c r="H10" s="238">
        <v>0</v>
      </c>
      <c r="I10" s="238">
        <v>0</v>
      </c>
      <c r="J10" s="238">
        <v>0</v>
      </c>
      <c r="K10" s="238">
        <v>16.615858669715003</v>
      </c>
    </row>
    <row r="11" spans="1:11" x14ac:dyDescent="0.25">
      <c r="A11" s="79">
        <v>2030</v>
      </c>
      <c r="B11" s="238">
        <v>7.6088641505357533</v>
      </c>
      <c r="C11" s="238">
        <v>2.1694819870080004</v>
      </c>
      <c r="D11" s="238">
        <v>0</v>
      </c>
      <c r="E11" s="238">
        <v>0</v>
      </c>
      <c r="F11" s="238">
        <v>0</v>
      </c>
      <c r="G11" s="238">
        <v>10.44013238392133</v>
      </c>
      <c r="H11" s="238">
        <v>0</v>
      </c>
      <c r="I11" s="238">
        <v>0</v>
      </c>
      <c r="J11" s="238">
        <v>0</v>
      </c>
      <c r="K11" s="238">
        <v>20.218478521465084</v>
      </c>
    </row>
    <row r="12" spans="1:11" x14ac:dyDescent="0.25">
      <c r="A12" s="79">
        <v>2050</v>
      </c>
      <c r="B12" s="238">
        <v>8.2851701255222014</v>
      </c>
      <c r="C12" s="238">
        <v>2.1694819870080004</v>
      </c>
      <c r="D12" s="238">
        <v>2.6925000000000003</v>
      </c>
      <c r="E12" s="238">
        <v>0</v>
      </c>
      <c r="F12" s="238">
        <v>0</v>
      </c>
      <c r="G12" s="238">
        <v>8.4602640214703264</v>
      </c>
      <c r="H12" s="238">
        <v>0</v>
      </c>
      <c r="I12" s="238">
        <v>0</v>
      </c>
      <c r="J12" s="238">
        <v>0</v>
      </c>
      <c r="K12" s="238">
        <v>21.60741613400053</v>
      </c>
    </row>
    <row r="13" spans="1:11" x14ac:dyDescent="0.25">
      <c r="A13" s="78" t="s">
        <v>295</v>
      </c>
      <c r="B13" s="238">
        <v>27.876456927964881</v>
      </c>
      <c r="C13" s="238">
        <v>0</v>
      </c>
      <c r="D13" s="238">
        <v>3.6843815777114237</v>
      </c>
      <c r="E13" s="238">
        <v>44.187819326716962</v>
      </c>
      <c r="F13" s="238">
        <v>0.38057993875000012</v>
      </c>
      <c r="G13" s="238">
        <v>1.6833404920465</v>
      </c>
      <c r="H13" s="238">
        <v>22.145182905210639</v>
      </c>
      <c r="I13" s="238">
        <v>137.96548502422775</v>
      </c>
      <c r="J13" s="238">
        <v>38.510479999999994</v>
      </c>
      <c r="K13" s="238">
        <v>276.43372619262817</v>
      </c>
    </row>
    <row r="14" spans="1:11" x14ac:dyDescent="0.25">
      <c r="A14" s="78" t="s">
        <v>247</v>
      </c>
      <c r="B14" s="238">
        <v>23.377188980264954</v>
      </c>
      <c r="C14" s="238">
        <v>6.5084459610240017</v>
      </c>
      <c r="D14" s="238">
        <v>4.1126719861750001</v>
      </c>
      <c r="E14" s="238">
        <v>0.45076703431999998</v>
      </c>
      <c r="F14" s="238">
        <v>0</v>
      </c>
      <c r="G14" s="238">
        <v>23.992679363396661</v>
      </c>
      <c r="H14" s="238">
        <v>0</v>
      </c>
      <c r="I14" s="238">
        <v>0</v>
      </c>
      <c r="J14" s="238">
        <v>0</v>
      </c>
      <c r="K14" s="238">
        <v>58.441753325180613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240</v>
      </c>
      <c r="B1" s="77" t="s">
        <v>62</v>
      </c>
    </row>
    <row r="2" spans="1:9" x14ac:dyDescent="0.25">
      <c r="A2" s="77" t="s">
        <v>60</v>
      </c>
      <c r="B2" s="171" t="s">
        <v>231</v>
      </c>
      <c r="C2" s="171" t="s">
        <v>159</v>
      </c>
      <c r="D2" s="171" t="s">
        <v>225</v>
      </c>
      <c r="E2" s="171" t="s">
        <v>228</v>
      </c>
      <c r="F2" s="171" t="s">
        <v>227</v>
      </c>
      <c r="G2" s="171" t="s">
        <v>223</v>
      </c>
      <c r="H2" s="171" t="s">
        <v>226</v>
      </c>
      <c r="I2" s="171" t="s">
        <v>61</v>
      </c>
    </row>
    <row r="3" spans="1:9" x14ac:dyDescent="0.25">
      <c r="A3" s="78">
        <v>2019</v>
      </c>
      <c r="B3" s="239">
        <v>1077304.94</v>
      </c>
      <c r="C3" s="239">
        <v>128467.8</v>
      </c>
      <c r="D3" s="239">
        <v>128726.35999999999</v>
      </c>
      <c r="E3" s="239">
        <v>1675417.9906552273</v>
      </c>
      <c r="F3" s="239">
        <v>0</v>
      </c>
      <c r="G3" s="239">
        <v>704016.11583333346</v>
      </c>
      <c r="H3" s="239">
        <v>1575873.4784311759</v>
      </c>
      <c r="I3" s="239">
        <v>5289806.6849197373</v>
      </c>
    </row>
    <row r="4" spans="1:9" x14ac:dyDescent="0.25">
      <c r="A4" s="78">
        <v>2030</v>
      </c>
      <c r="B4" s="239">
        <v>1228117.319874564</v>
      </c>
      <c r="C4" s="239">
        <v>128467.8</v>
      </c>
      <c r="D4" s="239">
        <v>224264.81188071458</v>
      </c>
      <c r="E4" s="239">
        <v>1078311.3080653877</v>
      </c>
      <c r="F4" s="239">
        <v>24394.90109435247</v>
      </c>
      <c r="G4" s="239">
        <v>1579209.4799870809</v>
      </c>
      <c r="H4" s="239">
        <v>1494314.3329114441</v>
      </c>
      <c r="I4" s="239">
        <v>5757079.9538135435</v>
      </c>
    </row>
    <row r="5" spans="1:9" x14ac:dyDescent="0.25">
      <c r="A5" s="78">
        <v>2050</v>
      </c>
      <c r="B5" s="239">
        <v>1156722.2438764875</v>
      </c>
      <c r="C5" s="239">
        <v>128467.8</v>
      </c>
      <c r="D5" s="239">
        <v>392713.09498553735</v>
      </c>
      <c r="E5" s="239">
        <v>999175.72564844368</v>
      </c>
      <c r="F5" s="239">
        <v>39211.773905647548</v>
      </c>
      <c r="G5" s="239">
        <v>1203819.8797974139</v>
      </c>
      <c r="H5" s="239">
        <v>1527619.6031409521</v>
      </c>
      <c r="I5" s="239">
        <v>5447730.1213544821</v>
      </c>
    </row>
    <row r="6" spans="1:9" x14ac:dyDescent="0.25">
      <c r="A6" s="78" t="s">
        <v>61</v>
      </c>
      <c r="B6" s="239">
        <v>3462144.5037510511</v>
      </c>
      <c r="C6" s="239">
        <v>385403.4</v>
      </c>
      <c r="D6" s="239">
        <v>745704.26686625194</v>
      </c>
      <c r="E6" s="239">
        <v>3752905.0243690587</v>
      </c>
      <c r="F6" s="239">
        <v>63606.675000000017</v>
      </c>
      <c r="G6" s="239">
        <v>3487045.4756178283</v>
      </c>
      <c r="H6" s="239">
        <v>4597807.4144835724</v>
      </c>
      <c r="I6" s="239">
        <v>16494616.760087762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1.28515625" bestFit="1" customWidth="1"/>
    <col min="10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9" x14ac:dyDescent="0.25">
      <c r="A1" s="77" t="s">
        <v>199</v>
      </c>
      <c r="B1" s="77" t="s">
        <v>62</v>
      </c>
    </row>
    <row r="2" spans="1:9" x14ac:dyDescent="0.25">
      <c r="A2" s="77" t="s">
        <v>60</v>
      </c>
      <c r="B2" s="171" t="s">
        <v>112</v>
      </c>
      <c r="C2" s="171" t="s">
        <v>201</v>
      </c>
      <c r="D2" s="171" t="s">
        <v>194</v>
      </c>
      <c r="E2" s="171" t="s">
        <v>195</v>
      </c>
      <c r="F2" s="171" t="s">
        <v>10</v>
      </c>
      <c r="G2" s="171" t="s">
        <v>266</v>
      </c>
      <c r="H2" s="171" t="s">
        <v>320</v>
      </c>
      <c r="I2" s="171" t="s">
        <v>61</v>
      </c>
    </row>
    <row r="3" spans="1:9" x14ac:dyDescent="0.25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25">
      <c r="A4" s="78">
        <v>2030</v>
      </c>
      <c r="B4" s="98">
        <v>6670104.6479239594</v>
      </c>
      <c r="C4" s="98">
        <v>-24610.813181900667</v>
      </c>
      <c r="D4" s="98">
        <v>4409198.4139820281</v>
      </c>
      <c r="E4" s="98">
        <v>6029088.3887261674</v>
      </c>
      <c r="F4" s="98">
        <v>-2465700.867643958</v>
      </c>
      <c r="G4" s="98">
        <v>-311923.80729170947</v>
      </c>
      <c r="H4" s="98">
        <v>-965946.66666666698</v>
      </c>
      <c r="I4" s="98">
        <v>13340209.295847923</v>
      </c>
    </row>
    <row r="5" spans="1:9" x14ac:dyDescent="0.25">
      <c r="A5" s="78">
        <v>2050</v>
      </c>
      <c r="B5" s="98">
        <v>-197697.29237007059</v>
      </c>
      <c r="C5" s="98">
        <v>-40179.115818099352</v>
      </c>
      <c r="D5" s="98">
        <v>2751010.6362999445</v>
      </c>
      <c r="E5" s="98">
        <v>4256145.2345297476</v>
      </c>
      <c r="F5" s="98">
        <v>-5288328.8186776675</v>
      </c>
      <c r="G5" s="98">
        <v>-244678.56203733059</v>
      </c>
      <c r="H5" s="98">
        <v>-1631666.6666666665</v>
      </c>
      <c r="I5" s="98">
        <v>-395394.58474014234</v>
      </c>
    </row>
    <row r="6" spans="1:9" x14ac:dyDescent="0.25">
      <c r="A6" s="78" t="s">
        <v>61</v>
      </c>
      <c r="B6" s="98">
        <v>20989869.797929734</v>
      </c>
      <c r="C6" s="98">
        <v>-64948.366200000019</v>
      </c>
      <c r="D6" s="98">
        <v>12679470.951018691</v>
      </c>
      <c r="E6" s="98">
        <v>20010699.812990095</v>
      </c>
      <c r="F6" s="98">
        <v>-8315929.6863216255</v>
      </c>
      <c r="G6" s="98">
        <v>-721809.5802240998</v>
      </c>
      <c r="H6" s="98">
        <v>-2597613.3333333335</v>
      </c>
      <c r="I6" s="98">
        <v>41979739.595859461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200</v>
      </c>
      <c r="E1" t="s">
        <v>202</v>
      </c>
    </row>
    <row r="2" spans="1:9" x14ac:dyDescent="0.25">
      <c r="A2" t="s">
        <v>23</v>
      </c>
      <c r="B2">
        <f t="shared" ref="B2:B10" si="0">År1</f>
        <v>2019</v>
      </c>
      <c r="C2" s="98">
        <f>SUMIF('Resultater - Vestdanmark'!$F$3:$F$487,'CO2-udledning'!$D$2,'Resultater - Vestdanmark'!H$3:H$487)</f>
        <v>12546079.333675962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5070835.3540045777</v>
      </c>
      <c r="D3" t="s">
        <v>70</v>
      </c>
      <c r="E3" t="s">
        <v>194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4155736.1194644454</v>
      </c>
      <c r="D4" t="s">
        <v>70</v>
      </c>
      <c r="E4" t="s">
        <v>195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>
        <f>SUMIFS('Resultater - Vestdanmark'!H$3:H$474,'Resultater - Vestdanmark'!$F$3:$F$474,'CO2-udledning'!$D$2,'Resultater - Vestdanmark'!$C$3:$C$474,'CO2-udledning'!$F5)</f>
        <v>1324670.350202495</v>
      </c>
      <c r="D5" t="s">
        <v>70</v>
      </c>
      <c r="E5" t="s">
        <v>195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>
        <f>SUMIFS('Resultater - Vestdanmark'!H$3:H$474,'Resultater - Vestdanmark'!$F$3:$F$474,'CO2-udledning'!$D$2,'Resultater - Vestdanmark'!$C$3:$C$474,'CO2-udledning'!$F6)</f>
        <v>2581596.1188411801</v>
      </c>
      <c r="D6" t="s">
        <v>70</v>
      </c>
      <c r="E6" t="s">
        <v>195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-158.24317477886137</v>
      </c>
      <c r="D7" t="s">
        <v>201</v>
      </c>
      <c r="E7" t="s">
        <v>201</v>
      </c>
      <c r="G7" t="s">
        <v>196</v>
      </c>
      <c r="H7" t="s">
        <v>197</v>
      </c>
    </row>
    <row r="8" spans="1:9" x14ac:dyDescent="0.25">
      <c r="A8" t="s">
        <v>23</v>
      </c>
      <c r="B8" s="171">
        <f t="shared" si="0"/>
        <v>2019</v>
      </c>
      <c r="C8" s="98">
        <f>SUMIFS('Resultater - Vestdanmark'!H$3:H$474,'Resultater - Vestdanmark'!$F$3:$F$474,'CO2-udledning'!$D$2,'Resultater - Vestdanmark'!$A$3:$A$474,'CO2-udledning'!$G8)</f>
        <v>-434670</v>
      </c>
      <c r="D8" t="s">
        <v>10</v>
      </c>
      <c r="E8" t="s">
        <v>10</v>
      </c>
      <c r="G8" t="s">
        <v>198</v>
      </c>
    </row>
    <row r="9" spans="1:9" s="171" customFormat="1" x14ac:dyDescent="0.25">
      <c r="A9" s="171" t="s">
        <v>23</v>
      </c>
      <c r="B9" s="171">
        <f t="shared" si="0"/>
        <v>2019</v>
      </c>
      <c r="C9" s="98">
        <f>SUMIFS('Resultater - Vestdanmark'!H$3:H$474,'Resultater - Vestdanmark'!$F$3:$F$474,'CO2-udledning'!$D$2,'Resultater - Vestdanmark'!$A$3:$A$474,'CO2-udledning'!$G9)</f>
        <v>-151930.36566196129</v>
      </c>
      <c r="D9" s="171" t="s">
        <v>266</v>
      </c>
      <c r="E9" s="171" t="s">
        <v>266</v>
      </c>
      <c r="G9" s="171" t="s">
        <v>266</v>
      </c>
    </row>
    <row r="10" spans="1:9" s="171" customFormat="1" x14ac:dyDescent="0.25">
      <c r="A10" s="171" t="s">
        <v>23</v>
      </c>
      <c r="B10" s="171">
        <f t="shared" si="0"/>
        <v>2019</v>
      </c>
      <c r="C10" s="98">
        <f>SUMIFS('Resultater - Vestdanmark'!H$3:H$474,'Resultater - Vestdanmark'!$F$3:$F$474,'CO2-udledning'!$D$2,'Resultater - Vestdanmark'!$A$3:$A$474,'CO2-udledning'!$G10)</f>
        <v>0</v>
      </c>
      <c r="D10" s="171" t="s">
        <v>320</v>
      </c>
      <c r="E10" s="171" t="s">
        <v>320</v>
      </c>
      <c r="G10" s="171" t="s">
        <v>320</v>
      </c>
    </row>
    <row r="11" spans="1:9" x14ac:dyDescent="0.25">
      <c r="A11" t="s">
        <v>23</v>
      </c>
      <c r="B11">
        <f t="shared" ref="B11:B19" si="1">År2</f>
        <v>2030</v>
      </c>
      <c r="C11" s="98">
        <f>SUMIF('Resultater - Vestdanmark'!$F$3:$F$487,'CO2-udledning'!$D$2,'Resultater - Vestdanmark'!I$3:I$487)</f>
        <v>5621949.4678222975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25">
      <c r="A12" t="s">
        <v>23</v>
      </c>
      <c r="B12" s="171">
        <f t="shared" si="1"/>
        <v>2030</v>
      </c>
      <c r="C12" s="98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4049664.7353122975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25">
      <c r="A13" t="s">
        <v>23</v>
      </c>
      <c r="B13" s="171">
        <f t="shared" si="1"/>
        <v>2030</v>
      </c>
      <c r="C13" s="98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3681286.419871856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25">
      <c r="A14" t="s">
        <v>23</v>
      </c>
      <c r="B14" s="171">
        <f t="shared" si="1"/>
        <v>2030</v>
      </c>
      <c r="C14" s="98">
        <f>SUMIFS('Resultater - Vestdanmark'!I$3:I$474,'Resultater - Vestdanmark'!$F$3:$F$474,'CO2-udledning'!$D$2,'Resultater - Vestdanmark'!$C$3:$C$474,'CO2-udledning'!$F5)</f>
        <v>1037730.0552441035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>
        <f>SUMIFS('Resultater - Vestdanmark'!I$3:I$474,'Resultater - Vestdanmark'!$F$3:$F$474,'CO2-udledning'!$D$2,'Resultater - Vestdanmark'!$C$3:$C$474,'CO2-udledning'!$F6)</f>
        <v>65.998469138771299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-23936.112883057391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>
        <f>SUMIFS('Resultater - Vestdanmark'!I$3:I$474,'Resultater - Vestdanmark'!$F$3:$F$474,'CO2-udledning'!$D$2,'Resultater - Vestdanmark'!$A$3:$A$474,'CO2-udledning'!$G8)</f>
        <v>-2130264.6471044431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25">
      <c r="A18" s="171" t="s">
        <v>23</v>
      </c>
      <c r="B18" s="171">
        <f t="shared" si="1"/>
        <v>2030</v>
      </c>
      <c r="C18" s="98">
        <f>SUMIFS('Resultater - Vestdanmark'!I$3:I$474,'Resultater - Vestdanmark'!$F$3:$F$474,'CO2-udledning'!$D$2,'Resultater - Vestdanmark'!$A$3:$A$474,'CO2-udledning'!$G9)</f>
        <v>-284666.02002334176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>
        <f>SUMIFS('Resultater - Vestdanmark'!I$3:I$474,'Resultater - Vestdanmark'!$F$3:$F$474,'CO2-udledning'!$D$2,'Resultater - Vestdanmark'!$A$3:$A$474,'CO2-udledning'!$G10)</f>
        <v>-707930.96106425417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25">
      <c r="A20" t="s">
        <v>23</v>
      </c>
      <c r="B20">
        <f t="shared" ref="B20:B28" si="11">År3</f>
        <v>2050</v>
      </c>
      <c r="C20" s="98">
        <f>SUMIF('Resultater - Vestdanmark'!$F$3:$F$487,'CO2-udledning'!$D$2,'Resultater - Vestdanmark'!J$3:J$487)</f>
        <v>-404364.60278626671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25">
      <c r="A21" t="s">
        <v>23</v>
      </c>
      <c r="B21">
        <f t="shared" si="11"/>
        <v>2050</v>
      </c>
      <c r="C21" s="98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2526380.4485877971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25">
      <c r="A22" t="s">
        <v>23</v>
      </c>
      <c r="B22">
        <f t="shared" si="11"/>
        <v>2050</v>
      </c>
      <c r="C22" s="98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3122963.8436412625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25">
      <c r="A23" t="s">
        <v>23</v>
      </c>
      <c r="B23">
        <f t="shared" si="11"/>
        <v>2050</v>
      </c>
      <c r="C23" s="98">
        <f>SUMIFS('Resultater - Vestdanmark'!J$3:J$474,'Resultater - Vestdanmark'!$F$3:$F$474,'CO2-udledning'!$D$2,'Resultater - Vestdanmark'!$C$3:$C$474,'CO2-udledning'!$F5)</f>
        <v>26.361074410417238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25">
      <c r="A24" t="s">
        <v>23</v>
      </c>
      <c r="B24">
        <f t="shared" si="11"/>
        <v>2050</v>
      </c>
      <c r="C24" s="98">
        <f>SUMIFS('Resultater - Vestdanmark'!J$3:J$474,'Resultater - Vestdanmark'!$F$3:$F$474,'CO2-udledning'!$D$2,'Resultater - Vestdanmark'!$C$3:$C$474,'CO2-udledning'!$F6)</f>
        <v>65.998469138771299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25">
      <c r="A25" t="s">
        <v>23</v>
      </c>
      <c r="B25">
        <f t="shared" si="11"/>
        <v>2050</v>
      </c>
      <c r="C25" s="98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-32111.211335450222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25">
      <c r="A26" t="s">
        <v>23</v>
      </c>
      <c r="B26">
        <f t="shared" si="11"/>
        <v>2050</v>
      </c>
      <c r="C26" s="98">
        <f>SUMIFS('Resultater - Vestdanmark'!J$3:J$474,'Resultater - Vestdanmark'!$F$3:$F$474,'CO2-udledning'!$D$2,'Resultater - Vestdanmark'!$A$3:$A$474,'CO2-udledning'!$G8)</f>
        <v>-4628267.5003342489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25">
      <c r="A27" s="171" t="s">
        <v>23</v>
      </c>
      <c r="B27" s="171">
        <f t="shared" si="11"/>
        <v>2050</v>
      </c>
      <c r="C27" s="98">
        <f>SUMIFS('Resultater - Vestdanmark'!J$3:J$474,'Resultater - Vestdanmark'!$F$3:$F$474,'CO2-udledning'!$D$2,'Resultater - Vestdanmark'!$A$3:$A$474,'CO2-udledning'!$G9)</f>
        <v>-223378.0107666596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25">
      <c r="A28" s="171" t="s">
        <v>23</v>
      </c>
      <c r="B28" s="171">
        <f t="shared" si="11"/>
        <v>2050</v>
      </c>
      <c r="C28" s="98">
        <f>SUMIFS('Resultater - Vestdanmark'!J$3:J$474,'Resultater - Vestdanmark'!$F$3:$F$474,'CO2-udledning'!$D$2,'Resultater - Vestdanmark'!$A$3:$A$474,'CO2-udledning'!$G10)</f>
        <v>-1170044.5321225177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25">
      <c r="A29" t="s">
        <v>24</v>
      </c>
      <c r="B29" s="171">
        <f t="shared" ref="B29:B37" si="21">År1</f>
        <v>2019</v>
      </c>
      <c r="C29" s="98">
        <f>SUMIF('Resultater - Østdanmark'!$F$3:$F$487,'CO2-udledning'!$D$2,'Resultater - Østdanmark'!H$3:H$487)</f>
        <v>1971383.1086998824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25">
      <c r="A30" t="s">
        <v>24</v>
      </c>
      <c r="B30" s="171">
        <f t="shared" si="21"/>
        <v>2019</v>
      </c>
      <c r="C30" s="98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448426.54673213884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25">
      <c r="A31" t="s">
        <v>24</v>
      </c>
      <c r="B31" s="171">
        <f t="shared" si="21"/>
        <v>2019</v>
      </c>
      <c r="C31" s="76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1244619.4009225217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25">
      <c r="A32" t="s">
        <v>24</v>
      </c>
      <c r="B32" s="171">
        <f t="shared" si="21"/>
        <v>2019</v>
      </c>
      <c r="C32" s="76">
        <f>SUMIFS('Resultater - Østdanmark'!H$3:H$474,'Resultater - Østdanmark'!$F$3:$F$474,'CO2-udledning'!$D$2,'Resultater - Østdanmark'!$C$3:$C$474,'CO2-udledning'!$F5)</f>
        <v>142699.41800214813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25">
      <c r="A33" t="s">
        <v>24</v>
      </c>
      <c r="B33" s="171">
        <f t="shared" si="21"/>
        <v>2019</v>
      </c>
      <c r="C33" s="76">
        <f>SUMIFS('Resultater - Østdanmark'!H$3:H$474,'Resultater - Østdanmark'!$F$3:$F$474,'CO2-udledning'!$D$2,'Resultater - Østdanmark'!$C$3:$C$474,'CO2-udledning'!$F6)</f>
        <v>276144.78230139322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25">
      <c r="A34" t="s">
        <v>24</v>
      </c>
      <c r="B34" s="171">
        <f t="shared" si="21"/>
        <v>2019</v>
      </c>
      <c r="C34" s="98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-0.19402522113858015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25">
      <c r="A35" t="s">
        <v>24</v>
      </c>
      <c r="B35" s="171">
        <f t="shared" si="21"/>
        <v>2019</v>
      </c>
      <c r="C35" s="98">
        <f>SUMIFS('Resultater - Østdanmark'!H$3:H$474,'Resultater - Østdanmark'!$F$3:$F$474,'CO2-udledning'!$D$2,'Resultater - Østdanmark'!$A$3:$A$474,'CO2-udledning'!$G35)</f>
        <v>-127230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25">
      <c r="A36" s="171" t="s">
        <v>24</v>
      </c>
      <c r="B36" s="171">
        <f t="shared" si="21"/>
        <v>2019</v>
      </c>
      <c r="C36" s="98">
        <f>SUMIFS('Resultater - Østdanmark'!H$3:H$474,'Resultater - Østdanmark'!$F$3:$F$474,'CO2-udledning'!$D$2,'Resultater - Østdanmark'!$A$3:$A$474,'CO2-udledning'!$G36)</f>
        <v>-13276.84523309844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25">
      <c r="A37" s="171" t="s">
        <v>24</v>
      </c>
      <c r="B37" s="171">
        <f t="shared" si="21"/>
        <v>2019</v>
      </c>
      <c r="C37" s="98">
        <f>SUMIFS('Resultater - Østdanmark'!H$3:H$474,'Resultater - Østdanmark'!$F$3:$F$474,'CO2-udledning'!$D$2,'Resultater - Østdanmark'!$A$3:$A$474,'CO2-udledning'!$G37)</f>
        <v>0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25">
      <c r="A38" s="171" t="s">
        <v>24</v>
      </c>
      <c r="B38" s="171">
        <f t="shared" ref="B38:B46" si="31">År2</f>
        <v>2030</v>
      </c>
      <c r="C38" s="98">
        <f>SUMIF('Resultater - Østdanmark'!$F$3:$F$487,'CO2-udledning'!$D$2,'Resultater - Østdanmark'!I$3:I$487)</f>
        <v>1048155.1801016615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25">
      <c r="A39" s="171" t="s">
        <v>24</v>
      </c>
      <c r="B39" s="171">
        <f t="shared" si="31"/>
        <v>2030</v>
      </c>
      <c r="C39" s="98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359533.67866973061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25">
      <c r="A40" s="171" t="s">
        <v>24</v>
      </c>
      <c r="B40" s="171">
        <f t="shared" si="31"/>
        <v>2030</v>
      </c>
      <c r="C40" s="76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1198152.1265894875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25">
      <c r="A41" s="171" t="s">
        <v>24</v>
      </c>
      <c r="B41" s="171">
        <f t="shared" si="31"/>
        <v>2030</v>
      </c>
      <c r="C41" s="76">
        <f>SUMIFS('Resultater - Østdanmark'!I$3:I$474,'Resultater - Østdanmark'!$F$3:$F$474,'CO2-udledning'!$D$2,'Resultater - Østdanmark'!$C$3:$C$474,'CO2-udledning'!$F5)</f>
        <v>111846.67809052247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25">
      <c r="A42" s="171" t="s">
        <v>24</v>
      </c>
      <c r="B42" s="171">
        <f t="shared" si="31"/>
        <v>2030</v>
      </c>
      <c r="C42" s="76">
        <f>SUMIFS('Resultater - Østdanmark'!I$3:I$474,'Resultater - Østdanmark'!$F$3:$F$474,'CO2-udledning'!$D$2,'Resultater - Østdanmark'!$C$3:$C$474,'CO2-udledning'!$F6)</f>
        <v>7.1104610596313274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25">
      <c r="A43" s="171" t="s">
        <v>24</v>
      </c>
      <c r="B43" s="171">
        <f t="shared" si="31"/>
        <v>2030</v>
      </c>
      <c r="C43" s="98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-674.70029884327505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25">
      <c r="A44" s="171" t="s">
        <v>24</v>
      </c>
      <c r="B44" s="171">
        <f t="shared" si="31"/>
        <v>2030</v>
      </c>
      <c r="C44" s="98">
        <f>SUMIFS('Resultater - Østdanmark'!I$3:I$474,'Resultater - Østdanmark'!$F$3:$F$474,'CO2-udledning'!$D$2,'Resultater - Østdanmark'!$A$3:$A$474,'CO2-udledning'!$G35)</f>
        <v>-335436.22053951514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25">
      <c r="A45" s="171" t="s">
        <v>24</v>
      </c>
      <c r="B45" s="171">
        <f t="shared" si="31"/>
        <v>2030</v>
      </c>
      <c r="C45" s="98">
        <f>SUMIFS('Resultater - Østdanmark'!I$3:I$474,'Resultater - Østdanmark'!$F$3:$F$474,'CO2-udledning'!$D$2,'Resultater - Østdanmark'!$A$3:$A$474,'CO2-udledning'!$G36)</f>
        <v>-27257.787268367691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25">
      <c r="A46" s="171" t="s">
        <v>24</v>
      </c>
      <c r="B46" s="171">
        <f t="shared" si="31"/>
        <v>2030</v>
      </c>
      <c r="C46" s="98">
        <f>SUMIFS('Resultater - Østdanmark'!I$3:I$474,'Resultater - Østdanmark'!$F$3:$F$474,'CO2-udledning'!$D$2,'Resultater - Østdanmark'!$A$3:$A$474,'CO2-udledning'!$G37)</f>
        <v>-258015.70560241287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25">
      <c r="A47" s="171" t="s">
        <v>24</v>
      </c>
      <c r="B47" s="171">
        <f t="shared" ref="B47:B55" si="41">År3</f>
        <v>2050</v>
      </c>
      <c r="C47" s="98">
        <f>SUMIF('Resultater - Østdanmark'!$F$3:$F$487,'CO2-udledning'!$D$2,'Resultater - Østdanmark'!J$3:J$487)</f>
        <v>206667.31041619612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25">
      <c r="A48" s="171" t="s">
        <v>24</v>
      </c>
      <c r="B48" s="171">
        <f t="shared" si="41"/>
        <v>2050</v>
      </c>
      <c r="C48" s="98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224630.18771214719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25">
      <c r="A49" s="171" t="s">
        <v>24</v>
      </c>
      <c r="B49" s="171">
        <f t="shared" si="41"/>
        <v>2050</v>
      </c>
      <c r="C49" s="76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1133079.0796839043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25">
      <c r="A50" s="171" t="s">
        <v>24</v>
      </c>
      <c r="B50" s="171">
        <f t="shared" si="41"/>
        <v>2050</v>
      </c>
      <c r="C50" s="76">
        <f>SUMIFS('Resultater - Østdanmark'!J$3:J$474,'Resultater - Østdanmark'!$F$3:$F$474,'CO2-udledning'!$D$2,'Resultater - Østdanmark'!$C$3:$C$474,'CO2-udledning'!$F5)</f>
        <v>2.8411999718285972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25">
      <c r="A51" s="171" t="s">
        <v>24</v>
      </c>
      <c r="B51" s="171">
        <f t="shared" si="41"/>
        <v>2050</v>
      </c>
      <c r="C51" s="76">
        <f>SUMIFS('Resultater - Østdanmark'!J$3:J$474,'Resultater - Østdanmark'!$F$3:$F$474,'CO2-udledning'!$D$2,'Resultater - Østdanmark'!$C$3:$C$474,'CO2-udledning'!$F6)</f>
        <v>7.1104610596313282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25">
      <c r="A52" s="171" t="s">
        <v>24</v>
      </c>
      <c r="B52" s="171">
        <f t="shared" si="41"/>
        <v>2050</v>
      </c>
      <c r="C52" s="98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-8067.9044826491263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25">
      <c r="A53" s="171" t="s">
        <v>24</v>
      </c>
      <c r="B53" s="171">
        <f t="shared" si="41"/>
        <v>2050</v>
      </c>
      <c r="C53" s="98">
        <f>SUMIFS('Resultater - Østdanmark'!J$3:J$474,'Resultater - Østdanmark'!$F$3:$F$474,'CO2-udledning'!$D$2,'Resultater - Østdanmark'!$A$3:$A$474,'CO2-udledning'!$G35)</f>
        <v>-660061.31834341818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25">
      <c r="A54" s="171" t="s">
        <v>24</v>
      </c>
      <c r="B54" s="171">
        <f t="shared" si="41"/>
        <v>2050</v>
      </c>
      <c r="C54" s="98">
        <f>SUMIFS('Resultater - Østdanmark'!J$3:J$474,'Resultater - Østdanmark'!$F$3:$F$474,'CO2-udledning'!$D$2,'Resultater - Østdanmark'!$A$3:$A$474,'CO2-udledning'!$G36)</f>
        <v>-21300.551270670971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25">
      <c r="A55" s="171" t="s">
        <v>24</v>
      </c>
      <c r="B55" s="171">
        <f t="shared" si="41"/>
        <v>2050</v>
      </c>
      <c r="C55" s="98">
        <f>SUMIFS('Resultater - Østdanmark'!J$3:J$474,'Resultater - Østdanmark'!$F$3:$F$474,'CO2-udledning'!$D$2,'Resultater - Østdanmark'!$A$3:$A$474,'CO2-udledning'!$G37)</f>
        <v>-461622.13454414881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972256.90230214107</v>
      </c>
      <c r="C6" s="98">
        <v>1327159.1732761196</v>
      </c>
      <c r="D6" s="98">
        <v>185260.28214531712</v>
      </c>
      <c r="E6" s="98">
        <v>17505210.447746005</v>
      </c>
      <c r="F6" s="98">
        <v>1991486.5691634244</v>
      </c>
      <c r="G6" s="98">
        <v>848084.29990278604</v>
      </c>
      <c r="H6" s="98">
        <v>2834177.1534986477</v>
      </c>
      <c r="I6" s="98">
        <v>6378219.6730499323</v>
      </c>
      <c r="J6" s="98">
        <v>5262273.3307195064</v>
      </c>
      <c r="K6" s="98">
        <v>1861865.4474307869</v>
      </c>
      <c r="L6" s="98">
        <v>174650.63022250982</v>
      </c>
      <c r="M6" s="98">
        <v>878488.59789206437</v>
      </c>
      <c r="N6" s="98">
        <v>893586.71854769241</v>
      </c>
      <c r="O6" s="98">
        <v>41112719.225896932</v>
      </c>
    </row>
    <row r="7" spans="1:15" x14ac:dyDescent="0.25">
      <c r="A7" s="78">
        <v>2050</v>
      </c>
      <c r="B7" s="98">
        <v>830174.78648201993</v>
      </c>
      <c r="C7" s="98">
        <v>1079479.3223754542</v>
      </c>
      <c r="D7" s="98">
        <v>158778.62508184306</v>
      </c>
      <c r="E7" s="98">
        <v>10850838.521382123</v>
      </c>
      <c r="F7" s="98">
        <v>1713471.2400562391</v>
      </c>
      <c r="G7" s="98">
        <v>709449.17746015533</v>
      </c>
      <c r="H7" s="98">
        <v>2382855.1724957675</v>
      </c>
      <c r="I7" s="98">
        <v>5343241.1278890474</v>
      </c>
      <c r="J7" s="98">
        <v>4366888.3180394787</v>
      </c>
      <c r="K7" s="98">
        <v>1558525.3424678326</v>
      </c>
      <c r="L7" s="98">
        <v>133081.08218496924</v>
      </c>
      <c r="M7" s="98">
        <v>745987.81080267346</v>
      </c>
      <c r="N7" s="98">
        <v>759797.39756999072</v>
      </c>
      <c r="O7" s="98">
        <v>30632567.924287595</v>
      </c>
    </row>
    <row r="8" spans="1:15" x14ac:dyDescent="0.25">
      <c r="A8" s="78" t="s">
        <v>61</v>
      </c>
      <c r="B8" s="98">
        <v>2087557.7907688399</v>
      </c>
      <c r="C8" s="98">
        <v>3909196.5312597882</v>
      </c>
      <c r="D8" s="98">
        <v>385766.79711993167</v>
      </c>
      <c r="E8" s="98">
        <v>46299487.66469831</v>
      </c>
      <c r="F8" s="98">
        <v>3985567.2306726081</v>
      </c>
      <c r="G8" s="98">
        <v>2469108.1198480078</v>
      </c>
      <c r="H8" s="98">
        <v>7479351.1666279826</v>
      </c>
      <c r="I8" s="98">
        <v>20831248.770383395</v>
      </c>
      <c r="J8" s="98">
        <v>17576856.942605726</v>
      </c>
      <c r="K8" s="98">
        <v>5425492.9612993961</v>
      </c>
      <c r="L8" s="98">
        <v>517514.09980247903</v>
      </c>
      <c r="M8" s="98">
        <v>2302884.2259731684</v>
      </c>
      <c r="N8" s="98">
        <v>4282807.2521042535</v>
      </c>
      <c r="O8" s="98">
        <v>117552839.55316389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7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7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7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7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7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7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7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7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7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7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7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7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7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7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4836920.0011490174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7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735284.33485275437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7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663977.87373411702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7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13481475.447011745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7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1502657.2310032574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7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2153496.967481425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7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668679.49055744556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7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4026803.5120526911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7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139807.2046539399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7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1412647.5447842737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7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1001970.2375971108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7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644035.8493924035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7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134802.2173997864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7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3920720.3662957777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7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609158.83584090974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7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547384.79935736058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7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7962057.7199019091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7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1257296.7096095001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7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1748472.631855153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7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557517.61958207632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7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3204301.4084430053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7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116507.263767978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7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1143602.1995332621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7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792091.46065631567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7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520573.94312179892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7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97651.319921337825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7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7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7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7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7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7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7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7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7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7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7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7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7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7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1541299.6719009152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7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236972.56744938664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7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214510.72415794732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7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4023735.0007342594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7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488829.33816016692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7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680680.18601722247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7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224907.22799024681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7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1235469.8186668158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7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45453.077491377226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7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449217.90264651313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7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325188.93567900889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7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204048.45051038259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7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39848.41282272341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7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1422520.7615932694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7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221015.95064111016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7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198603.01144531288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7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2888780.8014802146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7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456174.53044673882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7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634382.54064061423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7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202279.77798791436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7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1162586.9095964739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7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42271.361313865054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7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414923.14293457061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7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287387.86171913851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7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188875.23433835641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7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35429.762263631419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39">
        <v>3010238.4923246857</v>
      </c>
      <c r="C6" s="239">
        <v>827693.20492220437</v>
      </c>
      <c r="D6" s="239">
        <v>3837931.69724689</v>
      </c>
    </row>
    <row r="7" spans="1:4" x14ac:dyDescent="0.25">
      <c r="A7" s="78">
        <v>2030</v>
      </c>
      <c r="B7" s="239">
        <v>2874812.4442172255</v>
      </c>
      <c r="C7" s="239">
        <v>792049.6289698272</v>
      </c>
      <c r="D7" s="239">
        <v>3666862.0731870527</v>
      </c>
    </row>
    <row r="8" spans="1:4" x14ac:dyDescent="0.25">
      <c r="A8" s="78">
        <v>2050</v>
      </c>
      <c r="B8" s="239">
        <v>2977033.0999848829</v>
      </c>
      <c r="C8" s="239">
        <v>870579.42418129975</v>
      </c>
      <c r="D8" s="239">
        <v>3847612.5241661826</v>
      </c>
    </row>
    <row r="9" spans="1:4" x14ac:dyDescent="0.25">
      <c r="A9" s="78" t="s">
        <v>61</v>
      </c>
      <c r="B9" s="239">
        <v>8862084.0365267936</v>
      </c>
      <c r="C9" s="239">
        <v>2490322.2580733313</v>
      </c>
      <c r="D9" s="239">
        <v>11352406.294600125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39">
        <v>880.09999999999991</v>
      </c>
      <c r="C6" s="239">
        <v>76.5</v>
      </c>
      <c r="D6" s="239">
        <v>956.59999999999991</v>
      </c>
    </row>
    <row r="7" spans="1:4" x14ac:dyDescent="0.25">
      <c r="A7" s="78">
        <v>2030</v>
      </c>
      <c r="B7" s="239">
        <v>148232.6739623498</v>
      </c>
      <c r="C7" s="239">
        <v>14400</v>
      </c>
      <c r="D7" s="239">
        <v>162632.6739623498</v>
      </c>
    </row>
    <row r="8" spans="1:4" x14ac:dyDescent="0.25">
      <c r="A8" s="78">
        <v>2050</v>
      </c>
      <c r="B8" s="239">
        <v>243411.82603765032</v>
      </c>
      <c r="C8" s="239">
        <v>18000</v>
      </c>
      <c r="D8" s="239">
        <v>261411.82603765032</v>
      </c>
    </row>
    <row r="9" spans="1:4" x14ac:dyDescent="0.25">
      <c r="A9" s="78" t="s">
        <v>61</v>
      </c>
      <c r="B9" s="239">
        <v>392524.60000000009</v>
      </c>
      <c r="C9" s="239">
        <v>32476.5</v>
      </c>
      <c r="D9" s="239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39">
        <v>65860</v>
      </c>
      <c r="C5" s="239">
        <v>591230</v>
      </c>
      <c r="D5" s="239">
        <v>2578370</v>
      </c>
      <c r="E5" s="239">
        <v>472920</v>
      </c>
      <c r="F5" s="239">
        <v>561900</v>
      </c>
      <c r="G5" s="239">
        <v>4270280</v>
      </c>
    </row>
    <row r="6" spans="1:7" x14ac:dyDescent="0.25">
      <c r="A6" s="78">
        <v>2030</v>
      </c>
      <c r="B6" s="239">
        <v>65860</v>
      </c>
      <c r="C6" s="239">
        <v>591230</v>
      </c>
      <c r="D6" s="239">
        <v>2228369.9999999995</v>
      </c>
      <c r="E6" s="239">
        <v>572920</v>
      </c>
      <c r="F6" s="239">
        <v>811900</v>
      </c>
      <c r="G6" s="239">
        <v>4270280</v>
      </c>
    </row>
    <row r="7" spans="1:7" x14ac:dyDescent="0.25">
      <c r="A7" s="78">
        <v>2050</v>
      </c>
      <c r="B7" s="239">
        <v>65860</v>
      </c>
      <c r="C7" s="239">
        <v>591230</v>
      </c>
      <c r="D7" s="239">
        <v>1886540</v>
      </c>
      <c r="E7" s="239">
        <v>651650.00000000012</v>
      </c>
      <c r="F7" s="239">
        <v>1075000</v>
      </c>
      <c r="G7" s="239">
        <v>4270280</v>
      </c>
    </row>
    <row r="8" spans="1:7" x14ac:dyDescent="0.25">
      <c r="A8" s="78" t="s">
        <v>61</v>
      </c>
      <c r="B8" s="239">
        <v>197580</v>
      </c>
      <c r="C8" s="239">
        <v>1773690</v>
      </c>
      <c r="D8" s="239">
        <v>6693280</v>
      </c>
      <c r="E8" s="239">
        <v>1697490</v>
      </c>
      <c r="F8" s="239">
        <v>2448800</v>
      </c>
      <c r="G8" s="239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39">
        <v>76853.212866422313</v>
      </c>
      <c r="C6" s="239">
        <v>5114.7808931059071</v>
      </c>
      <c r="D6" s="239">
        <v>288931.41565564787</v>
      </c>
      <c r="E6" s="239">
        <v>12752.078568827996</v>
      </c>
      <c r="F6" s="239">
        <v>18942.69646674622</v>
      </c>
      <c r="G6" s="239">
        <v>55075.520801981496</v>
      </c>
      <c r="H6" s="239">
        <v>1337821.3326830014</v>
      </c>
      <c r="I6" s="239">
        <v>180140.67588310441</v>
      </c>
      <c r="J6" s="239">
        <v>69938.636069140397</v>
      </c>
      <c r="K6" s="239">
        <v>161431.62233269325</v>
      </c>
      <c r="L6" s="239">
        <v>33966.356863719026</v>
      </c>
      <c r="M6" s="239">
        <v>221005.01507630604</v>
      </c>
      <c r="N6" s="239">
        <v>8579.6273865744097</v>
      </c>
      <c r="O6" s="239">
        <v>107817.02845272887</v>
      </c>
      <c r="P6" s="239">
        <v>2578370</v>
      </c>
    </row>
    <row r="7" spans="1:16" x14ac:dyDescent="0.25">
      <c r="A7" s="78">
        <v>2030</v>
      </c>
      <c r="B7" s="239">
        <v>249070.41145368534</v>
      </c>
      <c r="C7" s="239">
        <v>21590.944766009088</v>
      </c>
      <c r="D7" s="239">
        <v>298013.90675097884</v>
      </c>
      <c r="E7" s="239">
        <v>86085.718291457015</v>
      </c>
      <c r="F7" s="239">
        <v>16716.162692950904</v>
      </c>
      <c r="G7" s="239">
        <v>65820.275689989794</v>
      </c>
      <c r="H7" s="239">
        <v>883591.45920908672</v>
      </c>
      <c r="I7" s="239">
        <v>111977.52639575016</v>
      </c>
      <c r="J7" s="239">
        <v>61589.234291461878</v>
      </c>
      <c r="K7" s="239">
        <v>197847.00478896068</v>
      </c>
      <c r="L7" s="239">
        <v>10867.259065585897</v>
      </c>
      <c r="M7" s="239">
        <v>126838.32883502003</v>
      </c>
      <c r="N7" s="239">
        <v>6954.7525926161206</v>
      </c>
      <c r="O7" s="239">
        <v>91124.170336585928</v>
      </c>
      <c r="P7" s="239">
        <v>2228087.1551601388</v>
      </c>
    </row>
    <row r="8" spans="1:16" x14ac:dyDescent="0.25">
      <c r="A8" s="78">
        <v>2050</v>
      </c>
      <c r="B8" s="239">
        <v>216951.70801995497</v>
      </c>
      <c r="C8" s="239">
        <v>18865.364198504856</v>
      </c>
      <c r="D8" s="239">
        <v>160356.6559175018</v>
      </c>
      <c r="E8" s="239">
        <v>75461.443395327253</v>
      </c>
      <c r="F8" s="239">
        <v>14313.043935558482</v>
      </c>
      <c r="G8" s="239">
        <v>56596.151034252514</v>
      </c>
      <c r="H8" s="239">
        <v>754615.39892948361</v>
      </c>
      <c r="I8" s="239">
        <v>94326.964105956184</v>
      </c>
      <c r="J8" s="239">
        <v>52763.968072249161</v>
      </c>
      <c r="K8" s="239">
        <v>171674.86292287466</v>
      </c>
      <c r="L8" s="239">
        <v>9432.6844828219237</v>
      </c>
      <c r="M8" s="239">
        <v>179222.0901799573</v>
      </c>
      <c r="N8" s="239">
        <v>5504.0224764256391</v>
      </c>
      <c r="O8" s="239">
        <v>76207.415665262117</v>
      </c>
      <c r="P8" s="239">
        <v>1886291.7733361307</v>
      </c>
    </row>
    <row r="9" spans="1:16" x14ac:dyDescent="0.25">
      <c r="A9" s="78" t="s">
        <v>61</v>
      </c>
      <c r="B9" s="239">
        <v>542875.3323400626</v>
      </c>
      <c r="C9" s="239">
        <v>45571.089857619852</v>
      </c>
      <c r="D9" s="239">
        <v>747301.97832412855</v>
      </c>
      <c r="E9" s="239">
        <v>174299.24025561227</v>
      </c>
      <c r="F9" s="239">
        <v>49971.903095255606</v>
      </c>
      <c r="G9" s="239">
        <v>177491.94752622381</v>
      </c>
      <c r="H9" s="239">
        <v>2976028.1908215717</v>
      </c>
      <c r="I9" s="239">
        <v>386445.16638481076</v>
      </c>
      <c r="J9" s="239">
        <v>184291.83843285142</v>
      </c>
      <c r="K9" s="239">
        <v>530953.49004452862</v>
      </c>
      <c r="L9" s="239">
        <v>54266.300412126846</v>
      </c>
      <c r="M9" s="239">
        <v>527065.43409128336</v>
      </c>
      <c r="N9" s="239">
        <v>21038.402455616168</v>
      </c>
      <c r="O9" s="239">
        <v>275148.61445457692</v>
      </c>
      <c r="P9" s="239">
        <v>6692748.9284962695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1621788.8908663751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660346.70696377289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71071.913970687048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75166.592141837755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1.8054136557038873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116447.37537965109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1384286.7244577005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897848.87337244744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1.8054136557038873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146236.7006988691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1.8054136557038873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116447.37537965109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527847.10913362482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151553.29303622711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7660.0860293129354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8101.4078581622398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0.19458634428974619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12550.624620348905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502249.27554229938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177151.12662755256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0.19458634429065569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15761.299301130884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0.19458634428974619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12550.624620348905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8065001.0864567999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4825776.8190355003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548590.27160400525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528953.31354319979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561138.95623976586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3933584.0832407586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1736185.6747403902</v>
      </c>
      <c r="J16" s="76">
        <f t="shared" si="2"/>
        <v>1736185.6747403902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161327.44991893266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622723.95668708009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249997.45289925087</v>
      </c>
      <c r="J17" s="76">
        <f t="shared" si="2"/>
        <v>249997.45289925087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545444.68096449983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127659.1125445467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561700.09519600554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405687.89375531499</v>
      </c>
      <c r="J18" s="76">
        <f t="shared" si="2"/>
        <v>405687.89375531499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147641.72839599467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182370.16077792388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9049207.377800582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9049207.377800582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56113.895623976576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1164363.334197514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1164363.334197514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42085.421717982426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1787405.7149748409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1787405.7149748409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7014.236952997072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569932.92495695606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569932.92495695606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70142.369529970732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3122036.8677789979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3122036.8677789979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14028.473905994144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119101.74346189029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119101.74346189029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39235.776034734517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1169066.9662307997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1169066.9662307997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56668.45145378921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809727.61227932072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181905.72916666337</v>
      </c>
      <c r="J26" s="76">
        <f t="shared" si="2"/>
        <v>181905.72916666337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10643.311931460419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532165.59657302103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532165.59657302103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4092.8205610553005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99824.891733056109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99824.891733056109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70142.369529970732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967263.27581829659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967263.27581829659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456814.61907104118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3202270.4796879985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1743636.2761901156</v>
      </c>
      <c r="J30" s="76">
        <f t="shared" si="2"/>
        <v>1743636.2761901156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131334.20298292433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506950.02351408789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251070.28250042663</v>
      </c>
      <c r="J31" s="76">
        <f t="shared" si="2"/>
        <v>251070.28250042663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103925.32583866185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457271.4336901122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407428.84741789004</v>
      </c>
      <c r="J32" s="76">
        <f t="shared" si="2"/>
        <v>407428.84741789004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97073.106552596262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4816767.5471398262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4816767.5471398262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45681.461907104116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947890.33457241044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947890.33457241044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34261.096430328085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1455099.5822552568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1455099.5822552568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5710.1827383880145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463973.65414603503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463973.65414603503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57101.827383880147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2541602.3368565058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2541602.3368565058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11420.365476776029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96958.902897828491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96958.902897828491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31941.243579612597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951719.4892793555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951719.4892793555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46132.91730390468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659186.8317847302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182686.35252346256</v>
      </c>
      <c r="J40" s="76">
        <f t="shared" si="2"/>
        <v>182686.35252346256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8664.5570255986549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433227.85127993277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433227.85127993277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3331.9024543463102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81265.913520641712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81265.913520641712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108493.47202937228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1496124.9792850439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1496124.9792850439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87576.600106784259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411321.01772153366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181546.81419684191</v>
      </c>
      <c r="J58" s="76">
        <f t="shared" si="2"/>
        <v>181546.81419684191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25178.272530700477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55397.235222047188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22239.657804158789</v>
      </c>
      <c r="J59" s="76">
        <f t="shared" si="2"/>
        <v>22239.657804158789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19923.67652429342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48215.297188790079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34823.498394603637</v>
      </c>
      <c r="J60" s="76">
        <f t="shared" si="2"/>
        <v>34823.498394603637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28462.395034704889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1101597.1524652042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1101597.1524652042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8757.6600106784263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103581.2237762991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103581.2237762991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6568.2450080088183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159006.78585816649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159006.78585816649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1094.7075013348033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50700.969451373152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50700.969451373152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10947.075013348032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404421.07634062041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404421.07634062041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2189.4150026696066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10595.236022419027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10595.236022419027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6123.5026181377571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103999.65670689021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103999.65670689021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8844.2091864295289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72032.993947854004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16182.249548410109</v>
      </c>
      <c r="J68" s="76">
        <f t="shared" si="2"/>
        <v>16182.249548410109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1661.0949257192565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47341.205382998807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47341.205382998807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638.76390259244579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8880.3762067730258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8880.3762067730258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10947.075013348032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150960.16443406939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150960.16443406939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96900.070712039029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455110.56211323367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247807.70107065581</v>
      </c>
      <c r="J72" s="76">
        <f t="shared" ref="J72:J139" si="15">IF(I72&lt;&gt;0,I72,H72)</f>
        <v>247807.70107065581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27858.770329711224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61294.866479430631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30356.67961141522</v>
      </c>
      <c r="J73" s="76">
        <f t="shared" si="15"/>
        <v>30356.67961141522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22044.766086988879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53348.333930513094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47533.365532087177</v>
      </c>
      <c r="J74" s="76">
        <f t="shared" si="15"/>
        <v>47533.365532087177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20591.265026308294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796956.08507222577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796956.08507222577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9690.0070712039033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114608.55863466416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114608.55863466416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7267.505303402927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175934.76767268102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175934.76767268102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1211.2508839004879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56098.632728566059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56098.632728566059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12112.508839004879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447476.0477920089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447476.0477920089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2422.5017678009758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11723.212804919262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11723.212804919262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6775.4153047663094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115071.53824923116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115071.53824923116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9785.7703371919033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79701.680570335564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22088.440805109567</v>
      </c>
      <c r="J82" s="76">
        <f t="shared" si="15"/>
        <v>22088.440805109567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1837.9363387633509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52381.1856547555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52381.1856547555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706.76718728558092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9825.7877256775901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9825.7877256775901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23013.766794109266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317359.8440907668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317359.8440907668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17988.68709801232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151320.83586847963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66789.233931450202</v>
      </c>
      <c r="J100" s="76">
        <f t="shared" si="15"/>
        <v>66789.233931450202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1542.0658644465243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7142.8490841163002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2867.5532044291281</v>
      </c>
      <c r="J101" s="76">
        <f t="shared" si="15"/>
        <v>2867.5532044291281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1651.2179103063932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8718.4305664177573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6296.8864765952239</v>
      </c>
      <c r="J102" s="76">
        <f t="shared" si="15"/>
        <v>6296.8864765952239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15238.021720870902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907332.76534753689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907332.76534753689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71.268800751408534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1774.5931387100727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1774.5931387100727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1125.1496418632635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57343.340795151846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57343.340795151846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29.518660249897398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2878.2015474705927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2878.2015474705927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3810.4154462517859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203521.90981520037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203521.90981520037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64.91370276951497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661.34080381581862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661.34080381581862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1148.0573462747577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41048.942200513149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41048.942200513149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2833.7440917610315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48589.16970625348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10915.582241463493</v>
      </c>
      <c r="J110" s="76">
        <f t="shared" si="15"/>
        <v>10915.582241463493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325.57753513414758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19534.652108048856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19534.652108048856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534.71836671684468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15650.293660005213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15650.293660005213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15113.849399235503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250103.97985854914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250103.97985854914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0.43582889538516162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3.6661926679799794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1.9962419077150988</v>
      </c>
      <c r="J114" s="76">
        <f t="shared" si="15"/>
        <v>1.9962419077150988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3.7361084700125495E-2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0.1730565443309813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8.5707374412459486E-2</v>
      </c>
      <c r="J115" s="76">
        <f t="shared" si="15"/>
        <v>8.5707374412459486E-2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4.0005614304589723E-2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0.21122964352823376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0.1882056123836563</v>
      </c>
      <c r="J116" s="76">
        <f t="shared" si="15"/>
        <v>0.1882056123836563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0.36918592992793164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21.982807011628761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21.982807011628761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1.7266964808312041E-3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4.2994742372696987E-2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4.2994742372696987E-2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2.7260061998102159E-2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1.3893112232302602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1.3893112232302602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7.1517643393687155E-4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6.9732904591384981E-2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6.9732904591384981E-2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9.2318530299077425E-2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4.9309173403343243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4.9309173403343243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1.5727255257291396E-3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1.6022927656128474E-2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1.6022927656128474E-2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2.7815068567234969E-2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0.99453145404679411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0.99453145404679411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6.8655791864482674E-2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1.1772156603412456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0.32625232294002171</v>
      </c>
      <c r="J124" s="76">
        <f t="shared" si="15"/>
        <v>0.32625232294002171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7.888074139408327E-3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0.47328444836449962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0.47328444836449962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1.2955126399086169E-2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0.37917443119276595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0.37917443119276595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0.36617748993000948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6.059505103361797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6.059505103361797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2807.4829574932523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15823.086247750271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6983.9146926007761</v>
      </c>
      <c r="J142" s="76">
        <f t="shared" si="29"/>
        <v>6983.9146926007761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240.66923895986218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635.42455147138662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255.09620702985131</v>
      </c>
      <c r="J143" s="76">
        <f t="shared" si="29"/>
        <v>255.09620702985131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257.704529354177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748.37395324453018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540.51308773086191</v>
      </c>
      <c r="J144" s="76">
        <f t="shared" si="29"/>
        <v>540.51308773086191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2378.1883610607765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110453.34126138227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110453.34126138227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11.122876417849888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157.86698499854344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157.86698499854344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175.60138919253245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5101.237079984895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5101.237079984895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4.6069585361111542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256.04347870273068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256.04347870273068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594.6891158890071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26363.734098026827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26363.734098026827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10.131040316629504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58.832572085118187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58.832572085118187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179.17658005444198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3651.6949159878468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3651.6949159878468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442.26063859854253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4322.4700680880987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971.04514853250407</v>
      </c>
      <c r="J152" s="76">
        <f t="shared" si="29"/>
        <v>971.04514853250407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50.812678893768705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1737.7936181668899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1737.7936181668899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83.453155499160744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1392.2428868640475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1392.2428868640475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2358.8088657766393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39033.569110871831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39033.569110871831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9.2448553566549435E-2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0.52104374584321522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0.28370831961163073</v>
      </c>
      <c r="J156" s="76">
        <f t="shared" si="29"/>
        <v>0.28370831961163073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7.9250785727538933E-3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2.0924109450927736E-2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1.0362800724415557E-2</v>
      </c>
      <c r="J157" s="76">
        <f t="shared" si="29"/>
        <v>1.0362800724415557E-2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8.4860393979432746E-3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2.464345841162727E-2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2.1957321444759904E-2</v>
      </c>
      <c r="J158" s="76">
        <f t="shared" si="29"/>
        <v>2.1957321444759904E-2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7.8312166954409748E-2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3.6371553419240317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3.6371553419240317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3.6626895047934632E-4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5.1984552141533628E-3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5.1984552141533628E-3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5.7824373935368217E-3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0.16798035699056785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0.16798035699056785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1.5170409204721518E-4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8.4313421005947301E-3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8.4313421005947301E-3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1.9582718548289149E-2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0.86814029537401272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0.86814029537401272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3.3360844485163561E-4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1.9373176166046242E-3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1.9373176166046242E-3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5.9001660597165087E-3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0.1202478939892942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0.1202478939892942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1.4563349789435716E-2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0.14233607529580511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3.9446871773657161E-2</v>
      </c>
      <c r="J166" s="76">
        <f t="shared" si="29"/>
        <v>3.9446871773657161E-2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1.6732278477532812E-3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5.722439239316221E-2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5.722439239316221E-2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2.7480571149576727E-3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4.584563577148898E-2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4.584563577148898E-2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7.7674013015456553E-2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1.2853495673797752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1.2853495673797752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0.29674680641973877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2.9122731582033161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1.285404565201989</v>
      </c>
      <c r="J184" s="76">
        <f t="shared" si="29"/>
        <v>1.285404565201989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1.7086450333499009E-2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9.2335177602228646E-2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3.7068686639843931E-2</v>
      </c>
      <c r="J185" s="76">
        <f t="shared" si="29"/>
        <v>3.7068686639843931E-2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2.2126179468366147E-2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0.13629726552513546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9.8440700025529099E-2</v>
      </c>
      <c r="J186" s="76">
        <f t="shared" si="29"/>
        <v>9.8440700025529099E-2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0.51029954485989426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35.44948878232713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35.44948878232713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5.9312754358377721E-4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1.7230355141108728E-2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1.7230355141108728E-2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3.1394414813143305E-2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1.8666886496674167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1.8666886496674167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3.3950117003646611E-4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3.8620031605222829E-2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3.8620031605222829E-2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4.2220294070089238E-2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2.6309154046835412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2.6309154046835412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1.2099053290264164E-3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1.4380934740807986E-2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1.4380934740807986E-2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2.1398266344745977E-2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0.89261414925364546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0.89261414925364546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6.8082129291564208E-2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1.3619424919198089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0.3059610890362896</v>
      </c>
      <c r="J194" s="76">
        <f t="shared" si="29"/>
        <v>0.3059610890362896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6.0683334637179846E-3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0.42478334246025895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0.42478334246025895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1.4324445842879414E-2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0.48912741902515072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0.48912741902515072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0.52979341323357754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10.228191635887448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10.228191635887448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0.28302441074714974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2.7776015670725269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1.5124040532709913</v>
      </c>
      <c r="J198" s="76">
        <f t="shared" si="29"/>
        <v>1.5124040532709913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1.6296325462585758E-2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8.8065342799813429E-2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4.3614931392998796E-2</v>
      </c>
      <c r="J199" s="76">
        <f t="shared" si="29"/>
        <v>4.3614931392998796E-2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2.1103003539193144E-2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0.12999450180142977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0.11582510110507394</v>
      </c>
      <c r="J200" s="76">
        <f t="shared" si="29"/>
        <v>0.11582510110507394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0.48670187804556381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33.810206064069227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33.810206064069227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5.6569968029666602E-4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1.6433575712618147E-2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1.6433575712618147E-2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2.9942649966292749E-2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1.780367787255051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1.780367787255051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3.2380169396541565E-4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3.6834134189952412E-2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3.6834134189952412E-2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4.0267910529275863E-2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2.5092545767212968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2.5092545767212968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1.1539559496494725E-3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1.3715920417533629E-2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1.3715920417533629E-2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2.040875113805252E-2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0.85133719437486421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0.85133719437486421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6.4933822734728863E-2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1.2989624922934593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0.35999311324133687</v>
      </c>
      <c r="J208" s="76">
        <f t="shared" si="29"/>
        <v>0.35999311324133687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5.7877168873610831E-3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0.4051401821152758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0.4051401821152758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1.3662043722977473E-2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0.4665088100528893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0.4665088100528893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0.50529429585861441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9.7552116758464091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9.7552116758464091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4.6313085394988143E-2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0.30452613544449708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0.13441022303181491</v>
      </c>
      <c r="J226" s="76">
        <f t="shared" si="42"/>
        <v>0.13441022303181491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2.6666714393322154E-3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8.2140947011462347E-3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3.2976132218913178E-3</v>
      </c>
      <c r="J227" s="76">
        <f t="shared" si="42"/>
        <v>3.2976132218913178E-3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3.4532187609588785E-3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1.1699505162128679E-2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8.4499676033474407E-3</v>
      </c>
      <c r="J228" s="76">
        <f t="shared" si="42"/>
        <v>8.4499676033474407E-3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7.9642125498364996E-2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4.3154117558139271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4.3154117558139271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9.2569038593999904E-5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1.5328044255587476E-3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1.5328044255587476E-3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4.8997063581206323E-3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0.16605975906578929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0.16605975906578929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5.2985731739795291E-5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3.4356201526264695E-3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3.4356201526264695E-3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6.5892944502451414E-3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0.34080239432923787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0.34080239432923787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1.8882915539718639E-4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1.2793213043990458E-3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1.2793213043990458E-3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3.3396138225904128E-3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7.940654194805552E-2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7.940654194805552E-2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1.0625534629319271E-2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0.12115777428118996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2.721815699577166E-2</v>
      </c>
      <c r="J236" s="76">
        <f t="shared" si="42"/>
        <v>2.721815699577166E-2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9.4708094520454093E-4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3.778852971366118E-2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3.778852971366118E-2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2.2356071546690416E-3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4.3512549010387688E-2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4.3512549010387688E-2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8.2684521140500539E-2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1.5963073651385034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1.5963073651385034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6.0035481067577209E-2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0.39475610150212581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0.21494469726790755</v>
      </c>
      <c r="J240" s="76">
        <f t="shared" si="42"/>
        <v>0.21494469726790755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3.4567963102454641E-3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1.06479005385229E-2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5.2734417047898552E-3</v>
      </c>
      <c r="J241" s="76">
        <f t="shared" si="42"/>
        <v>5.2734417047898552E-3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4.4763946901318786E-3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1.5166025210166807E-2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1.3512928462258628E-2</v>
      </c>
      <c r="J242" s="76">
        <f t="shared" si="42"/>
        <v>1.3512928462258628E-2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0.10323979231269535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5.5940522760550913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5.5940522760550913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1.1999690188111097E-4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1.9869686997983755E-3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1.9869686997983755E-3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6.3514712049711885E-3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0.21526265064083791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0.21526265064083791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6.8685207810845745E-5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4.4535816793306099E-3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4.4535816793306099E-3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8.5416779910585158E-3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0.4417808815379009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0.4417808815379009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2.4477853477413049E-4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1.6583794686654296E-3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1.6583794686654296E-3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4.329129029283868E-3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0.10293440622896084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0.10293440622896084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1.3773841186154611E-2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0.15705637406820919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4.3526440055543465E-2</v>
      </c>
      <c r="J250" s="76">
        <f t="shared" si="42"/>
        <v>4.3526440055543465E-2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1.2276975215614421E-3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4.8985131110301533E-2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4.8985131110301533E-2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2.8980092745709792E-3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5.6405156124576618E-2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5.6405156124576618E-2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0.10718363851546366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2.0692873251795416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2.0692873251795416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182635.09976023421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1280272.0493192419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565080.07576828043</v>
      </c>
      <c r="J268" s="76">
        <f t="shared" si="42"/>
        <v>565080.07576828043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52507.591181067335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202679.30195891994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81367.207252939435</v>
      </c>
      <c r="J269" s="76">
        <f t="shared" si="42"/>
        <v>81367.207252939435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41549.485195453271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182817.73485999441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132040.10900263098</v>
      </c>
      <c r="J270" s="76">
        <f t="shared" si="42"/>
        <v>132040.10900263098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59356.407422076118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2945264.936283417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2945264.936283417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18263.509976023419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378967.83200248599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378967.83200248599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13697.632482017563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581750.77213309507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581750.77213309507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2282.9387470029274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185497.2916221483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185497.2916221483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22829.387470029276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1016136.0362910032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1016136.0362910032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4565.8774940058547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38764.299924109706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38764.299924109706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12770.152188849457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380498.73320990009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380498.73320990009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18444.002451504257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263543.78287730424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59205.247869328668</v>
      </c>
      <c r="J278" s="76">
        <f t="shared" si="55"/>
        <v>59205.247869328668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3464.1015648020552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173205.07824010277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173205.07824010277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1332.0990873242467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32490.221642054799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32490.221642054799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22829.387470029276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314817.25321170373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314817.25321170373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165742.2609289588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1161853.2491120012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632629.0941414847</v>
      </c>
      <c r="J282" s="76">
        <f t="shared" si="55"/>
        <v>632629.0941414847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47650.900017075655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183932.47406591204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91093.749053643376</v>
      </c>
      <c r="J283" s="76">
        <f t="shared" si="55"/>
        <v>91093.749053643376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37706.364361338121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165908.00318988774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147824.03084219</v>
      </c>
      <c r="J284" s="76">
        <f t="shared" si="55"/>
        <v>147824.03084219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35220.230447403745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1747627.8348001738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1747627.8348001738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16574.226092895879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343915.19142758951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343915.19142758951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12430.669569671909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527941.71764950489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527941.71764950489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2071.7782616119848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168339.7142718753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168339.7142718753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20717.78261611985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922148.50424349459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922148.50424349459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4143.5565232239696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35178.794882171504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35178.794882171504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11588.976593028619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345304.49188357411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345304.49188357411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16738.023911640095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239167.29306250089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66282.574690094785</v>
      </c>
      <c r="J292" s="76">
        <f t="shared" si="55"/>
        <v>66282.574690094785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3143.6893904380149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157184.46952190076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157184.46952190076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1208.8865437387055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29485.037652163552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29485.037652163552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39363.786970627712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542826.62232495623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542826.62232495623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28503.743893215742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133873.53394326637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59088.431044209217</v>
      </c>
      <c r="J310" s="76">
        <f t="shared" si="55"/>
        <v>59088.431044209217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8194.826369299526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18030.256977732817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7238.3891307672693</v>
      </c>
      <c r="J311" s="76">
        <f t="shared" si="55"/>
        <v>7238.3891307672693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6484.6017357065812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15692.736200409927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11334.078720746074</v>
      </c>
      <c r="J312" s="76">
        <f t="shared" si="55"/>
        <v>11334.078720746074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9263.7167652951175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358539.18819727615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358539.18819727615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2850.3743893215742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33712.803089700916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33712.803089700916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2137.7807919911802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51752.27967126204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51752.27967126204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356.29679866519677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16501.753283611917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16501.753283611917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3562.9679866519677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131627.79522127967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131627.79522127967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712.59359733039355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3448.4541955609734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3448.4541955609734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1993.0295323637881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33848.991353181285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33848.991353181285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2878.5437352058666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23444.733054807584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5266.8714723061748</v>
      </c>
      <c r="J320" s="76">
        <f t="shared" si="55"/>
        <v>5266.8714723061748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540.64012861072547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15408.243665405678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15408.243665405678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207.89985755927555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2890.3150928972454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2890.3150928972454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3562.9679866519677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49133.328535930639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49133.328535930639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35157.449287960953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165123.99207076619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89910.013682532212</v>
      </c>
      <c r="J324" s="76">
        <f t="shared" si="55"/>
        <v>89910.013682532212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10107.766670288775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22239.108227969366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11014.062385576879</v>
      </c>
      <c r="J325" s="76">
        <f t="shared" si="55"/>
        <v>11014.062385576879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7998.3197130111166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19355.933705486907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17246.136931588837</v>
      </c>
      <c r="J326" s="76">
        <f t="shared" si="55"/>
        <v>17246.136931588837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7470.957973691703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289152.9690305742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289152.9690305742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3515.7449287960953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41582.473145335818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41582.473145335818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2636.8086965970715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63832.953133985575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63832.953133985575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439.46811609951192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20353.801816508556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20353.801816508556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4394.6811609951192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162354.02453499101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162354.02453499101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878.93623219902383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4253.436108480736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4253.436108480736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2458.2677621575858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41750.452200468506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41750.452200468506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3550.4899206509294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28917.499979375105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8014.1658488932781</v>
      </c>
      <c r="J334" s="76">
        <f t="shared" si="55"/>
        <v>8014.1658488932781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666.84320403230618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19005.031314920725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19005.031314920725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256.43047897487696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3565.0090979434117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3565.0090979434117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8349.8942058907251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115145.04109923312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115145.04109923312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2543.5266161074505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21396.145894695874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9443.7238942713921</v>
      </c>
      <c r="J352" s="76">
        <f t="shared" si="60"/>
        <v>9443.7238942713921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68.781025480452769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318.59371002545726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127.9019622752524</v>
      </c>
      <c r="J353" s="76">
        <f t="shared" si="60"/>
        <v>127.9019622752524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277.81730642917057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1466.8753779460208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1059.4507417215134</v>
      </c>
      <c r="J354" s="76">
        <f t="shared" si="60"/>
        <v>1059.4507417215134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816.89928733229783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48641.451164914346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48641.451164914346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15.471187824817051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385.23257683794458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385.23257683794458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26.302435262527187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1340.5057006495601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1340.5057006495601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73.48347036613049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7164.9673911620484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7164.9673911620484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78.344719162303662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4184.5481398969632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4184.5481398969632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16.900566419398675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172.18297068083373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172.18297068083373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120.67824120695344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4314.8664692035982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4314.8664692035982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876.11830838913772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15022.479020898631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3374.8077239149588</v>
      </c>
      <c r="J362" s="76">
        <f t="shared" si="60"/>
        <v>3374.8077239149588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26.483091404220694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1588.9854842532416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1588.9854842532416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56.207011126951372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1645.0832524961379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1645.0832524961379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1628.961148843877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26956.049091068475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26956.049091068475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6.1624419250252083E-2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0.51838461473312047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0.28226042272218416</v>
      </c>
      <c r="J366" s="76">
        <f t="shared" si="60"/>
        <v>0.28226042272218416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1.6664228020370887E-3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7.7188704190357948E-3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3.8228205677115386E-3</v>
      </c>
      <c r="J367" s="76">
        <f t="shared" si="60"/>
        <v>3.8228205677115386E-3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6.7309420148972078E-3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3.5539373838657261E-2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3.1665582090243616E-2</v>
      </c>
      <c r="J368" s="76">
        <f t="shared" si="60"/>
        <v>3.1665582090243616E-2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1.9791789812224642E-2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1.1784823325791041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1.1784823325791041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3.7483506513290803E-4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9.3333931218094104E-3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9.3333931218094104E-3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6.37253916533074E-4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3.2477696431815778E-2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3.2477696431815778E-2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1.7803533712322671E-3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0.17359242542665901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0.17359242542665901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1.8981314326050301E-3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0.10138299607829987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0.10138299607829987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4.094659690212412E-4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4.1716392923884056E-3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4.1716392923884056E-3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2.9237856145973122E-3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0.10454034120310714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0.10454034120310714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2.1226544910947009E-2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0.36396377356519294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0.10086854141682021</v>
      </c>
      <c r="J376" s="76">
        <f t="shared" si="60"/>
        <v>0.10086854141682021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6.4163084333437122E-4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3.8497850600062278E-2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3.8497850600062278E-2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1.3617802921958929E-3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3.9856984161831012E-2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3.9856984161831012E-2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3.9466378744780817E-2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0.65308963546863297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0.65308963546863297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396.96658170463104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2237.319533150569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987.49690894433229</v>
      </c>
      <c r="J394" s="76">
        <f t="shared" si="60"/>
        <v>987.49690894433229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10.734610913134247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28.341949117293566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11.37809941859037</v>
      </c>
      <c r="J395" s="76">
        <f t="shared" si="60"/>
        <v>11.37809941859037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43.358770367558421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125.91386914738968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90.941291991702187</v>
      </c>
      <c r="J396" s="76">
        <f t="shared" si="60"/>
        <v>90.941291991702187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127.4929523582199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5921.32347706992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5921.32347706992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2.4145784466477478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34.270111893271483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34.270111893271483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4.1050043473308326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119.25076724275564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119.25076724275564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11.468518496448112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637.39218583805734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637.39218583805734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12.227210505099418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542.05620702364729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542.05620702364729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2.6376606550506607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15.317317449583994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15.317317449583994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18.834176373339556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383.84852578637788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383.84852578637788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136.73522732084808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1336.3927868880339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300.22133451474684</v>
      </c>
      <c r="J404" s="76">
        <f t="shared" si="60"/>
        <v>300.22133451474684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4.1331992364968713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141.35541388819297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141.35541388819297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8.7721924880213127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146.34584540991651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146.34584540991651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254.23093074442014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4207.0134419586639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4207.0134419586639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1.3071846507629228E-2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7.3673449790858631E-2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4.0115193411122525E-2</v>
      </c>
      <c r="J408" s="76">
        <f t="shared" si="64"/>
        <v>4.0115193411122525E-2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3.5348362467453397E-4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9.3328160521069156E-4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4.6221375955057689E-4</v>
      </c>
      <c r="J409" s="76">
        <f t="shared" si="64"/>
        <v>4.6221375955057689E-4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1.4277755789175895E-3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4.1462602811766806E-3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3.6943179105284225E-3</v>
      </c>
      <c r="J410" s="76">
        <f t="shared" si="64"/>
        <v>3.6943179105284225E-3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4.1982584450173483E-3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0.19498525866308813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0.19498525866308813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7.9510468361525957E-5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1.1284920774551376E-3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1.1284920774551376E-3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1.351750732039854E-4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3.926848750392271E-3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3.926848750392271E-3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3.7765071510987484E-4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2.0988902347041496E-2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2.0988902347041496E-2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4.0263394024955173E-4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1.784955173378552E-2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1.784955173378552E-2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8.6856417671172357E-5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5.0438911444332531E-4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5.0438911444332531E-4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6.2019694855094509E-4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1.2639877618193865E-2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1.2639877618193865E-2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4.5026004356554256E-3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4.400652898560968E-2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1.2195923644033711E-2</v>
      </c>
      <c r="J418" s="76">
        <f t="shared" si="64"/>
        <v>1.2195923644033711E-2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1.3610351222244238E-4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4.6547401180075292E-3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4.6547401180075292E-3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2.8886248622337122E-4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4.8190717213850223E-3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4.8190717213850223E-3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8.3716560973777481E-3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0.13853416509940697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0.13853416509940697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4.5754933628917617E-2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0.44903891863419743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0.1981945527121689</v>
      </c>
      <c r="J436" s="76">
        <f t="shared" si="64"/>
        <v>0.1981945527121689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8.3106047603679744E-4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4.4910508125028531E-3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1.8029678349615972E-3</v>
      </c>
      <c r="J437" s="76">
        <f t="shared" si="64"/>
        <v>1.8029678349615972E-3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4.0595359645178462E-3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2.5006741541429935E-2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1.8061119078297768E-2</v>
      </c>
      <c r="J438" s="76">
        <f t="shared" si="64"/>
        <v>1.8061119078297768E-2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2.9831848636857054E-2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2.0723588611051857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2.0723588611051857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1.4040654632499296E-4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4.078810170741045E-3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4.078810170741045E-3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8.0030056464171814E-4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4.7585278758363492E-2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4.7585278758363492E-2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9.2161460426674424E-4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0.1048384756399913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0.1048384756399913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9.466157148310761E-4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5.8987411653983683E-2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5.8987411653983683E-2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3.4350362462884858E-4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4.0828840823384947E-3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4.0828840823384947E-3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2.452782483126852E-3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0.10231615562716326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0.10231615562716326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2.2953573895167008E-2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0.45917258984910614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0.10315336108488055</v>
      </c>
      <c r="J446" s="76">
        <f t="shared" si="64"/>
        <v>0.10315336108488055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5.3826822503920445E-4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3.7678775752744309E-2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3.7678775752744309E-2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1.6419437573988649E-3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5.6066372203863679E-2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5.6066372203863679E-2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5.7100799688875818E-2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1.1023880387934366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1.1023880387934366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4.3639098547811596E-2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0.42827411314822295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0.23319525460920743</v>
      </c>
      <c r="J450" s="76">
        <f t="shared" si="64"/>
        <v>0.23319525460920743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7.9262993379232123E-4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4.283372162213704E-3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2.1213678053840198E-3</v>
      </c>
      <c r="J451" s="76">
        <f t="shared" si="64"/>
        <v>2.1213678053840198E-3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3.8718117580661539E-3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2.3850360429687509E-2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2.1250671142851573E-2</v>
      </c>
      <c r="J452" s="76">
        <f t="shared" si="64"/>
        <v>2.1250671142851573E-2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2.8452341185441699E-2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1.9765272374702638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1.9765272374702638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1.3391375805562911E-4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3.8901946715160251E-3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3.8901946715160251E-3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7.6329244604556935E-4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4.5384803440057665E-2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4.5384803440057665E-2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8.7899658788446707E-4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9.99904536450784E-2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9.99904536450784E-2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9.0284157772906114E-4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5.625967007460872E-2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5.625967007460872E-2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3.2761906395237006E-4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3.894080194137871E-3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3.894080194137871E-3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2.3393590156990207E-3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9.7584772707988071E-2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9.7584772707988071E-2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2.1892136952037899E-2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0.43793917528960996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0.12137000726209812</v>
      </c>
      <c r="J460" s="76">
        <f t="shared" si="64"/>
        <v>0.12137000726209812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5.1337720885242047E-4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3.5936404619669425E-2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3.5936404619669425E-2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1.56601572237464E-3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5.3473707593280385E-2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5.3473707593280385E-2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5.4460300281297752E-2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1.0514105572307344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1.0514105572307344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7.1409433987328075E-3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4.6954416405159731E-2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2.0724505540827377E-2</v>
      </c>
      <c r="J478" s="76">
        <f t="shared" si="68"/>
        <v>2.0724505540827377E-2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1.2970308007510711E-4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3.9952180349375088E-4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1.6039118485583221E-4</v>
      </c>
      <c r="J479" s="76">
        <f t="shared" si="68"/>
        <v>1.6039118485583221E-4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6.3356919677446158E-4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2.1465324386718758E-3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1.5503330538307624E-3</v>
      </c>
      <c r="J480" s="76">
        <f t="shared" si="68"/>
        <v>1.5503330538307624E-3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4.6558376485268237E-3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0.25227674921893189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0.25227674921893189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2.1913160409102947E-5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3.628490666341311E-4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3.628490666341311E-4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1.2490240026200229E-4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4.2331643935908337E-3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4.2331643935908337E-3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1.4383580529018554E-4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9.3263823127136773E-3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9.3263823127136773E-3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1.4773771271930092E-4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7.6410860992241307E-3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7.6410860992241307E-3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5.36103922831151E-5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3.6321147992595049E-4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3.6321147992595049E-4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3.8280420256893069E-4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9.1019978907632502E-3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9.1019978907632502E-3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3.5823496830607472E-3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4.0847781258830901E-2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9.176475301134749E-3</v>
      </c>
      <c r="J488" s="76">
        <f t="shared" ref="J488:J505" si="70">IF(I488&lt;&gt;0,I488,H488)</f>
        <v>9.176475301134749E-3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8.4007179630396072E-5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3.351886467252803E-3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3.351886467252803E-3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2.5625711820675929E-4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4.9876385446096065E-3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4.9876385446096065E-3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8.9116855005759964E-3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0.17204900027412021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0.17204900027412021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9.2567784798388234E-3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6.0866836080762599E-2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3.3141992245975242E-2</v>
      </c>
      <c r="J492" s="76">
        <f t="shared" si="70"/>
        <v>3.3141992245975242E-2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1.6813362231958326E-4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5.1789863415856597E-4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2.5649265283279502E-4</v>
      </c>
      <c r="J493" s="76">
        <f t="shared" si="70"/>
        <v>2.5649265283279502E-4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8.2129340322615392E-4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2.7825420501302097E-3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2.4792449666660174E-3</v>
      </c>
      <c r="J494" s="76">
        <f t="shared" si="70"/>
        <v>2.4792449666660174E-3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6.0353450999421779E-3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0.32702541565417098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0.32702541565417098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2.8405948678466784E-5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4.7035990119239225E-4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4.7035990119239225E-4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1.6191051885815108E-4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5.4874353250251532E-3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5.4874353250251532E-3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1.8645382167246271E-4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1.2089754849814026E-2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1.2089754849814026E-2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1.9151184982131597E-4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9.9051116101053494E-3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9.9051116101053494E-3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6.9494952959593638E-5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4.7082969620030604E-4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4.7082969620030604E-4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4.9622766999676197E-4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1.1798886154693104E-2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1.1798886154693104E-2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4.6437866261898574E-3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5.2950827557743746E-2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1.4674737241690045E-2</v>
      </c>
      <c r="J502" s="76">
        <f t="shared" si="70"/>
        <v>1.4674737241690045E-2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1.0889819581718008E-4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4.3450380131054853E-3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4.3450380131054853E-3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3.3218515323098425E-4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6.4654573726420821E-3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6.4654573726420821E-3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1.1552184908154068E-2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0.22302648183682244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0.22302648183682244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2021-09-14T12:44:14Z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484502136707305</vt:r8>
  </property>
</Properties>
</file>