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7C14972B-23E4-4230-9452-C2CAB0DDF3C8}" xr6:coauthVersionLast="47" xr6:coauthVersionMax="47" xr10:uidLastSave="{00000000-0000-0000-0000-000000000000}"/>
  <bookViews>
    <workbookView xWindow="28680" yWindow="-120" windowWidth="29040" windowHeight="15720" tabRatio="945" firstSheet="15" activeTab="22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Græsprotein" sheetId="78" r:id="rId7"/>
    <sheet name="Fodersammensætning" sheetId="34" r:id="rId8"/>
    <sheet name="Skovbrug" sheetId="26" r:id="rId9"/>
    <sheet name="Skovbrug-alder" sheetId="72" state="hidden" r:id="rId10"/>
    <sheet name="Havbrug" sheetId="32" r:id="rId11"/>
    <sheet name="Adfærd" sheetId="6" r:id="rId12"/>
    <sheet name="Biogasanlæg" sheetId="39" r:id="rId13"/>
    <sheet name="Forbrug til andet" sheetId="8" r:id="rId14"/>
    <sheet name="Direkte input" sheetId="35" r:id="rId15"/>
    <sheet name="Forbrug af biomasse" sheetId="38" r:id="rId16"/>
    <sheet name="Restprodukter" sheetId="53" r:id="rId17"/>
    <sheet name="Resultater - Vestdanmark" sheetId="37" r:id="rId18"/>
    <sheet name="Resultater - Østdanmark" sheetId="58" r:id="rId19"/>
    <sheet name="Resultater - Danmark" sheetId="41" r:id="rId20"/>
    <sheet name="Resultat-Produktion &amp; forbrug" sheetId="66" r:id="rId21"/>
    <sheet name="Produktion &amp; forbrug" sheetId="74" r:id="rId22"/>
    <sheet name="CONCITO" sheetId="77" r:id="rId23"/>
    <sheet name="Kategorisering af kcal" sheetId="75" r:id="rId24"/>
    <sheet name="Landbrugsareal - resultat" sheetId="20" state="hidden" r:id="rId25"/>
    <sheet name="Pivot tabeller og data" sheetId="68" state="hidden" r:id="rId26"/>
    <sheet name="Resultat-Forbrug af biomasse" sheetId="56" state="hidden" r:id="rId27"/>
    <sheet name="Resultat-Import" sheetId="51" state="hidden" r:id="rId28"/>
    <sheet name="Resultat-Eksport" sheetId="71" state="hidden" r:id="rId29"/>
    <sheet name="Resultat-Potentiale til energi" sheetId="50" state="hidden" r:id="rId30"/>
    <sheet name="Resultat-Tørstof til energi" sheetId="67" state="hidden" r:id="rId31"/>
    <sheet name="CO2-pivot" sheetId="64" state="hidden" r:id="rId32"/>
    <sheet name="CO2-udledning" sheetId="63" r:id="rId33"/>
    <sheet name="Produktion afgrøder-pivot" sheetId="60" state="hidden" r:id="rId34"/>
    <sheet name="Produktion af afgrøder" sheetId="57" state="hidden" r:id="rId35"/>
    <sheet name="Produkt skovbrug" sheetId="62" state="hidden" r:id="rId36"/>
    <sheet name="Produkt havbrug" sheetId="61" state="hidden" r:id="rId37"/>
    <sheet name="Arealanvendelse - pivot" sheetId="23" state="hidden" r:id="rId38"/>
    <sheet name="Pivot chart - landbrug" sheetId="19" state="hidden" r:id="rId39"/>
    <sheet name="Arealanvendelsesresultater-big" sheetId="22" state="hidden" r:id="rId40"/>
    <sheet name="Landbrugsresultater - pivot" sheetId="18" state="hidden" r:id="rId41"/>
  </sheets>
  <externalReferences>
    <externalReference r:id="rId42"/>
  </externalReferences>
  <definedNames>
    <definedName name="_xlnm._FilterDatabase" localSheetId="14" hidden="1">'Direkte input'!$A$2:$I$230</definedName>
    <definedName name="_xlnm._FilterDatabase" localSheetId="2" hidden="1">Farvekoder!$A$1:$A$70</definedName>
    <definedName name="_xlnm._FilterDatabase" localSheetId="15" hidden="1">'Forbrug af biomasse'!$A$1:$G$415</definedName>
    <definedName name="_xlnm._FilterDatabase" localSheetId="21" hidden="1">'Produktion &amp; forbrug'!$A$3:$AI$147</definedName>
    <definedName name="_xlnm._FilterDatabase" localSheetId="19" hidden="1">'Resultater - Danmark'!$A$2:$O$497</definedName>
    <definedName name="_xlnm._FilterDatabase" localSheetId="17" hidden="1">'Resultater - Vestdanmark'!$A$2:$U$497</definedName>
    <definedName name="_xlnm._FilterDatabase" localSheetId="20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00" r:id="rId43"/>
    <pivotCache cacheId="201" r:id="rId44"/>
    <pivotCache cacheId="202" r:id="rId45"/>
    <pivotCache cacheId="203" r:id="rId46"/>
    <pivotCache cacheId="204" r:id="rId47"/>
    <pivotCache cacheId="205" r:id="rId48"/>
    <pivotCache cacheId="206" r:id="rId49"/>
    <pivotCache cacheId="207" r:id="rId5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0" i="77" l="1"/>
  <c r="F50" i="77"/>
  <c r="C50" i="77"/>
  <c r="C51" i="77"/>
  <c r="E51" i="77" s="1"/>
  <c r="F51" i="77"/>
  <c r="D51" i="77"/>
  <c r="D43" i="77"/>
  <c r="C43" i="77"/>
  <c r="F47" i="77" l="1"/>
  <c r="E47" i="77"/>
  <c r="E8" i="78" l="1"/>
  <c r="C8" i="78"/>
  <c r="D8" i="78" s="1"/>
  <c r="E5" i="78"/>
  <c r="E44" i="17"/>
  <c r="E40" i="17"/>
  <c r="I12" i="17"/>
  <c r="I10" i="17" s="1"/>
  <c r="H12" i="17"/>
  <c r="H11" i="17"/>
  <c r="I13" i="17" s="1"/>
  <c r="D5" i="17"/>
  <c r="C8" i="9"/>
  <c r="C7" i="9"/>
  <c r="H14" i="17" l="1"/>
  <c r="I14" i="17"/>
  <c r="H13" i="17"/>
  <c r="E36" i="77" l="1"/>
  <c r="E37" i="77" l="1"/>
  <c r="E6" i="75" l="1"/>
  <c r="E7" i="17"/>
  <c r="E8" i="17" s="1"/>
  <c r="E7" i="78" l="1"/>
  <c r="G14" i="76"/>
  <c r="G13" i="76" s="1"/>
  <c r="G4" i="76"/>
  <c r="G5" i="76" s="1"/>
  <c r="D60" i="77"/>
  <c r="C60" i="77"/>
  <c r="C16" i="77"/>
  <c r="K24" i="77"/>
  <c r="L24" i="77"/>
  <c r="K32" i="77"/>
  <c r="L32" i="77"/>
  <c r="K33" i="77"/>
  <c r="L33" i="77"/>
  <c r="L22" i="77"/>
  <c r="K22" i="77"/>
  <c r="H21" i="77"/>
  <c r="G21" i="77"/>
  <c r="C6" i="75"/>
  <c r="G9" i="76" l="1"/>
  <c r="G7" i="76"/>
  <c r="G8" i="76" s="1"/>
  <c r="G10" i="76" s="1"/>
  <c r="C22" i="34" l="1"/>
  <c r="D5" i="78" l="1"/>
  <c r="E22" i="34"/>
  <c r="D6" i="78"/>
  <c r="D4" i="78"/>
  <c r="D3" i="78"/>
  <c r="D6" i="75" s="1"/>
  <c r="K10" i="76"/>
  <c r="C17" i="26"/>
  <c r="C14" i="26" s="1"/>
  <c r="D14" i="26"/>
  <c r="D7" i="78" l="1"/>
  <c r="D22" i="34" s="1"/>
  <c r="D47" i="77"/>
  <c r="C47" i="77"/>
  <c r="E1" i="75"/>
  <c r="D1" i="75"/>
  <c r="C1" i="75"/>
  <c r="K6" i="76" l="1"/>
  <c r="G15" i="76" s="1"/>
  <c r="K5" i="76"/>
  <c r="G11" i="76" s="1"/>
  <c r="K4" i="76"/>
  <c r="G6" i="76" s="1"/>
  <c r="K3" i="76"/>
  <c r="G24" i="76" l="1"/>
  <c r="G23" i="76"/>
  <c r="G22" i="76"/>
  <c r="G25" i="76"/>
  <c r="G21" i="76"/>
  <c r="G20" i="76"/>
  <c r="G31" i="76"/>
  <c r="G19" i="76"/>
  <c r="G27" i="76"/>
  <c r="G30" i="76"/>
  <c r="G18" i="76"/>
  <c r="G26" i="76"/>
  <c r="G29" i="76"/>
  <c r="G28" i="76"/>
  <c r="E505" i="18"/>
  <c r="B505" i="18"/>
  <c r="E504" i="18"/>
  <c r="B504" i="18"/>
  <c r="E503" i="18"/>
  <c r="B503" i="18"/>
  <c r="E502" i="18"/>
  <c r="B502" i="18"/>
  <c r="E501" i="18"/>
  <c r="B501" i="18"/>
  <c r="E500" i="18"/>
  <c r="B500" i="18"/>
  <c r="E499" i="18"/>
  <c r="B499" i="18"/>
  <c r="E498" i="18"/>
  <c r="B498" i="18"/>
  <c r="E497" i="18"/>
  <c r="B497" i="18"/>
  <c r="E496" i="18"/>
  <c r="B496" i="18"/>
  <c r="E495" i="18"/>
  <c r="B495" i="18"/>
  <c r="E494" i="18"/>
  <c r="B494" i="18"/>
  <c r="E493" i="18"/>
  <c r="B493" i="18"/>
  <c r="E492" i="18"/>
  <c r="B492" i="18"/>
  <c r="E491" i="18"/>
  <c r="B491" i="18"/>
  <c r="E490" i="18"/>
  <c r="B490" i="18"/>
  <c r="E489" i="18"/>
  <c r="B489" i="18"/>
  <c r="E488" i="18"/>
  <c r="B488" i="18"/>
  <c r="E487" i="18"/>
  <c r="B487" i="18"/>
  <c r="E486" i="18"/>
  <c r="B486" i="18"/>
  <c r="E485" i="18"/>
  <c r="B485" i="18"/>
  <c r="E484" i="18"/>
  <c r="B484" i="18"/>
  <c r="E483" i="18"/>
  <c r="B483" i="18"/>
  <c r="E482" i="18"/>
  <c r="B482" i="18"/>
  <c r="E481" i="18"/>
  <c r="B481" i="18"/>
  <c r="E480" i="18"/>
  <c r="B480" i="18"/>
  <c r="E479" i="18"/>
  <c r="B479" i="18"/>
  <c r="E478" i="18"/>
  <c r="B478" i="18"/>
  <c r="E477" i="18"/>
  <c r="B477" i="18"/>
  <c r="E476" i="18"/>
  <c r="B476" i="18"/>
  <c r="E475" i="18"/>
  <c r="B475" i="18"/>
  <c r="E474" i="18"/>
  <c r="B474" i="18"/>
  <c r="E473" i="18"/>
  <c r="B473" i="18"/>
  <c r="E472" i="18"/>
  <c r="B472" i="18"/>
  <c r="E471" i="18"/>
  <c r="B471" i="18"/>
  <c r="E470" i="18"/>
  <c r="B470" i="18"/>
  <c r="E469" i="18"/>
  <c r="B469" i="18"/>
  <c r="E468" i="18"/>
  <c r="B468" i="18"/>
  <c r="E467" i="18"/>
  <c r="B467" i="18"/>
  <c r="E466" i="18"/>
  <c r="B466" i="18"/>
  <c r="E465" i="18"/>
  <c r="B465" i="18"/>
  <c r="E464" i="18"/>
  <c r="B464" i="18"/>
  <c r="E463" i="18"/>
  <c r="B463" i="18"/>
  <c r="E462" i="18"/>
  <c r="B462" i="18"/>
  <c r="E461" i="18"/>
  <c r="B461" i="18"/>
  <c r="E460" i="18"/>
  <c r="B460" i="18"/>
  <c r="E459" i="18"/>
  <c r="B459" i="18"/>
  <c r="E458" i="18"/>
  <c r="B458" i="18"/>
  <c r="E457" i="18"/>
  <c r="B457" i="18"/>
  <c r="E456" i="18"/>
  <c r="B456" i="18"/>
  <c r="E455" i="18"/>
  <c r="B455" i="18"/>
  <c r="E454" i="18"/>
  <c r="B454" i="18"/>
  <c r="E453" i="18"/>
  <c r="B453" i="18"/>
  <c r="E452" i="18"/>
  <c r="B452" i="18"/>
  <c r="E451" i="18"/>
  <c r="B451" i="18"/>
  <c r="E450" i="18"/>
  <c r="B450" i="18"/>
  <c r="E449" i="18"/>
  <c r="B449" i="18"/>
  <c r="E448" i="18"/>
  <c r="B448" i="18"/>
  <c r="E447" i="18"/>
  <c r="B447" i="18"/>
  <c r="E446" i="18"/>
  <c r="B446" i="18"/>
  <c r="E445" i="18"/>
  <c r="B445" i="18"/>
  <c r="E444" i="18"/>
  <c r="B444" i="18"/>
  <c r="E443" i="18"/>
  <c r="B443" i="18"/>
  <c r="E442" i="18"/>
  <c r="B442" i="18"/>
  <c r="E441" i="18"/>
  <c r="B441" i="18"/>
  <c r="E440" i="18"/>
  <c r="B440" i="18"/>
  <c r="E439" i="18"/>
  <c r="B439" i="18"/>
  <c r="E438" i="18"/>
  <c r="B438" i="18"/>
  <c r="E437" i="18"/>
  <c r="B437" i="18"/>
  <c r="E436" i="18"/>
  <c r="B436" i="18"/>
  <c r="E435" i="18"/>
  <c r="B435" i="18"/>
  <c r="E434" i="18"/>
  <c r="B434" i="18"/>
  <c r="E433" i="18"/>
  <c r="B433" i="18"/>
  <c r="E432" i="18"/>
  <c r="B432" i="18"/>
  <c r="E431" i="18"/>
  <c r="B431" i="18"/>
  <c r="E430" i="18"/>
  <c r="B430" i="18"/>
  <c r="E429" i="18"/>
  <c r="B429" i="18"/>
  <c r="E428" i="18"/>
  <c r="B428" i="18"/>
  <c r="E427" i="18"/>
  <c r="B427" i="18"/>
  <c r="E426" i="18"/>
  <c r="B426" i="18"/>
  <c r="E425" i="18"/>
  <c r="B425" i="18"/>
  <c r="E424" i="18"/>
  <c r="B424" i="18"/>
  <c r="E423" i="18"/>
  <c r="B423" i="18"/>
  <c r="E422" i="18"/>
  <c r="B422" i="18"/>
  <c r="E421" i="18"/>
  <c r="B421" i="18"/>
  <c r="E420" i="18"/>
  <c r="B420" i="18"/>
  <c r="E419" i="18"/>
  <c r="B419" i="18"/>
  <c r="E418" i="18"/>
  <c r="B418" i="18"/>
  <c r="E417" i="18"/>
  <c r="B417" i="18"/>
  <c r="E416" i="18"/>
  <c r="B416" i="18"/>
  <c r="E415" i="18"/>
  <c r="B415" i="18"/>
  <c r="E414" i="18"/>
  <c r="B414" i="18"/>
  <c r="E413" i="18"/>
  <c r="B413" i="18"/>
  <c r="E412" i="18"/>
  <c r="B412" i="18"/>
  <c r="E411" i="18"/>
  <c r="B411" i="18"/>
  <c r="E410" i="18"/>
  <c r="B410" i="18"/>
  <c r="E409" i="18"/>
  <c r="B409" i="18"/>
  <c r="E408" i="18"/>
  <c r="B408" i="18"/>
  <c r="E407" i="18"/>
  <c r="B407" i="18"/>
  <c r="E406" i="18"/>
  <c r="B406" i="18"/>
  <c r="E405" i="18"/>
  <c r="B405" i="18"/>
  <c r="E404" i="18"/>
  <c r="B404" i="18"/>
  <c r="E403" i="18"/>
  <c r="B403" i="18"/>
  <c r="E402" i="18"/>
  <c r="B402" i="18"/>
  <c r="E401" i="18"/>
  <c r="B401" i="18"/>
  <c r="E400" i="18"/>
  <c r="B400" i="18"/>
  <c r="E399" i="18"/>
  <c r="B399" i="18"/>
  <c r="E398" i="18"/>
  <c r="B398" i="18"/>
  <c r="E397" i="18"/>
  <c r="B397" i="18"/>
  <c r="E396" i="18"/>
  <c r="B396" i="18"/>
  <c r="E395" i="18"/>
  <c r="B395" i="18"/>
  <c r="E394" i="18"/>
  <c r="B394" i="18"/>
  <c r="E393" i="18"/>
  <c r="B393" i="18"/>
  <c r="E392" i="18"/>
  <c r="B392" i="18"/>
  <c r="E391" i="18"/>
  <c r="B391" i="18"/>
  <c r="E390" i="18"/>
  <c r="B390" i="18"/>
  <c r="E389" i="18"/>
  <c r="B389" i="18"/>
  <c r="E388" i="18"/>
  <c r="B388" i="18"/>
  <c r="E387" i="18"/>
  <c r="B387" i="18"/>
  <c r="E386" i="18"/>
  <c r="B386" i="18"/>
  <c r="E385" i="18"/>
  <c r="B385" i="18"/>
  <c r="E384" i="18"/>
  <c r="B384" i="18"/>
  <c r="E383" i="18"/>
  <c r="B383" i="18"/>
  <c r="E382" i="18"/>
  <c r="B382" i="18"/>
  <c r="E381" i="18"/>
  <c r="B381" i="18"/>
  <c r="E380" i="18"/>
  <c r="B380" i="18"/>
  <c r="E379" i="18"/>
  <c r="B379" i="18"/>
  <c r="E378" i="18"/>
  <c r="B378" i="18"/>
  <c r="E377" i="18"/>
  <c r="B377" i="18"/>
  <c r="E376" i="18"/>
  <c r="B376" i="18"/>
  <c r="E375" i="18"/>
  <c r="B375" i="18"/>
  <c r="E374" i="18"/>
  <c r="B374" i="18"/>
  <c r="E373" i="18"/>
  <c r="B373" i="18"/>
  <c r="E372" i="18"/>
  <c r="B372" i="18"/>
  <c r="E371" i="18"/>
  <c r="B371" i="18"/>
  <c r="E370" i="18"/>
  <c r="B370" i="18"/>
  <c r="E369" i="18"/>
  <c r="B369" i="18"/>
  <c r="E368" i="18"/>
  <c r="B368" i="18"/>
  <c r="E367" i="18"/>
  <c r="B367" i="18"/>
  <c r="E366" i="18"/>
  <c r="B366" i="18"/>
  <c r="E365" i="18"/>
  <c r="B365" i="18"/>
  <c r="E364" i="18"/>
  <c r="B364" i="18"/>
  <c r="E363" i="18"/>
  <c r="B363" i="18"/>
  <c r="E362" i="18"/>
  <c r="B362" i="18"/>
  <c r="E361" i="18"/>
  <c r="B361" i="18"/>
  <c r="E360" i="18"/>
  <c r="B360" i="18"/>
  <c r="E359" i="18"/>
  <c r="B359" i="18"/>
  <c r="E358" i="18"/>
  <c r="B358" i="18"/>
  <c r="E357" i="18"/>
  <c r="B357" i="18"/>
  <c r="E356" i="18"/>
  <c r="B356" i="18"/>
  <c r="E355" i="18"/>
  <c r="B355" i="18"/>
  <c r="E354" i="18"/>
  <c r="B354" i="18"/>
  <c r="E353" i="18"/>
  <c r="B353" i="18"/>
  <c r="E352" i="18"/>
  <c r="B352" i="18"/>
  <c r="E351" i="18"/>
  <c r="B351" i="18"/>
  <c r="E350" i="18"/>
  <c r="B350" i="18"/>
  <c r="E349" i="18"/>
  <c r="B349" i="18"/>
  <c r="E348" i="18"/>
  <c r="B348" i="18"/>
  <c r="E347" i="18"/>
  <c r="B347" i="18"/>
  <c r="E346" i="18"/>
  <c r="B346" i="18"/>
  <c r="E345" i="18"/>
  <c r="B345" i="18"/>
  <c r="E344" i="18"/>
  <c r="B344" i="18"/>
  <c r="E343" i="18"/>
  <c r="B343" i="18"/>
  <c r="E342" i="18"/>
  <c r="B342" i="18"/>
  <c r="E341" i="18"/>
  <c r="B341" i="18"/>
  <c r="E340" i="18"/>
  <c r="B340" i="18"/>
  <c r="E339" i="18"/>
  <c r="B339" i="18"/>
  <c r="E338" i="18"/>
  <c r="B338" i="18"/>
  <c r="E337" i="18"/>
  <c r="B337" i="18"/>
  <c r="E336" i="18"/>
  <c r="B336" i="18"/>
  <c r="E335" i="18"/>
  <c r="B335" i="18"/>
  <c r="E334" i="18"/>
  <c r="B334" i="18"/>
  <c r="E333" i="18"/>
  <c r="B333" i="18"/>
  <c r="E332" i="18"/>
  <c r="B332" i="18"/>
  <c r="E331" i="18"/>
  <c r="B331" i="18"/>
  <c r="E330" i="18"/>
  <c r="B330" i="18"/>
  <c r="E329" i="18"/>
  <c r="B329" i="18"/>
  <c r="E328" i="18"/>
  <c r="B328" i="18"/>
  <c r="E327" i="18"/>
  <c r="B327" i="18"/>
  <c r="E326" i="18"/>
  <c r="B326" i="18"/>
  <c r="E325" i="18"/>
  <c r="B325" i="18"/>
  <c r="E324" i="18"/>
  <c r="B324" i="18"/>
  <c r="E323" i="18"/>
  <c r="B323" i="18"/>
  <c r="E322" i="18"/>
  <c r="B322" i="18"/>
  <c r="E321" i="18"/>
  <c r="B321" i="18"/>
  <c r="E320" i="18"/>
  <c r="B320" i="18"/>
  <c r="E319" i="18"/>
  <c r="B319" i="18"/>
  <c r="E318" i="18"/>
  <c r="B318" i="18"/>
  <c r="E317" i="18"/>
  <c r="B317" i="18"/>
  <c r="E316" i="18"/>
  <c r="B316" i="18"/>
  <c r="E315" i="18"/>
  <c r="B315" i="18"/>
  <c r="E314" i="18"/>
  <c r="B314" i="18"/>
  <c r="E313" i="18"/>
  <c r="B313" i="18"/>
  <c r="E312" i="18"/>
  <c r="B312" i="18"/>
  <c r="E311" i="18"/>
  <c r="B311" i="18"/>
  <c r="E310" i="18"/>
  <c r="B310" i="18"/>
  <c r="E309" i="18"/>
  <c r="B309" i="18"/>
  <c r="E308" i="18"/>
  <c r="B308" i="18"/>
  <c r="E307" i="18"/>
  <c r="B307" i="18"/>
  <c r="E306" i="18"/>
  <c r="B306" i="18"/>
  <c r="E305" i="18"/>
  <c r="B305" i="18"/>
  <c r="E304" i="18"/>
  <c r="B304" i="18"/>
  <c r="E303" i="18"/>
  <c r="B303" i="18"/>
  <c r="E302" i="18"/>
  <c r="B302" i="18"/>
  <c r="E301" i="18"/>
  <c r="B301" i="18"/>
  <c r="E300" i="18"/>
  <c r="B300" i="18"/>
  <c r="E299" i="18"/>
  <c r="B299" i="18"/>
  <c r="E298" i="18"/>
  <c r="B298" i="18"/>
  <c r="E297" i="18"/>
  <c r="B297" i="18"/>
  <c r="E296" i="18"/>
  <c r="B296" i="18"/>
  <c r="E295" i="18"/>
  <c r="B295" i="18"/>
  <c r="E294" i="18"/>
  <c r="B294" i="18"/>
  <c r="E293" i="18"/>
  <c r="B293" i="18"/>
  <c r="E292" i="18"/>
  <c r="B292" i="18"/>
  <c r="E291" i="18"/>
  <c r="B291" i="18"/>
  <c r="E290" i="18"/>
  <c r="B290" i="18"/>
  <c r="E289" i="18"/>
  <c r="B289" i="18"/>
  <c r="E288" i="18"/>
  <c r="B288" i="18"/>
  <c r="E287" i="18"/>
  <c r="B287" i="18"/>
  <c r="E286" i="18"/>
  <c r="B286" i="18"/>
  <c r="E285" i="18"/>
  <c r="B285" i="18"/>
  <c r="E284" i="18"/>
  <c r="B284" i="18"/>
  <c r="E283" i="18"/>
  <c r="B283" i="18"/>
  <c r="E282" i="18"/>
  <c r="B282" i="18"/>
  <c r="E281" i="18"/>
  <c r="B281" i="18"/>
  <c r="E280" i="18"/>
  <c r="B280" i="18"/>
  <c r="E279" i="18"/>
  <c r="B279" i="18"/>
  <c r="E278" i="18"/>
  <c r="B278" i="18"/>
  <c r="E277" i="18"/>
  <c r="B277" i="18"/>
  <c r="E276" i="18"/>
  <c r="B276" i="18"/>
  <c r="E275" i="18"/>
  <c r="B275" i="18"/>
  <c r="E274" i="18"/>
  <c r="B274" i="18"/>
  <c r="E273" i="18"/>
  <c r="B273" i="18"/>
  <c r="E272" i="18"/>
  <c r="B272" i="18"/>
  <c r="E271" i="18"/>
  <c r="B271" i="18"/>
  <c r="E270" i="18"/>
  <c r="B270" i="18"/>
  <c r="E269" i="18"/>
  <c r="B269" i="18"/>
  <c r="E268" i="18"/>
  <c r="B268" i="18"/>
  <c r="E267" i="18"/>
  <c r="B267" i="18"/>
  <c r="E266" i="18"/>
  <c r="B266" i="18"/>
  <c r="E265" i="18"/>
  <c r="B265" i="18"/>
  <c r="E264" i="18"/>
  <c r="B264" i="18"/>
  <c r="E263" i="18"/>
  <c r="B263" i="18"/>
  <c r="E262" i="18"/>
  <c r="B262" i="18"/>
  <c r="E261" i="18"/>
  <c r="B261" i="18"/>
  <c r="E260" i="18"/>
  <c r="B260" i="18"/>
  <c r="E259" i="18"/>
  <c r="B259" i="18"/>
  <c r="E258" i="18"/>
  <c r="B258" i="18"/>
  <c r="E257" i="18"/>
  <c r="B257" i="18"/>
  <c r="E256" i="18"/>
  <c r="B256" i="18"/>
  <c r="E255" i="18"/>
  <c r="B255" i="18"/>
  <c r="E254" i="18"/>
  <c r="B254" i="18"/>
  <c r="E253" i="18"/>
  <c r="B253" i="18"/>
  <c r="E252" i="18"/>
  <c r="B252" i="18"/>
  <c r="E251" i="18"/>
  <c r="B251" i="18"/>
  <c r="E250" i="18"/>
  <c r="B250" i="18"/>
  <c r="E249" i="18"/>
  <c r="B249" i="18"/>
  <c r="E248" i="18"/>
  <c r="B248" i="18"/>
  <c r="E247" i="18"/>
  <c r="B247" i="18"/>
  <c r="E246" i="18"/>
  <c r="B246" i="18"/>
  <c r="E245" i="18"/>
  <c r="B245" i="18"/>
  <c r="E244" i="18"/>
  <c r="B244" i="18"/>
  <c r="E243" i="18"/>
  <c r="B243" i="18"/>
  <c r="E242" i="18"/>
  <c r="B242" i="18"/>
  <c r="E241" i="18"/>
  <c r="B241" i="18"/>
  <c r="E240" i="18"/>
  <c r="B240" i="18"/>
  <c r="E239" i="18"/>
  <c r="B239" i="18"/>
  <c r="E238" i="18"/>
  <c r="B238" i="18"/>
  <c r="E237" i="18"/>
  <c r="B237" i="18"/>
  <c r="E236" i="18"/>
  <c r="B236" i="18"/>
  <c r="E235" i="18"/>
  <c r="B235" i="18"/>
  <c r="E234" i="18"/>
  <c r="B234" i="18"/>
  <c r="E233" i="18"/>
  <c r="B233" i="18"/>
  <c r="E232" i="18"/>
  <c r="B232" i="18"/>
  <c r="E231" i="18"/>
  <c r="B231" i="18"/>
  <c r="E230" i="18"/>
  <c r="B230" i="18"/>
  <c r="E229" i="18"/>
  <c r="B229" i="18"/>
  <c r="E228" i="18"/>
  <c r="B228" i="18"/>
  <c r="E227" i="18"/>
  <c r="B227" i="18"/>
  <c r="E226" i="18"/>
  <c r="B226" i="18"/>
  <c r="E225" i="18"/>
  <c r="B225" i="18"/>
  <c r="E224" i="18"/>
  <c r="B224" i="18"/>
  <c r="E223" i="18"/>
  <c r="B223" i="18"/>
  <c r="E222" i="18"/>
  <c r="B222" i="18"/>
  <c r="E221" i="18"/>
  <c r="B221" i="18"/>
  <c r="E220" i="18"/>
  <c r="B220" i="18"/>
  <c r="E219" i="18"/>
  <c r="B219" i="18"/>
  <c r="E218" i="18"/>
  <c r="B218" i="18"/>
  <c r="E217" i="18"/>
  <c r="B217" i="18"/>
  <c r="E216" i="18"/>
  <c r="B216" i="18"/>
  <c r="E215" i="18"/>
  <c r="B215" i="18"/>
  <c r="E214" i="18"/>
  <c r="B214" i="18"/>
  <c r="E213" i="18"/>
  <c r="B213" i="18"/>
  <c r="E212" i="18"/>
  <c r="B212" i="18"/>
  <c r="E211" i="18"/>
  <c r="B211" i="18"/>
  <c r="E210" i="18"/>
  <c r="B210" i="18"/>
  <c r="E209" i="18"/>
  <c r="B209" i="18"/>
  <c r="E208" i="18"/>
  <c r="B208" i="18"/>
  <c r="E207" i="18"/>
  <c r="B207" i="18"/>
  <c r="E206" i="18"/>
  <c r="B206" i="18"/>
  <c r="E205" i="18"/>
  <c r="B205" i="18"/>
  <c r="E204" i="18"/>
  <c r="B204" i="18"/>
  <c r="E203" i="18"/>
  <c r="B203" i="18"/>
  <c r="E202" i="18"/>
  <c r="B202" i="18"/>
  <c r="E201" i="18"/>
  <c r="B201" i="18"/>
  <c r="E200" i="18"/>
  <c r="B200" i="18"/>
  <c r="E199" i="18"/>
  <c r="B199" i="18"/>
  <c r="E198" i="18"/>
  <c r="B198" i="18"/>
  <c r="E197" i="18"/>
  <c r="B197" i="18"/>
  <c r="E196" i="18"/>
  <c r="B196" i="18"/>
  <c r="E195" i="18"/>
  <c r="B195" i="18"/>
  <c r="E194" i="18"/>
  <c r="B194" i="18"/>
  <c r="E193" i="18"/>
  <c r="B193" i="18"/>
  <c r="E192" i="18"/>
  <c r="B192" i="18"/>
  <c r="E191" i="18"/>
  <c r="B191" i="18"/>
  <c r="E190" i="18"/>
  <c r="B190" i="18"/>
  <c r="E189" i="18"/>
  <c r="B189" i="18"/>
  <c r="E188" i="18"/>
  <c r="B188" i="18"/>
  <c r="E187" i="18"/>
  <c r="B187" i="18"/>
  <c r="E186" i="18"/>
  <c r="B186" i="18"/>
  <c r="E185" i="18"/>
  <c r="B185" i="18"/>
  <c r="E184" i="18"/>
  <c r="B184" i="18"/>
  <c r="E183" i="18"/>
  <c r="B183" i="18"/>
  <c r="E182" i="18"/>
  <c r="B182" i="18"/>
  <c r="E181" i="18"/>
  <c r="B181" i="18"/>
  <c r="E180" i="18"/>
  <c r="B180" i="18"/>
  <c r="E179" i="18"/>
  <c r="B179" i="18"/>
  <c r="E178" i="18"/>
  <c r="B178" i="18"/>
  <c r="E177" i="18"/>
  <c r="B177" i="18"/>
  <c r="E176" i="18"/>
  <c r="B176" i="18"/>
  <c r="E175" i="18"/>
  <c r="B175" i="18"/>
  <c r="E174" i="18"/>
  <c r="B174" i="18"/>
  <c r="E173" i="18"/>
  <c r="B173" i="18"/>
  <c r="E172" i="18"/>
  <c r="B172" i="18"/>
  <c r="E171" i="18"/>
  <c r="B171" i="18"/>
  <c r="E170" i="18"/>
  <c r="B170" i="18"/>
  <c r="E169" i="18"/>
  <c r="B169" i="18"/>
  <c r="E168" i="18"/>
  <c r="B168" i="18"/>
  <c r="E167" i="18"/>
  <c r="B167" i="18"/>
  <c r="E166" i="18"/>
  <c r="B166" i="18"/>
  <c r="E165" i="18"/>
  <c r="B165" i="18"/>
  <c r="E164" i="18"/>
  <c r="B164" i="18"/>
  <c r="E163" i="18"/>
  <c r="B163" i="18"/>
  <c r="E162" i="18"/>
  <c r="B162" i="18"/>
  <c r="E161" i="18"/>
  <c r="B161" i="18"/>
  <c r="E160" i="18"/>
  <c r="B160" i="18"/>
  <c r="E159" i="18"/>
  <c r="B159" i="18"/>
  <c r="E158" i="18"/>
  <c r="B158" i="18"/>
  <c r="E157" i="18"/>
  <c r="B157" i="18"/>
  <c r="E156" i="18"/>
  <c r="B156" i="18"/>
  <c r="E155" i="18"/>
  <c r="B155" i="18"/>
  <c r="E154" i="18"/>
  <c r="B154" i="18"/>
  <c r="E153" i="18"/>
  <c r="B153" i="18"/>
  <c r="E152" i="18"/>
  <c r="B152" i="18"/>
  <c r="E151" i="18"/>
  <c r="B151" i="18"/>
  <c r="E150" i="18"/>
  <c r="B150" i="18"/>
  <c r="E149" i="18"/>
  <c r="B149" i="18"/>
  <c r="E148" i="18"/>
  <c r="B148" i="18"/>
  <c r="E147" i="18"/>
  <c r="B147" i="18"/>
  <c r="E146" i="18"/>
  <c r="B146" i="18"/>
  <c r="E145" i="18"/>
  <c r="B145" i="18"/>
  <c r="E144" i="18"/>
  <c r="B144" i="18"/>
  <c r="E143" i="18"/>
  <c r="B143" i="18"/>
  <c r="E142" i="18"/>
  <c r="B142" i="18"/>
  <c r="E141" i="18"/>
  <c r="B141" i="18"/>
  <c r="E140" i="18"/>
  <c r="B140" i="18"/>
  <c r="E139" i="18"/>
  <c r="B139" i="18"/>
  <c r="E138" i="18"/>
  <c r="B138" i="18"/>
  <c r="E137" i="18"/>
  <c r="B137" i="18"/>
  <c r="E136" i="18"/>
  <c r="B136" i="18"/>
  <c r="E135" i="18"/>
  <c r="B135" i="18"/>
  <c r="E134" i="18"/>
  <c r="B134" i="18"/>
  <c r="E133" i="18"/>
  <c r="B133" i="18"/>
  <c r="E132" i="18"/>
  <c r="B132" i="18"/>
  <c r="E131" i="18"/>
  <c r="B131" i="18"/>
  <c r="E130" i="18"/>
  <c r="B130" i="18"/>
  <c r="E129" i="18"/>
  <c r="B129" i="18"/>
  <c r="E128" i="18"/>
  <c r="B128" i="18"/>
  <c r="E127" i="18"/>
  <c r="B127" i="18"/>
  <c r="E126" i="18"/>
  <c r="B126" i="18"/>
  <c r="E125" i="18"/>
  <c r="B125" i="18"/>
  <c r="E124" i="18"/>
  <c r="B124" i="18"/>
  <c r="E123" i="18"/>
  <c r="B123" i="18"/>
  <c r="E122" i="18"/>
  <c r="B122" i="18"/>
  <c r="E121" i="18"/>
  <c r="B121" i="18"/>
  <c r="E120" i="18"/>
  <c r="B120" i="18"/>
  <c r="E119" i="18"/>
  <c r="B119" i="18"/>
  <c r="E118" i="18"/>
  <c r="B118" i="18"/>
  <c r="E117" i="18"/>
  <c r="B117" i="18"/>
  <c r="E116" i="18"/>
  <c r="B116" i="18"/>
  <c r="E115" i="18"/>
  <c r="B115" i="18"/>
  <c r="E114" i="18"/>
  <c r="B114" i="18"/>
  <c r="E113" i="18"/>
  <c r="B113" i="18"/>
  <c r="E112" i="18"/>
  <c r="B112" i="18"/>
  <c r="E111" i="18"/>
  <c r="B111" i="18"/>
  <c r="E110" i="18"/>
  <c r="B110" i="18"/>
  <c r="E109" i="18"/>
  <c r="B109" i="18"/>
  <c r="E108" i="18"/>
  <c r="B108" i="18"/>
  <c r="E107" i="18"/>
  <c r="B107" i="18"/>
  <c r="E106" i="18"/>
  <c r="B106" i="18"/>
  <c r="E105" i="18"/>
  <c r="B105" i="18"/>
  <c r="E104" i="18"/>
  <c r="B104" i="18"/>
  <c r="E103" i="18"/>
  <c r="B103" i="18"/>
  <c r="E102" i="18"/>
  <c r="B102" i="18"/>
  <c r="E101" i="18"/>
  <c r="B101" i="18"/>
  <c r="E100" i="18"/>
  <c r="B100" i="18"/>
  <c r="E99" i="18"/>
  <c r="B99" i="18"/>
  <c r="E98" i="18"/>
  <c r="B98" i="18"/>
  <c r="E97" i="18"/>
  <c r="B97" i="18"/>
  <c r="E96" i="18"/>
  <c r="B96" i="18"/>
  <c r="E95" i="18"/>
  <c r="B95" i="18"/>
  <c r="E94" i="18"/>
  <c r="B94" i="18"/>
  <c r="E93" i="18"/>
  <c r="B93" i="18"/>
  <c r="E92" i="18"/>
  <c r="B92" i="18"/>
  <c r="E91" i="18"/>
  <c r="B91" i="18"/>
  <c r="E90" i="18"/>
  <c r="B90" i="18"/>
  <c r="E89" i="18"/>
  <c r="B89" i="18"/>
  <c r="E88" i="18"/>
  <c r="B88" i="18"/>
  <c r="E87" i="18"/>
  <c r="B87" i="18"/>
  <c r="E86" i="18"/>
  <c r="B86" i="18"/>
  <c r="E85" i="18"/>
  <c r="B85" i="18"/>
  <c r="E84" i="18"/>
  <c r="B84" i="18"/>
  <c r="E83" i="18"/>
  <c r="B83" i="18"/>
  <c r="E82" i="18"/>
  <c r="B82" i="18"/>
  <c r="E81" i="18"/>
  <c r="B81" i="18"/>
  <c r="E80" i="18"/>
  <c r="B80" i="18"/>
  <c r="E79" i="18"/>
  <c r="B79" i="18"/>
  <c r="E78" i="18"/>
  <c r="B78" i="18"/>
  <c r="E77" i="18"/>
  <c r="B77" i="18"/>
  <c r="E76" i="18"/>
  <c r="B76" i="18"/>
  <c r="E75" i="18"/>
  <c r="B75" i="18"/>
  <c r="E74" i="18"/>
  <c r="B74" i="18"/>
  <c r="E73" i="18"/>
  <c r="B73" i="18"/>
  <c r="E72" i="18"/>
  <c r="B72" i="18"/>
  <c r="E71" i="18"/>
  <c r="B71" i="18"/>
  <c r="E70" i="18"/>
  <c r="B70" i="18"/>
  <c r="E69" i="18"/>
  <c r="B69" i="18"/>
  <c r="E68" i="18"/>
  <c r="B68" i="18"/>
  <c r="E67" i="18"/>
  <c r="B67" i="18"/>
  <c r="E66" i="18"/>
  <c r="B66" i="18"/>
  <c r="E65" i="18"/>
  <c r="B65" i="18"/>
  <c r="E64" i="18"/>
  <c r="B64" i="18"/>
  <c r="E63" i="18"/>
  <c r="B63" i="18"/>
  <c r="E62" i="18"/>
  <c r="B62" i="18"/>
  <c r="E61" i="18"/>
  <c r="B61" i="18"/>
  <c r="E60" i="18"/>
  <c r="B60" i="18"/>
  <c r="E59" i="18"/>
  <c r="B59" i="18"/>
  <c r="E58" i="18"/>
  <c r="B58" i="18"/>
  <c r="E57" i="18"/>
  <c r="B57" i="18"/>
  <c r="E56" i="18"/>
  <c r="B56" i="18"/>
  <c r="E55" i="18"/>
  <c r="B55" i="18"/>
  <c r="E54" i="18"/>
  <c r="B54" i="18"/>
  <c r="E53" i="18"/>
  <c r="B53" i="18"/>
  <c r="E52" i="18"/>
  <c r="B52" i="18"/>
  <c r="E51" i="18"/>
  <c r="B51" i="18"/>
  <c r="E50" i="18"/>
  <c r="B50" i="18"/>
  <c r="E49" i="18"/>
  <c r="B49" i="18"/>
  <c r="E48" i="18"/>
  <c r="B48" i="18"/>
  <c r="E47" i="18"/>
  <c r="B47" i="18"/>
  <c r="E46" i="18"/>
  <c r="B46" i="18"/>
  <c r="E45" i="18"/>
  <c r="B45" i="18"/>
  <c r="E44" i="18"/>
  <c r="B44" i="18"/>
  <c r="E43" i="18"/>
  <c r="B43" i="18"/>
  <c r="E42" i="18"/>
  <c r="B42" i="18"/>
  <c r="E41" i="18"/>
  <c r="B41" i="18"/>
  <c r="E40" i="18"/>
  <c r="B40" i="18"/>
  <c r="E39" i="18"/>
  <c r="B39" i="18"/>
  <c r="E38" i="18"/>
  <c r="B38" i="18"/>
  <c r="E37" i="18"/>
  <c r="B37" i="18"/>
  <c r="E36" i="18"/>
  <c r="B36" i="18"/>
  <c r="E35" i="18"/>
  <c r="B35" i="18"/>
  <c r="E34" i="18"/>
  <c r="B34" i="18"/>
  <c r="E33" i="18"/>
  <c r="B33" i="18"/>
  <c r="E32" i="18"/>
  <c r="B32" i="18"/>
  <c r="E31" i="18"/>
  <c r="B31" i="18"/>
  <c r="E30" i="18"/>
  <c r="B30" i="18"/>
  <c r="E29" i="18"/>
  <c r="B29" i="18"/>
  <c r="E28" i="18"/>
  <c r="B28" i="18"/>
  <c r="E27" i="18"/>
  <c r="B27" i="18"/>
  <c r="E26" i="18"/>
  <c r="B26" i="18"/>
  <c r="E25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E16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E3" i="18"/>
  <c r="B3" i="18"/>
  <c r="E2" i="18"/>
  <c r="B2" i="18"/>
  <c r="D91" i="22"/>
  <c r="B91" i="22"/>
  <c r="D90" i="22"/>
  <c r="B90" i="22"/>
  <c r="D89" i="22"/>
  <c r="B89" i="22"/>
  <c r="D88" i="22"/>
  <c r="B88" i="22"/>
  <c r="D87" i="22"/>
  <c r="B87" i="22"/>
  <c r="D86" i="22"/>
  <c r="B86" i="22"/>
  <c r="D85" i="22"/>
  <c r="B85" i="22"/>
  <c r="D84" i="22"/>
  <c r="B84" i="22"/>
  <c r="D83" i="22"/>
  <c r="B83" i="22"/>
  <c r="D82" i="22"/>
  <c r="B82" i="22"/>
  <c r="D81" i="22"/>
  <c r="B81" i="22"/>
  <c r="D80" i="22"/>
  <c r="B80" i="22"/>
  <c r="D79" i="22"/>
  <c r="B79" i="22"/>
  <c r="D78" i="22"/>
  <c r="B78" i="22"/>
  <c r="D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E61" i="22"/>
  <c r="D61" i="22"/>
  <c r="C61" i="22"/>
  <c r="B61" i="22"/>
  <c r="D60" i="22"/>
  <c r="C60" i="22"/>
  <c r="B60" i="22"/>
  <c r="E59" i="22"/>
  <c r="D59" i="22"/>
  <c r="C59" i="22"/>
  <c r="B59" i="22"/>
  <c r="D58" i="22"/>
  <c r="C58" i="22"/>
  <c r="B58" i="22"/>
  <c r="E57" i="22"/>
  <c r="D57" i="22"/>
  <c r="C57" i="22"/>
  <c r="B57" i="22"/>
  <c r="E56" i="22"/>
  <c r="D56" i="22"/>
  <c r="C56" i="22"/>
  <c r="B56" i="22"/>
  <c r="D55" i="22"/>
  <c r="C55" i="22"/>
  <c r="B55" i="22"/>
  <c r="E54" i="22"/>
  <c r="D54" i="22"/>
  <c r="C54" i="22"/>
  <c r="B54" i="22"/>
  <c r="D53" i="22"/>
  <c r="C53" i="22"/>
  <c r="B53" i="22"/>
  <c r="E52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B46" i="22"/>
  <c r="D45" i="22"/>
  <c r="B45" i="22"/>
  <c r="D44" i="22"/>
  <c r="B44" i="22"/>
  <c r="D43" i="22"/>
  <c r="B43" i="22"/>
  <c r="D42" i="22"/>
  <c r="B42" i="22"/>
  <c r="D41" i="22"/>
  <c r="B41" i="22"/>
  <c r="D40" i="22"/>
  <c r="B40" i="22"/>
  <c r="D39" i="22"/>
  <c r="B39" i="22"/>
  <c r="D38" i="22"/>
  <c r="B38" i="22"/>
  <c r="D37" i="22"/>
  <c r="B37" i="22"/>
  <c r="D36" i="22"/>
  <c r="B36" i="22"/>
  <c r="D35" i="22"/>
  <c r="B35" i="22"/>
  <c r="D34" i="22"/>
  <c r="B34" i="22"/>
  <c r="D33" i="22"/>
  <c r="B33" i="22"/>
  <c r="D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E16" i="22"/>
  <c r="D16" i="22"/>
  <c r="C16" i="22"/>
  <c r="B16" i="22"/>
  <c r="D15" i="22"/>
  <c r="C15" i="22"/>
  <c r="B15" i="22"/>
  <c r="E14" i="22"/>
  <c r="D14" i="22"/>
  <c r="C14" i="22"/>
  <c r="B14" i="22"/>
  <c r="D13" i="22"/>
  <c r="C13" i="22"/>
  <c r="B13" i="22"/>
  <c r="E12" i="22"/>
  <c r="D12" i="22"/>
  <c r="C12" i="22"/>
  <c r="B12" i="22"/>
  <c r="E11" i="22"/>
  <c r="D11" i="22"/>
  <c r="C11" i="22"/>
  <c r="B11" i="22"/>
  <c r="D10" i="22"/>
  <c r="C10" i="22"/>
  <c r="B10" i="22"/>
  <c r="E9" i="22"/>
  <c r="D9" i="22"/>
  <c r="C9" i="22"/>
  <c r="B9" i="22"/>
  <c r="D8" i="22"/>
  <c r="C8" i="22"/>
  <c r="B8" i="22"/>
  <c r="E7" i="22"/>
  <c r="D7" i="22"/>
  <c r="C7" i="22"/>
  <c r="B7" i="22"/>
  <c r="D6" i="22"/>
  <c r="C6" i="22"/>
  <c r="B6" i="22"/>
  <c r="D5" i="22"/>
  <c r="C5" i="22"/>
  <c r="B5" i="22"/>
  <c r="D4" i="22"/>
  <c r="C4" i="22"/>
  <c r="B4" i="22"/>
  <c r="D3" i="22"/>
  <c r="C3" i="22"/>
  <c r="B3" i="22"/>
  <c r="D2" i="22"/>
  <c r="C2" i="22"/>
  <c r="B2" i="22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8" i="57"/>
  <c r="C7" i="57"/>
  <c r="C6" i="57"/>
  <c r="C5" i="57"/>
  <c r="C4" i="57"/>
  <c r="C3" i="57"/>
  <c r="C2" i="57"/>
  <c r="I61" i="63"/>
  <c r="H61" i="63"/>
  <c r="G61" i="63"/>
  <c r="F61" i="63"/>
  <c r="E61" i="63"/>
  <c r="D61" i="63"/>
  <c r="B61" i="63"/>
  <c r="I60" i="63"/>
  <c r="H60" i="63"/>
  <c r="G60" i="63"/>
  <c r="F60" i="63"/>
  <c r="E60" i="63"/>
  <c r="D60" i="63"/>
  <c r="B60" i="63"/>
  <c r="E59" i="63"/>
  <c r="B59" i="63"/>
  <c r="I58" i="63"/>
  <c r="H58" i="63"/>
  <c r="G58" i="63"/>
  <c r="F58" i="63"/>
  <c r="E58" i="63"/>
  <c r="D58" i="63"/>
  <c r="B58" i="63"/>
  <c r="I57" i="63"/>
  <c r="H57" i="63"/>
  <c r="G57" i="63"/>
  <c r="F57" i="63"/>
  <c r="E57" i="63"/>
  <c r="D57" i="63"/>
  <c r="B57" i="63"/>
  <c r="I56" i="63"/>
  <c r="H56" i="63"/>
  <c r="G56" i="63"/>
  <c r="E56" i="63"/>
  <c r="D56" i="63"/>
  <c r="B56" i="63"/>
  <c r="I55" i="63"/>
  <c r="H55" i="63"/>
  <c r="G55" i="63"/>
  <c r="E55" i="63"/>
  <c r="D55" i="63"/>
  <c r="B55" i="63"/>
  <c r="I54" i="63"/>
  <c r="H54" i="63"/>
  <c r="G54" i="63"/>
  <c r="E54" i="63"/>
  <c r="D54" i="63"/>
  <c r="B54" i="63"/>
  <c r="I53" i="63"/>
  <c r="H53" i="63"/>
  <c r="G53" i="63"/>
  <c r="F53" i="63"/>
  <c r="E53" i="63"/>
  <c r="D53" i="63"/>
  <c r="B53" i="63"/>
  <c r="I52" i="63"/>
  <c r="H52" i="63"/>
  <c r="G52" i="63"/>
  <c r="F52" i="63"/>
  <c r="E52" i="63"/>
  <c r="D52" i="63"/>
  <c r="B52" i="63"/>
  <c r="I51" i="63"/>
  <c r="H51" i="63"/>
  <c r="G51" i="63"/>
  <c r="F51" i="63"/>
  <c r="E51" i="63"/>
  <c r="D51" i="63"/>
  <c r="B51" i="63"/>
  <c r="I50" i="63"/>
  <c r="H50" i="63"/>
  <c r="G50" i="63"/>
  <c r="F50" i="63"/>
  <c r="E50" i="63"/>
  <c r="D50" i="63"/>
  <c r="B50" i="63"/>
  <c r="E49" i="63"/>
  <c r="B49" i="63"/>
  <c r="I48" i="63"/>
  <c r="H48" i="63"/>
  <c r="G48" i="63"/>
  <c r="F48" i="63"/>
  <c r="E48" i="63"/>
  <c r="D48" i="63"/>
  <c r="B48" i="63"/>
  <c r="I47" i="63"/>
  <c r="H47" i="63"/>
  <c r="G47" i="63"/>
  <c r="F47" i="63"/>
  <c r="E47" i="63"/>
  <c r="D47" i="63"/>
  <c r="B47" i="63"/>
  <c r="I46" i="63"/>
  <c r="H46" i="63"/>
  <c r="G46" i="63"/>
  <c r="E46" i="63"/>
  <c r="D46" i="63"/>
  <c r="B46" i="63"/>
  <c r="I45" i="63"/>
  <c r="H45" i="63"/>
  <c r="G45" i="63"/>
  <c r="E45" i="63"/>
  <c r="D45" i="63"/>
  <c r="B45" i="63"/>
  <c r="I44" i="63"/>
  <c r="H44" i="63"/>
  <c r="G44" i="63"/>
  <c r="E44" i="63"/>
  <c r="D44" i="63"/>
  <c r="B44" i="63"/>
  <c r="I43" i="63"/>
  <c r="H43" i="63"/>
  <c r="G43" i="63"/>
  <c r="F43" i="63"/>
  <c r="E43" i="63"/>
  <c r="D43" i="63"/>
  <c r="B43" i="63"/>
  <c r="I42" i="63"/>
  <c r="H42" i="63"/>
  <c r="G42" i="63"/>
  <c r="F42" i="63"/>
  <c r="E42" i="63"/>
  <c r="D42" i="63"/>
  <c r="B42" i="63"/>
  <c r="I41" i="63"/>
  <c r="H41" i="63"/>
  <c r="G41" i="63"/>
  <c r="F41" i="63"/>
  <c r="E41" i="63"/>
  <c r="D41" i="63"/>
  <c r="B41" i="63"/>
  <c r="I40" i="63"/>
  <c r="H40" i="63"/>
  <c r="G40" i="63"/>
  <c r="F40" i="63"/>
  <c r="E40" i="63"/>
  <c r="D40" i="63"/>
  <c r="B40" i="63"/>
  <c r="E39" i="63"/>
  <c r="B39" i="63"/>
  <c r="I38" i="63"/>
  <c r="H38" i="63"/>
  <c r="G38" i="63"/>
  <c r="F38" i="63"/>
  <c r="E38" i="63"/>
  <c r="D38" i="63"/>
  <c r="B38" i="63"/>
  <c r="I37" i="63"/>
  <c r="H37" i="63"/>
  <c r="G37" i="63"/>
  <c r="F37" i="63"/>
  <c r="E37" i="63"/>
  <c r="D37" i="63"/>
  <c r="B37" i="63"/>
  <c r="I36" i="63"/>
  <c r="H36" i="63"/>
  <c r="G36" i="63"/>
  <c r="E36" i="63"/>
  <c r="D36" i="63"/>
  <c r="B36" i="63"/>
  <c r="I35" i="63"/>
  <c r="H35" i="63"/>
  <c r="G35" i="63"/>
  <c r="E35" i="63"/>
  <c r="D35" i="63"/>
  <c r="B35" i="63"/>
  <c r="I34" i="63"/>
  <c r="H34" i="63"/>
  <c r="G34" i="63"/>
  <c r="E34" i="63"/>
  <c r="D34" i="63"/>
  <c r="B34" i="63"/>
  <c r="I33" i="63"/>
  <c r="H33" i="63"/>
  <c r="G33" i="63"/>
  <c r="F33" i="63"/>
  <c r="E33" i="63"/>
  <c r="D33" i="63"/>
  <c r="B33" i="63"/>
  <c r="I32" i="63"/>
  <c r="H32" i="63"/>
  <c r="G32" i="63"/>
  <c r="F32" i="63"/>
  <c r="E32" i="63"/>
  <c r="D32" i="63"/>
  <c r="B32" i="63"/>
  <c r="I31" i="63"/>
  <c r="H31" i="63"/>
  <c r="G31" i="63"/>
  <c r="F31" i="63"/>
  <c r="E31" i="63"/>
  <c r="D31" i="63"/>
  <c r="B31" i="63"/>
  <c r="I30" i="63"/>
  <c r="H30" i="63"/>
  <c r="G30" i="63"/>
  <c r="F30" i="63"/>
  <c r="E30" i="63"/>
  <c r="D30" i="63"/>
  <c r="B30" i="63"/>
  <c r="E29" i="63"/>
  <c r="B29" i="63"/>
  <c r="I28" i="63"/>
  <c r="H28" i="63"/>
  <c r="G28" i="63"/>
  <c r="F28" i="63"/>
  <c r="E28" i="63"/>
  <c r="D28" i="63"/>
  <c r="B28" i="63"/>
  <c r="I27" i="63"/>
  <c r="H27" i="63"/>
  <c r="G27" i="63"/>
  <c r="F27" i="63"/>
  <c r="E27" i="63"/>
  <c r="D27" i="63"/>
  <c r="B27" i="63"/>
  <c r="I26" i="63"/>
  <c r="H26" i="63"/>
  <c r="G26" i="63"/>
  <c r="E26" i="63"/>
  <c r="D26" i="63"/>
  <c r="B26" i="63"/>
  <c r="I25" i="63"/>
  <c r="H25" i="63"/>
  <c r="G25" i="63"/>
  <c r="E25" i="63"/>
  <c r="D25" i="63"/>
  <c r="B25" i="63"/>
  <c r="I24" i="63"/>
  <c r="H24" i="63"/>
  <c r="G24" i="63"/>
  <c r="E24" i="63"/>
  <c r="D24" i="63"/>
  <c r="B24" i="63"/>
  <c r="I23" i="63"/>
  <c r="H23" i="63"/>
  <c r="G23" i="63"/>
  <c r="F23" i="63"/>
  <c r="E23" i="63"/>
  <c r="D23" i="63"/>
  <c r="B23" i="63"/>
  <c r="I22" i="63"/>
  <c r="H22" i="63"/>
  <c r="G22" i="63"/>
  <c r="F22" i="63"/>
  <c r="E22" i="63"/>
  <c r="D22" i="63"/>
  <c r="B22" i="63"/>
  <c r="I21" i="63"/>
  <c r="H21" i="63"/>
  <c r="G21" i="63"/>
  <c r="F21" i="63"/>
  <c r="E21" i="63"/>
  <c r="D21" i="63"/>
  <c r="B21" i="63"/>
  <c r="I20" i="63"/>
  <c r="H20" i="63"/>
  <c r="G20" i="63"/>
  <c r="F20" i="63"/>
  <c r="E20" i="63"/>
  <c r="D20" i="63"/>
  <c r="B20" i="63"/>
  <c r="E19" i="63"/>
  <c r="B19" i="63"/>
  <c r="I18" i="63"/>
  <c r="H18" i="63"/>
  <c r="G18" i="63"/>
  <c r="F18" i="63"/>
  <c r="E18" i="63"/>
  <c r="D18" i="63"/>
  <c r="B18" i="63"/>
  <c r="I17" i="63"/>
  <c r="H17" i="63"/>
  <c r="G17" i="63"/>
  <c r="F17" i="63"/>
  <c r="E17" i="63"/>
  <c r="D17" i="63"/>
  <c r="B17" i="63"/>
  <c r="I16" i="63"/>
  <c r="H16" i="63"/>
  <c r="G16" i="63"/>
  <c r="E16" i="63"/>
  <c r="D16" i="63"/>
  <c r="B16" i="63"/>
  <c r="I15" i="63"/>
  <c r="H15" i="63"/>
  <c r="G15" i="63"/>
  <c r="E15" i="63"/>
  <c r="D15" i="63"/>
  <c r="B15" i="63"/>
  <c r="I14" i="63"/>
  <c r="H14" i="63"/>
  <c r="G14" i="63"/>
  <c r="E14" i="63"/>
  <c r="D14" i="63"/>
  <c r="B14" i="63"/>
  <c r="I13" i="63"/>
  <c r="H13" i="63"/>
  <c r="G13" i="63"/>
  <c r="F13" i="63"/>
  <c r="E13" i="63"/>
  <c r="D13" i="63"/>
  <c r="B13" i="63"/>
  <c r="I12" i="63"/>
  <c r="H12" i="63"/>
  <c r="G12" i="63"/>
  <c r="F12" i="63"/>
  <c r="E12" i="63"/>
  <c r="D12" i="63"/>
  <c r="B12" i="63"/>
  <c r="B11" i="63"/>
  <c r="B10" i="63"/>
  <c r="B9" i="63"/>
  <c r="B8" i="63"/>
  <c r="B7" i="63"/>
  <c r="F6" i="63"/>
  <c r="B6" i="63"/>
  <c r="F5" i="63"/>
  <c r="B5" i="63"/>
  <c r="F4" i="63"/>
  <c r="B4" i="63"/>
  <c r="B3" i="63"/>
  <c r="B2" i="63"/>
  <c r="F53" i="20"/>
  <c r="C53" i="20" s="1"/>
  <c r="P22" i="18" s="1"/>
  <c r="F52" i="20"/>
  <c r="P30" i="18" s="1"/>
  <c r="F51" i="20"/>
  <c r="P29" i="18" s="1"/>
  <c r="H50" i="20"/>
  <c r="G50" i="20"/>
  <c r="F50" i="20"/>
  <c r="E50" i="20"/>
  <c r="D50" i="20"/>
  <c r="C50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C31" i="20"/>
  <c r="F26" i="20"/>
  <c r="F25" i="20"/>
  <c r="C25" i="20" s="1"/>
  <c r="F24" i="20"/>
  <c r="H23" i="20"/>
  <c r="G23" i="20"/>
  <c r="F23" i="20"/>
  <c r="E23" i="20"/>
  <c r="D23" i="20"/>
  <c r="C23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C5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Z2" i="20"/>
  <c r="Y2" i="20"/>
  <c r="X2" i="20"/>
  <c r="F21" i="77"/>
  <c r="E21" i="77"/>
  <c r="D21" i="77"/>
  <c r="C21" i="77"/>
  <c r="D3" i="77"/>
  <c r="C3" i="77"/>
  <c r="F147" i="74"/>
  <c r="F146" i="74"/>
  <c r="F145" i="74"/>
  <c r="F144" i="74"/>
  <c r="F143" i="74"/>
  <c r="F142" i="74"/>
  <c r="F141" i="74"/>
  <c r="F140" i="74"/>
  <c r="F139" i="74"/>
  <c r="F138" i="74"/>
  <c r="F137" i="74"/>
  <c r="F136" i="74"/>
  <c r="F135" i="74"/>
  <c r="F134" i="74"/>
  <c r="F133" i="74"/>
  <c r="F132" i="74"/>
  <c r="F131" i="74"/>
  <c r="F130" i="74"/>
  <c r="F129" i="74"/>
  <c r="F128" i="74"/>
  <c r="F127" i="74"/>
  <c r="F126" i="74"/>
  <c r="F125" i="74"/>
  <c r="F124" i="74"/>
  <c r="F123" i="74"/>
  <c r="F122" i="74"/>
  <c r="F121" i="74"/>
  <c r="F120" i="74"/>
  <c r="F119" i="74"/>
  <c r="F118" i="74"/>
  <c r="F117" i="74"/>
  <c r="F116" i="74"/>
  <c r="F115" i="74"/>
  <c r="F114" i="74"/>
  <c r="F113" i="74"/>
  <c r="F112" i="74"/>
  <c r="F111" i="74"/>
  <c r="F110" i="74"/>
  <c r="F109" i="74"/>
  <c r="F108" i="74"/>
  <c r="F107" i="74"/>
  <c r="F106" i="74"/>
  <c r="F105" i="74"/>
  <c r="F104" i="74"/>
  <c r="F103" i="74"/>
  <c r="F102" i="74"/>
  <c r="F101" i="74"/>
  <c r="F100" i="74"/>
  <c r="F99" i="74"/>
  <c r="E99" i="74"/>
  <c r="B99" i="74"/>
  <c r="B147" i="74" s="1"/>
  <c r="A99" i="74"/>
  <c r="C99" i="74" s="1"/>
  <c r="F98" i="74"/>
  <c r="E98" i="74"/>
  <c r="B98" i="74"/>
  <c r="B146" i="74" s="1"/>
  <c r="A98" i="74"/>
  <c r="C98" i="74" s="1"/>
  <c r="F97" i="74"/>
  <c r="E97" i="74"/>
  <c r="B97" i="74"/>
  <c r="B145" i="74" s="1"/>
  <c r="A97" i="74"/>
  <c r="C97" i="74" s="1"/>
  <c r="F96" i="74"/>
  <c r="E96" i="74"/>
  <c r="B96" i="74"/>
  <c r="B144" i="74" s="1"/>
  <c r="A96" i="74"/>
  <c r="C96" i="74" s="1"/>
  <c r="F95" i="74"/>
  <c r="E95" i="74"/>
  <c r="B95" i="74"/>
  <c r="B143" i="74" s="1"/>
  <c r="A95" i="74"/>
  <c r="A143" i="74" s="1"/>
  <c r="C143" i="74" s="1"/>
  <c r="F94" i="74"/>
  <c r="E94" i="74"/>
  <c r="B94" i="74"/>
  <c r="B142" i="74" s="1"/>
  <c r="A94" i="74"/>
  <c r="A142" i="74" s="1"/>
  <c r="C142" i="74" s="1"/>
  <c r="F93" i="74"/>
  <c r="E93" i="74"/>
  <c r="B93" i="74"/>
  <c r="B141" i="74" s="1"/>
  <c r="A93" i="74"/>
  <c r="C93" i="74" s="1"/>
  <c r="F92" i="74"/>
  <c r="E92" i="74"/>
  <c r="B92" i="74"/>
  <c r="B140" i="74" s="1"/>
  <c r="A92" i="74"/>
  <c r="A140" i="74" s="1"/>
  <c r="C140" i="74" s="1"/>
  <c r="F91" i="74"/>
  <c r="E91" i="74"/>
  <c r="B91" i="74"/>
  <c r="B139" i="74" s="1"/>
  <c r="A91" i="74"/>
  <c r="A139" i="74" s="1"/>
  <c r="C139" i="74" s="1"/>
  <c r="F90" i="74"/>
  <c r="E90" i="74"/>
  <c r="B90" i="74"/>
  <c r="B138" i="74" s="1"/>
  <c r="A90" i="74"/>
  <c r="A138" i="74" s="1"/>
  <c r="C138" i="74" s="1"/>
  <c r="F89" i="74"/>
  <c r="E89" i="74"/>
  <c r="B89" i="74"/>
  <c r="B137" i="74" s="1"/>
  <c r="A89" i="74"/>
  <c r="C89" i="74" s="1"/>
  <c r="F88" i="74"/>
  <c r="E88" i="74"/>
  <c r="B88" i="74"/>
  <c r="B136" i="74" s="1"/>
  <c r="A88" i="74"/>
  <c r="A136" i="74" s="1"/>
  <c r="C136" i="74" s="1"/>
  <c r="F87" i="74"/>
  <c r="E87" i="74"/>
  <c r="B87" i="74"/>
  <c r="B135" i="74" s="1"/>
  <c r="A87" i="74"/>
  <c r="C87" i="74" s="1"/>
  <c r="F86" i="74"/>
  <c r="E86" i="74"/>
  <c r="B86" i="74"/>
  <c r="B134" i="74" s="1"/>
  <c r="A86" i="74"/>
  <c r="C86" i="74" s="1"/>
  <c r="F85" i="74"/>
  <c r="E85" i="74"/>
  <c r="B85" i="74"/>
  <c r="B133" i="74" s="1"/>
  <c r="A85" i="74"/>
  <c r="C85" i="74" s="1"/>
  <c r="F84" i="74"/>
  <c r="E84" i="74"/>
  <c r="B84" i="74"/>
  <c r="B132" i="74" s="1"/>
  <c r="A84" i="74"/>
  <c r="C84" i="74" s="1"/>
  <c r="F83" i="74"/>
  <c r="E83" i="74"/>
  <c r="B83" i="74"/>
  <c r="B131" i="74" s="1"/>
  <c r="A83" i="74"/>
  <c r="A131" i="74" s="1"/>
  <c r="C131" i="74" s="1"/>
  <c r="F82" i="74"/>
  <c r="E82" i="74"/>
  <c r="B82" i="74"/>
  <c r="B130" i="74" s="1"/>
  <c r="A82" i="74"/>
  <c r="A130" i="74" s="1"/>
  <c r="C130" i="74" s="1"/>
  <c r="F81" i="74"/>
  <c r="E81" i="74"/>
  <c r="B81" i="74"/>
  <c r="B129" i="74" s="1"/>
  <c r="A81" i="74"/>
  <c r="C81" i="74" s="1"/>
  <c r="F80" i="74"/>
  <c r="E80" i="74"/>
  <c r="B80" i="74"/>
  <c r="B128" i="74" s="1"/>
  <c r="A80" i="74"/>
  <c r="A128" i="74" s="1"/>
  <c r="C128" i="74" s="1"/>
  <c r="F79" i="74"/>
  <c r="E79" i="74"/>
  <c r="B79" i="74"/>
  <c r="B127" i="74" s="1"/>
  <c r="A79" i="74"/>
  <c r="A127" i="74" s="1"/>
  <c r="C127" i="74" s="1"/>
  <c r="F78" i="74"/>
  <c r="E78" i="74"/>
  <c r="B78" i="74"/>
  <c r="B126" i="74" s="1"/>
  <c r="A78" i="74"/>
  <c r="A126" i="74" s="1"/>
  <c r="C126" i="74" s="1"/>
  <c r="F77" i="74"/>
  <c r="E77" i="74"/>
  <c r="B77" i="74"/>
  <c r="B125" i="74" s="1"/>
  <c r="A77" i="74"/>
  <c r="C77" i="74" s="1"/>
  <c r="F76" i="74"/>
  <c r="E76" i="74"/>
  <c r="B76" i="74"/>
  <c r="B124" i="74" s="1"/>
  <c r="A76" i="74"/>
  <c r="A124" i="74" s="1"/>
  <c r="C124" i="74" s="1"/>
  <c r="F75" i="74"/>
  <c r="E75" i="74"/>
  <c r="B75" i="74"/>
  <c r="B123" i="74" s="1"/>
  <c r="A75" i="74"/>
  <c r="C75" i="74" s="1"/>
  <c r="F74" i="74"/>
  <c r="E74" i="74"/>
  <c r="B74" i="74"/>
  <c r="B122" i="74" s="1"/>
  <c r="A74" i="74"/>
  <c r="C74" i="74" s="1"/>
  <c r="F73" i="74"/>
  <c r="E73" i="74"/>
  <c r="B73" i="74"/>
  <c r="B121" i="74" s="1"/>
  <c r="A73" i="74"/>
  <c r="C73" i="74" s="1"/>
  <c r="F72" i="74"/>
  <c r="E72" i="74"/>
  <c r="B72" i="74"/>
  <c r="B120" i="74" s="1"/>
  <c r="A72" i="74"/>
  <c r="C72" i="74" s="1"/>
  <c r="F71" i="74"/>
  <c r="E71" i="74"/>
  <c r="B71" i="74"/>
  <c r="B119" i="74" s="1"/>
  <c r="A71" i="74"/>
  <c r="A119" i="74" s="1"/>
  <c r="C119" i="74" s="1"/>
  <c r="F70" i="74"/>
  <c r="E70" i="74"/>
  <c r="B70" i="74"/>
  <c r="B118" i="74" s="1"/>
  <c r="A70" i="74"/>
  <c r="A118" i="74" s="1"/>
  <c r="C118" i="74" s="1"/>
  <c r="F69" i="74"/>
  <c r="E69" i="74"/>
  <c r="B69" i="74"/>
  <c r="B117" i="74" s="1"/>
  <c r="A69" i="74"/>
  <c r="C69" i="74" s="1"/>
  <c r="F68" i="74"/>
  <c r="E68" i="74"/>
  <c r="B68" i="74"/>
  <c r="B116" i="74" s="1"/>
  <c r="A68" i="74"/>
  <c r="A116" i="74" s="1"/>
  <c r="C116" i="74" s="1"/>
  <c r="F67" i="74"/>
  <c r="E67" i="74"/>
  <c r="B67" i="74"/>
  <c r="B115" i="74" s="1"/>
  <c r="A67" i="74"/>
  <c r="A115" i="74" s="1"/>
  <c r="C115" i="74" s="1"/>
  <c r="F66" i="74"/>
  <c r="E66" i="74"/>
  <c r="B66" i="74"/>
  <c r="B114" i="74" s="1"/>
  <c r="A66" i="74"/>
  <c r="A114" i="74" s="1"/>
  <c r="C114" i="74" s="1"/>
  <c r="F65" i="74"/>
  <c r="E65" i="74"/>
  <c r="B65" i="74"/>
  <c r="B113" i="74" s="1"/>
  <c r="A65" i="74"/>
  <c r="C65" i="74" s="1"/>
  <c r="F64" i="74"/>
  <c r="E64" i="74"/>
  <c r="B64" i="74"/>
  <c r="B112" i="74" s="1"/>
  <c r="A64" i="74"/>
  <c r="A112" i="74" s="1"/>
  <c r="C112" i="74" s="1"/>
  <c r="F63" i="74"/>
  <c r="E63" i="74"/>
  <c r="B63" i="74"/>
  <c r="B111" i="74" s="1"/>
  <c r="A63" i="74"/>
  <c r="C63" i="74" s="1"/>
  <c r="F62" i="74"/>
  <c r="E62" i="74"/>
  <c r="B62" i="74"/>
  <c r="B110" i="74" s="1"/>
  <c r="A62" i="74"/>
  <c r="C62" i="74" s="1"/>
  <c r="F61" i="74"/>
  <c r="E61" i="74"/>
  <c r="B61" i="74"/>
  <c r="B109" i="74" s="1"/>
  <c r="A61" i="74"/>
  <c r="C61" i="74" s="1"/>
  <c r="F60" i="74"/>
  <c r="E60" i="74"/>
  <c r="B60" i="74"/>
  <c r="B108" i="74" s="1"/>
  <c r="A60" i="74"/>
  <c r="C60" i="74" s="1"/>
  <c r="F59" i="74"/>
  <c r="E59" i="74"/>
  <c r="B59" i="74"/>
  <c r="B107" i="74" s="1"/>
  <c r="A59" i="74"/>
  <c r="A107" i="74" s="1"/>
  <c r="C107" i="74" s="1"/>
  <c r="F58" i="74"/>
  <c r="E58" i="74"/>
  <c r="B58" i="74"/>
  <c r="B106" i="74" s="1"/>
  <c r="A58" i="74"/>
  <c r="A106" i="74" s="1"/>
  <c r="C106" i="74" s="1"/>
  <c r="F57" i="74"/>
  <c r="E57" i="74"/>
  <c r="B57" i="74"/>
  <c r="B105" i="74" s="1"/>
  <c r="A57" i="74"/>
  <c r="C57" i="74" s="1"/>
  <c r="F56" i="74"/>
  <c r="E56" i="74"/>
  <c r="B56" i="74"/>
  <c r="B104" i="74" s="1"/>
  <c r="A56" i="74"/>
  <c r="A104" i="74" s="1"/>
  <c r="C104" i="74" s="1"/>
  <c r="F55" i="74"/>
  <c r="E55" i="74"/>
  <c r="B55" i="74"/>
  <c r="B103" i="74" s="1"/>
  <c r="A55" i="74"/>
  <c r="S55" i="74" s="1"/>
  <c r="F54" i="74"/>
  <c r="E54" i="74"/>
  <c r="B54" i="74"/>
  <c r="B102" i="74" s="1"/>
  <c r="A54" i="74"/>
  <c r="C54" i="74" s="1"/>
  <c r="F53" i="74"/>
  <c r="E53" i="74"/>
  <c r="B53" i="74"/>
  <c r="B101" i="74" s="1"/>
  <c r="A53" i="74"/>
  <c r="C53" i="74" s="1"/>
  <c r="F52" i="74"/>
  <c r="E52" i="74"/>
  <c r="B52" i="74"/>
  <c r="B100" i="74" s="1"/>
  <c r="A52" i="74"/>
  <c r="A100" i="74" s="1"/>
  <c r="C100" i="74" s="1"/>
  <c r="F51" i="74"/>
  <c r="C51" i="74"/>
  <c r="F50" i="74"/>
  <c r="C50" i="74"/>
  <c r="F49" i="74"/>
  <c r="C49" i="74"/>
  <c r="F48" i="74"/>
  <c r="C48" i="74"/>
  <c r="F47" i="74"/>
  <c r="C47" i="74"/>
  <c r="F46" i="74"/>
  <c r="C46" i="74"/>
  <c r="F45" i="74"/>
  <c r="C45" i="74"/>
  <c r="F44" i="74"/>
  <c r="C44" i="74"/>
  <c r="F43" i="74"/>
  <c r="C43" i="74"/>
  <c r="F42" i="74"/>
  <c r="C42" i="74"/>
  <c r="F41" i="74"/>
  <c r="C41" i="74"/>
  <c r="F40" i="74"/>
  <c r="C40" i="74"/>
  <c r="F39" i="74"/>
  <c r="C39" i="74"/>
  <c r="F38" i="74"/>
  <c r="C38" i="74"/>
  <c r="F37" i="74"/>
  <c r="C37" i="74"/>
  <c r="F36" i="74"/>
  <c r="C36" i="74"/>
  <c r="F35" i="74"/>
  <c r="C35" i="74"/>
  <c r="F34" i="74"/>
  <c r="C34" i="74"/>
  <c r="F33" i="74"/>
  <c r="C33" i="74"/>
  <c r="F32" i="74"/>
  <c r="C32" i="74"/>
  <c r="F31" i="74"/>
  <c r="C31" i="74"/>
  <c r="F30" i="74"/>
  <c r="C30" i="74"/>
  <c r="F29" i="74"/>
  <c r="C29" i="74"/>
  <c r="F28" i="74"/>
  <c r="C28" i="74"/>
  <c r="F27" i="74"/>
  <c r="C27" i="74"/>
  <c r="F26" i="74"/>
  <c r="C26" i="74"/>
  <c r="F25" i="74"/>
  <c r="C25" i="74"/>
  <c r="F24" i="74"/>
  <c r="C24" i="74"/>
  <c r="F23" i="74"/>
  <c r="C23" i="74"/>
  <c r="F22" i="74"/>
  <c r="C22" i="74"/>
  <c r="F21" i="74"/>
  <c r="C21" i="74"/>
  <c r="F20" i="74"/>
  <c r="C20" i="74"/>
  <c r="F19" i="74"/>
  <c r="C19" i="74"/>
  <c r="F18" i="74"/>
  <c r="C18" i="74"/>
  <c r="F17" i="74"/>
  <c r="C17" i="74"/>
  <c r="F16" i="74"/>
  <c r="C16" i="74"/>
  <c r="F15" i="74"/>
  <c r="C15" i="74"/>
  <c r="F14" i="74"/>
  <c r="C14" i="74"/>
  <c r="F13" i="74"/>
  <c r="C13" i="74"/>
  <c r="F12" i="74"/>
  <c r="C12" i="74"/>
  <c r="F11" i="74"/>
  <c r="C11" i="74"/>
  <c r="F10" i="74"/>
  <c r="C10" i="74"/>
  <c r="F9" i="74"/>
  <c r="C9" i="74"/>
  <c r="F8" i="74"/>
  <c r="C8" i="74"/>
  <c r="S7" i="74"/>
  <c r="F7" i="74"/>
  <c r="C7" i="74"/>
  <c r="F6" i="74"/>
  <c r="C6" i="74"/>
  <c r="F5" i="74"/>
  <c r="C5" i="74"/>
  <c r="F4" i="74"/>
  <c r="C4" i="74"/>
  <c r="AB3" i="74"/>
  <c r="E291" i="66"/>
  <c r="E290" i="66"/>
  <c r="E289" i="66"/>
  <c r="E288" i="66"/>
  <c r="E287" i="66"/>
  <c r="E286" i="66"/>
  <c r="E285" i="66"/>
  <c r="E284" i="66"/>
  <c r="E283" i="66"/>
  <c r="E282" i="66"/>
  <c r="E281" i="66"/>
  <c r="E280" i="66"/>
  <c r="E279" i="66"/>
  <c r="E278" i="66"/>
  <c r="E277" i="66"/>
  <c r="E276" i="66"/>
  <c r="E275" i="66"/>
  <c r="E274" i="66"/>
  <c r="E273" i="66"/>
  <c r="E272" i="66"/>
  <c r="E271" i="66"/>
  <c r="E270" i="66"/>
  <c r="E269" i="66"/>
  <c r="E268" i="66"/>
  <c r="E267" i="66"/>
  <c r="E266" i="66"/>
  <c r="E265" i="66"/>
  <c r="E264" i="66"/>
  <c r="E263" i="66"/>
  <c r="E262" i="66"/>
  <c r="E261" i="66"/>
  <c r="E260" i="66"/>
  <c r="E259" i="66"/>
  <c r="E258" i="66"/>
  <c r="E257" i="66"/>
  <c r="E256" i="66"/>
  <c r="E255" i="66"/>
  <c r="E254" i="66"/>
  <c r="E253" i="66"/>
  <c r="E252" i="66"/>
  <c r="E251" i="66"/>
  <c r="E250" i="66"/>
  <c r="E249" i="66"/>
  <c r="E248" i="66"/>
  <c r="E247" i="66"/>
  <c r="E246" i="66"/>
  <c r="E245" i="66"/>
  <c r="E244" i="66"/>
  <c r="E243" i="66"/>
  <c r="B243" i="66"/>
  <c r="B291" i="66" s="1"/>
  <c r="A243" i="66"/>
  <c r="A291" i="66" s="1"/>
  <c r="I291" i="66" s="1"/>
  <c r="E242" i="66"/>
  <c r="B242" i="66"/>
  <c r="B290" i="66" s="1"/>
  <c r="A242" i="66"/>
  <c r="I242" i="66" s="1"/>
  <c r="E241" i="66"/>
  <c r="B241" i="66"/>
  <c r="B289" i="66" s="1"/>
  <c r="A241" i="66"/>
  <c r="A289" i="66" s="1"/>
  <c r="I289" i="66" s="1"/>
  <c r="E240" i="66"/>
  <c r="B240" i="66"/>
  <c r="B288" i="66" s="1"/>
  <c r="A240" i="66"/>
  <c r="A288" i="66" s="1"/>
  <c r="I288" i="66" s="1"/>
  <c r="E239" i="66"/>
  <c r="B239" i="66"/>
  <c r="B287" i="66" s="1"/>
  <c r="A239" i="66"/>
  <c r="I239" i="66" s="1"/>
  <c r="E238" i="66"/>
  <c r="B238" i="66"/>
  <c r="B286" i="66" s="1"/>
  <c r="A238" i="66"/>
  <c r="I238" i="66" s="1"/>
  <c r="E237" i="66"/>
  <c r="B237" i="66"/>
  <c r="B285" i="66" s="1"/>
  <c r="A237" i="66"/>
  <c r="I237" i="66" s="1"/>
  <c r="I236" i="66"/>
  <c r="E236" i="66"/>
  <c r="B236" i="66"/>
  <c r="B284" i="66" s="1"/>
  <c r="A236" i="66"/>
  <c r="A284" i="66" s="1"/>
  <c r="I284" i="66" s="1"/>
  <c r="E235" i="66"/>
  <c r="B235" i="66"/>
  <c r="B283" i="66" s="1"/>
  <c r="A235" i="66"/>
  <c r="I235" i="66" s="1"/>
  <c r="I234" i="66"/>
  <c r="E234" i="66"/>
  <c r="B234" i="66"/>
  <c r="B282" i="66" s="1"/>
  <c r="A234" i="66"/>
  <c r="A282" i="66" s="1"/>
  <c r="I282" i="66" s="1"/>
  <c r="E233" i="66"/>
  <c r="B233" i="66"/>
  <c r="B281" i="66" s="1"/>
  <c r="A233" i="66"/>
  <c r="A281" i="66" s="1"/>
  <c r="I281" i="66" s="1"/>
  <c r="E232" i="66"/>
  <c r="B232" i="66"/>
  <c r="B280" i="66" s="1"/>
  <c r="A232" i="66"/>
  <c r="A280" i="66" s="1"/>
  <c r="I280" i="66" s="1"/>
  <c r="I231" i="66"/>
  <c r="E231" i="66"/>
  <c r="B231" i="66"/>
  <c r="B279" i="66" s="1"/>
  <c r="A231" i="66"/>
  <c r="A279" i="66" s="1"/>
  <c r="I279" i="66" s="1"/>
  <c r="E230" i="66"/>
  <c r="B230" i="66"/>
  <c r="B278" i="66" s="1"/>
  <c r="A230" i="66"/>
  <c r="I230" i="66" s="1"/>
  <c r="E229" i="66"/>
  <c r="B229" i="66"/>
  <c r="B277" i="66" s="1"/>
  <c r="A229" i="66"/>
  <c r="A277" i="66" s="1"/>
  <c r="I277" i="66" s="1"/>
  <c r="E228" i="66"/>
  <c r="B228" i="66"/>
  <c r="B276" i="66" s="1"/>
  <c r="A228" i="66"/>
  <c r="I228" i="66" s="1"/>
  <c r="E227" i="66"/>
  <c r="B227" i="66"/>
  <c r="B275" i="66" s="1"/>
  <c r="A227" i="66"/>
  <c r="I227" i="66" s="1"/>
  <c r="E226" i="66"/>
  <c r="B226" i="66"/>
  <c r="B274" i="66" s="1"/>
  <c r="A226" i="66"/>
  <c r="I226" i="66" s="1"/>
  <c r="E225" i="66"/>
  <c r="B225" i="66"/>
  <c r="B273" i="66" s="1"/>
  <c r="A225" i="66"/>
  <c r="I225" i="66" s="1"/>
  <c r="I224" i="66"/>
  <c r="E224" i="66"/>
  <c r="B224" i="66"/>
  <c r="B272" i="66" s="1"/>
  <c r="A224" i="66"/>
  <c r="A272" i="66" s="1"/>
  <c r="I272" i="66" s="1"/>
  <c r="E223" i="66"/>
  <c r="B223" i="66"/>
  <c r="B271" i="66" s="1"/>
  <c r="A223" i="66"/>
  <c r="I223" i="66" s="1"/>
  <c r="E222" i="66"/>
  <c r="B222" i="66"/>
  <c r="B270" i="66" s="1"/>
  <c r="A222" i="66"/>
  <c r="A270" i="66" s="1"/>
  <c r="I270" i="66" s="1"/>
  <c r="E221" i="66"/>
  <c r="B221" i="66"/>
  <c r="B269" i="66" s="1"/>
  <c r="A221" i="66"/>
  <c r="A269" i="66" s="1"/>
  <c r="I269" i="66" s="1"/>
  <c r="E220" i="66"/>
  <c r="B220" i="66"/>
  <c r="B268" i="66" s="1"/>
  <c r="A220" i="66"/>
  <c r="A268" i="66" s="1"/>
  <c r="I268" i="66" s="1"/>
  <c r="E219" i="66"/>
  <c r="B219" i="66"/>
  <c r="B267" i="66" s="1"/>
  <c r="A219" i="66"/>
  <c r="A267" i="66" s="1"/>
  <c r="I267" i="66" s="1"/>
  <c r="E218" i="66"/>
  <c r="B218" i="66"/>
  <c r="B266" i="66" s="1"/>
  <c r="A218" i="66"/>
  <c r="I218" i="66" s="1"/>
  <c r="E217" i="66"/>
  <c r="B217" i="66"/>
  <c r="B265" i="66" s="1"/>
  <c r="A217" i="66"/>
  <c r="A265" i="66" s="1"/>
  <c r="I265" i="66" s="1"/>
  <c r="E216" i="66"/>
  <c r="B216" i="66"/>
  <c r="B264" i="66" s="1"/>
  <c r="A216" i="66"/>
  <c r="I216" i="66" s="1"/>
  <c r="E215" i="66"/>
  <c r="B215" i="66"/>
  <c r="B263" i="66" s="1"/>
  <c r="A215" i="66"/>
  <c r="I215" i="66" s="1"/>
  <c r="E214" i="66"/>
  <c r="B214" i="66"/>
  <c r="B262" i="66" s="1"/>
  <c r="A214" i="66"/>
  <c r="I214" i="66" s="1"/>
  <c r="E213" i="66"/>
  <c r="B213" i="66"/>
  <c r="B261" i="66" s="1"/>
  <c r="A213" i="66"/>
  <c r="I213" i="66" s="1"/>
  <c r="E212" i="66"/>
  <c r="B212" i="66"/>
  <c r="B260" i="66" s="1"/>
  <c r="A212" i="66"/>
  <c r="A260" i="66" s="1"/>
  <c r="E211" i="66"/>
  <c r="B211" i="66"/>
  <c r="B259" i="66" s="1"/>
  <c r="A211" i="66"/>
  <c r="I211" i="66" s="1"/>
  <c r="E210" i="66"/>
  <c r="B210" i="66"/>
  <c r="B258" i="66" s="1"/>
  <c r="A210" i="66"/>
  <c r="I210" i="66" s="1"/>
  <c r="E209" i="66"/>
  <c r="B209" i="66"/>
  <c r="B257" i="66" s="1"/>
  <c r="A209" i="66"/>
  <c r="I209" i="66" s="1"/>
  <c r="E208" i="66"/>
  <c r="B208" i="66"/>
  <c r="B256" i="66" s="1"/>
  <c r="A208" i="66"/>
  <c r="I208" i="66" s="1"/>
  <c r="E207" i="66"/>
  <c r="B207" i="66"/>
  <c r="B255" i="66" s="1"/>
  <c r="A207" i="66"/>
  <c r="A255" i="66" s="1"/>
  <c r="I255" i="66" s="1"/>
  <c r="E206" i="66"/>
  <c r="B206" i="66"/>
  <c r="B254" i="66" s="1"/>
  <c r="A206" i="66"/>
  <c r="I206" i="66" s="1"/>
  <c r="E205" i="66"/>
  <c r="B205" i="66"/>
  <c r="B253" i="66" s="1"/>
  <c r="A205" i="66"/>
  <c r="A253" i="66" s="1"/>
  <c r="I253" i="66" s="1"/>
  <c r="E204" i="66"/>
  <c r="B204" i="66"/>
  <c r="B252" i="66" s="1"/>
  <c r="A204" i="66"/>
  <c r="A252" i="66" s="1"/>
  <c r="I252" i="66" s="1"/>
  <c r="E203" i="66"/>
  <c r="B203" i="66"/>
  <c r="B251" i="66" s="1"/>
  <c r="A203" i="66"/>
  <c r="A251" i="66" s="1"/>
  <c r="I251" i="66" s="1"/>
  <c r="E202" i="66"/>
  <c r="B202" i="66"/>
  <c r="B250" i="66" s="1"/>
  <c r="A202" i="66"/>
  <c r="A250" i="66" s="1"/>
  <c r="I250" i="66" s="1"/>
  <c r="E201" i="66"/>
  <c r="B201" i="66"/>
  <c r="B249" i="66" s="1"/>
  <c r="A201" i="66"/>
  <c r="I201" i="66" s="1"/>
  <c r="E200" i="66"/>
  <c r="B200" i="66"/>
  <c r="B248" i="66" s="1"/>
  <c r="A200" i="66"/>
  <c r="A248" i="66" s="1"/>
  <c r="I248" i="66" s="1"/>
  <c r="E199" i="66"/>
  <c r="B199" i="66"/>
  <c r="B247" i="66" s="1"/>
  <c r="A199" i="66"/>
  <c r="S199" i="66" s="1"/>
  <c r="I198" i="66"/>
  <c r="E198" i="66"/>
  <c r="B198" i="66"/>
  <c r="B246" i="66" s="1"/>
  <c r="A198" i="66"/>
  <c r="A246" i="66" s="1"/>
  <c r="I246" i="66" s="1"/>
  <c r="I197" i="66"/>
  <c r="E197" i="66"/>
  <c r="B197" i="66"/>
  <c r="B245" i="66" s="1"/>
  <c r="A197" i="66"/>
  <c r="A245" i="66" s="1"/>
  <c r="I245" i="66" s="1"/>
  <c r="E196" i="66"/>
  <c r="B196" i="66"/>
  <c r="B244" i="66" s="1"/>
  <c r="A196" i="66"/>
  <c r="A244" i="66" s="1"/>
  <c r="I244" i="66" s="1"/>
  <c r="I195" i="66"/>
  <c r="E195" i="66"/>
  <c r="I194" i="66"/>
  <c r="E194" i="66"/>
  <c r="I193" i="66"/>
  <c r="E193" i="66"/>
  <c r="I192" i="66"/>
  <c r="E192" i="66"/>
  <c r="I191" i="66"/>
  <c r="E191" i="66"/>
  <c r="I190" i="66"/>
  <c r="E190" i="66"/>
  <c r="I189" i="66"/>
  <c r="E189" i="66"/>
  <c r="I188" i="66"/>
  <c r="E188" i="66"/>
  <c r="I187" i="66"/>
  <c r="E187" i="66"/>
  <c r="I186" i="66"/>
  <c r="E186" i="66"/>
  <c r="I185" i="66"/>
  <c r="E185" i="66"/>
  <c r="I184" i="66"/>
  <c r="E184" i="66"/>
  <c r="I183" i="66"/>
  <c r="E183" i="66"/>
  <c r="I182" i="66"/>
  <c r="E182" i="66"/>
  <c r="I181" i="66"/>
  <c r="E181" i="66"/>
  <c r="I180" i="66"/>
  <c r="E180" i="66"/>
  <c r="I179" i="66"/>
  <c r="E179" i="66"/>
  <c r="I178" i="66"/>
  <c r="E178" i="66"/>
  <c r="I177" i="66"/>
  <c r="E177" i="66"/>
  <c r="I176" i="66"/>
  <c r="E176" i="66"/>
  <c r="I175" i="66"/>
  <c r="E175" i="66"/>
  <c r="I174" i="66"/>
  <c r="E174" i="66"/>
  <c r="I173" i="66"/>
  <c r="E173" i="66"/>
  <c r="I172" i="66"/>
  <c r="E172" i="66"/>
  <c r="I171" i="66"/>
  <c r="E171" i="66"/>
  <c r="I170" i="66"/>
  <c r="E170" i="66"/>
  <c r="I169" i="66"/>
  <c r="E169" i="66"/>
  <c r="I168" i="66"/>
  <c r="E168" i="66"/>
  <c r="I167" i="66"/>
  <c r="E167" i="66"/>
  <c r="I166" i="66"/>
  <c r="E166" i="66"/>
  <c r="I165" i="66"/>
  <c r="E165" i="66"/>
  <c r="E164" i="66"/>
  <c r="I163" i="66"/>
  <c r="E163" i="66"/>
  <c r="I162" i="66"/>
  <c r="E162" i="66"/>
  <c r="I161" i="66"/>
  <c r="E161" i="66"/>
  <c r="I160" i="66"/>
  <c r="E160" i="66"/>
  <c r="I159" i="66"/>
  <c r="E159" i="66"/>
  <c r="I158" i="66"/>
  <c r="E158" i="66"/>
  <c r="I157" i="66"/>
  <c r="E157" i="66"/>
  <c r="I156" i="66"/>
  <c r="E156" i="66"/>
  <c r="I155" i="66"/>
  <c r="E155" i="66"/>
  <c r="I154" i="66"/>
  <c r="E154" i="66"/>
  <c r="I153" i="66"/>
  <c r="E153" i="66"/>
  <c r="I152" i="66"/>
  <c r="E152" i="66"/>
  <c r="S151" i="66"/>
  <c r="I151" i="66"/>
  <c r="E151" i="66"/>
  <c r="I150" i="66"/>
  <c r="E150" i="66"/>
  <c r="I149" i="66"/>
  <c r="E149" i="66"/>
  <c r="I148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E116" i="66"/>
  <c r="E115" i="66"/>
  <c r="E114" i="66"/>
  <c r="E113" i="66"/>
  <c r="E112" i="66"/>
  <c r="E111" i="66"/>
  <c r="E110" i="66"/>
  <c r="E109" i="66"/>
  <c r="E108" i="66"/>
  <c r="E107" i="66"/>
  <c r="E106" i="66"/>
  <c r="E105" i="66"/>
  <c r="E104" i="66"/>
  <c r="E103" i="66"/>
  <c r="E102" i="66"/>
  <c r="E101" i="66"/>
  <c r="E100" i="66"/>
  <c r="I99" i="66"/>
  <c r="E99" i="66"/>
  <c r="D99" i="66"/>
  <c r="D147" i="66" s="1"/>
  <c r="D195" i="66" s="1"/>
  <c r="D243" i="66" s="1"/>
  <c r="D291" i="66" s="1"/>
  <c r="B99" i="66"/>
  <c r="B147" i="66" s="1"/>
  <c r="A99" i="66"/>
  <c r="A147" i="66" s="1"/>
  <c r="I147" i="66" s="1"/>
  <c r="E98" i="66"/>
  <c r="D98" i="66"/>
  <c r="D146" i="66" s="1"/>
  <c r="D194" i="66" s="1"/>
  <c r="D242" i="66" s="1"/>
  <c r="D290" i="66" s="1"/>
  <c r="B98" i="66"/>
  <c r="B146" i="66" s="1"/>
  <c r="A98" i="66"/>
  <c r="I98" i="66" s="1"/>
  <c r="E97" i="66"/>
  <c r="D97" i="66"/>
  <c r="D145" i="66" s="1"/>
  <c r="D193" i="66" s="1"/>
  <c r="D241" i="66" s="1"/>
  <c r="D289" i="66" s="1"/>
  <c r="B97" i="66"/>
  <c r="B145" i="66" s="1"/>
  <c r="A97" i="66"/>
  <c r="A145" i="66" s="1"/>
  <c r="I145" i="66" s="1"/>
  <c r="E96" i="66"/>
  <c r="D96" i="66"/>
  <c r="D144" i="66" s="1"/>
  <c r="D192" i="66" s="1"/>
  <c r="D240" i="66" s="1"/>
  <c r="D288" i="66" s="1"/>
  <c r="B96" i="66"/>
  <c r="B144" i="66" s="1"/>
  <c r="A96" i="66"/>
  <c r="I96" i="66" s="1"/>
  <c r="E95" i="66"/>
  <c r="D95" i="66"/>
  <c r="D143" i="66" s="1"/>
  <c r="D191" i="66" s="1"/>
  <c r="D239" i="66" s="1"/>
  <c r="D287" i="66" s="1"/>
  <c r="B95" i="66"/>
  <c r="B143" i="66" s="1"/>
  <c r="A95" i="66"/>
  <c r="I95" i="66" s="1"/>
  <c r="E94" i="66"/>
  <c r="D94" i="66"/>
  <c r="D142" i="66" s="1"/>
  <c r="D190" i="66" s="1"/>
  <c r="D238" i="66" s="1"/>
  <c r="D286" i="66" s="1"/>
  <c r="B94" i="66"/>
  <c r="B142" i="66" s="1"/>
  <c r="A94" i="66"/>
  <c r="I94" i="66" s="1"/>
  <c r="E93" i="66"/>
  <c r="D93" i="66"/>
  <c r="D141" i="66" s="1"/>
  <c r="D189" i="66" s="1"/>
  <c r="D237" i="66" s="1"/>
  <c r="D285" i="66" s="1"/>
  <c r="B93" i="66"/>
  <c r="B141" i="66" s="1"/>
  <c r="A93" i="66"/>
  <c r="I93" i="66" s="1"/>
  <c r="E92" i="66"/>
  <c r="D92" i="66"/>
  <c r="D140" i="66" s="1"/>
  <c r="D188" i="66" s="1"/>
  <c r="D236" i="66" s="1"/>
  <c r="D284" i="66" s="1"/>
  <c r="B92" i="66"/>
  <c r="B140" i="66" s="1"/>
  <c r="A92" i="66"/>
  <c r="A140" i="66" s="1"/>
  <c r="I140" i="66" s="1"/>
  <c r="E91" i="66"/>
  <c r="D91" i="66"/>
  <c r="D139" i="66" s="1"/>
  <c r="D187" i="66" s="1"/>
  <c r="D235" i="66" s="1"/>
  <c r="D283" i="66" s="1"/>
  <c r="B91" i="66"/>
  <c r="B139" i="66" s="1"/>
  <c r="A91" i="66"/>
  <c r="I91" i="66" s="1"/>
  <c r="I90" i="66"/>
  <c r="E90" i="66"/>
  <c r="D90" i="66"/>
  <c r="D138" i="66" s="1"/>
  <c r="D186" i="66" s="1"/>
  <c r="D234" i="66" s="1"/>
  <c r="D282" i="66" s="1"/>
  <c r="B90" i="66"/>
  <c r="B138" i="66" s="1"/>
  <c r="A90" i="66"/>
  <c r="A138" i="66" s="1"/>
  <c r="I138" i="66" s="1"/>
  <c r="E89" i="66"/>
  <c r="D89" i="66"/>
  <c r="D137" i="66" s="1"/>
  <c r="D185" i="66" s="1"/>
  <c r="D233" i="66" s="1"/>
  <c r="D281" i="66" s="1"/>
  <c r="B89" i="66"/>
  <c r="B137" i="66" s="1"/>
  <c r="A89" i="66"/>
  <c r="A137" i="66" s="1"/>
  <c r="I137" i="66" s="1"/>
  <c r="I88" i="66"/>
  <c r="E88" i="66"/>
  <c r="D88" i="66"/>
  <c r="D136" i="66" s="1"/>
  <c r="D184" i="66" s="1"/>
  <c r="D232" i="66" s="1"/>
  <c r="D280" i="66" s="1"/>
  <c r="B88" i="66"/>
  <c r="B136" i="66" s="1"/>
  <c r="A88" i="66"/>
  <c r="A136" i="66" s="1"/>
  <c r="I136" i="66" s="1"/>
  <c r="E87" i="66"/>
  <c r="D87" i="66"/>
  <c r="D135" i="66" s="1"/>
  <c r="D183" i="66" s="1"/>
  <c r="D231" i="66" s="1"/>
  <c r="D279" i="66" s="1"/>
  <c r="B87" i="66"/>
  <c r="B135" i="66" s="1"/>
  <c r="A87" i="66"/>
  <c r="A135" i="66" s="1"/>
  <c r="I135" i="66" s="1"/>
  <c r="E86" i="66"/>
  <c r="D86" i="66"/>
  <c r="D134" i="66" s="1"/>
  <c r="D182" i="66" s="1"/>
  <c r="D230" i="66" s="1"/>
  <c r="D278" i="66" s="1"/>
  <c r="B86" i="66"/>
  <c r="B134" i="66" s="1"/>
  <c r="A86" i="66"/>
  <c r="I86" i="66" s="1"/>
  <c r="E85" i="66"/>
  <c r="D85" i="66"/>
  <c r="D133" i="66" s="1"/>
  <c r="D181" i="66" s="1"/>
  <c r="D229" i="66" s="1"/>
  <c r="D277" i="66" s="1"/>
  <c r="B85" i="66"/>
  <c r="B133" i="66" s="1"/>
  <c r="A85" i="66"/>
  <c r="A133" i="66" s="1"/>
  <c r="I133" i="66" s="1"/>
  <c r="E84" i="66"/>
  <c r="D84" i="66"/>
  <c r="D132" i="66" s="1"/>
  <c r="D180" i="66" s="1"/>
  <c r="D228" i="66" s="1"/>
  <c r="D276" i="66" s="1"/>
  <c r="B84" i="66"/>
  <c r="B132" i="66" s="1"/>
  <c r="A84" i="66"/>
  <c r="A132" i="66" s="1"/>
  <c r="I132" i="66" s="1"/>
  <c r="E83" i="66"/>
  <c r="D83" i="66"/>
  <c r="D131" i="66" s="1"/>
  <c r="D179" i="66" s="1"/>
  <c r="D227" i="66" s="1"/>
  <c r="D275" i="66" s="1"/>
  <c r="B83" i="66"/>
  <c r="B131" i="66" s="1"/>
  <c r="A83" i="66"/>
  <c r="I83" i="66" s="1"/>
  <c r="E82" i="66"/>
  <c r="D82" i="66"/>
  <c r="D130" i="66" s="1"/>
  <c r="D178" i="66" s="1"/>
  <c r="D226" i="66" s="1"/>
  <c r="D274" i="66" s="1"/>
  <c r="B82" i="66"/>
  <c r="B130" i="66" s="1"/>
  <c r="A82" i="66"/>
  <c r="I82" i="66" s="1"/>
  <c r="E81" i="66"/>
  <c r="D81" i="66"/>
  <c r="D129" i="66" s="1"/>
  <c r="D177" i="66" s="1"/>
  <c r="D225" i="66" s="1"/>
  <c r="D273" i="66" s="1"/>
  <c r="B81" i="66"/>
  <c r="B129" i="66" s="1"/>
  <c r="A81" i="66"/>
  <c r="I81" i="66" s="1"/>
  <c r="E80" i="66"/>
  <c r="D80" i="66"/>
  <c r="D128" i="66" s="1"/>
  <c r="D176" i="66" s="1"/>
  <c r="D224" i="66" s="1"/>
  <c r="D272" i="66" s="1"/>
  <c r="B80" i="66"/>
  <c r="B128" i="66" s="1"/>
  <c r="A80" i="66"/>
  <c r="A128" i="66" s="1"/>
  <c r="I128" i="66" s="1"/>
  <c r="E79" i="66"/>
  <c r="D79" i="66"/>
  <c r="D127" i="66" s="1"/>
  <c r="D175" i="66" s="1"/>
  <c r="D223" i="66" s="1"/>
  <c r="D271" i="66" s="1"/>
  <c r="B79" i="66"/>
  <c r="B127" i="66" s="1"/>
  <c r="A79" i="66"/>
  <c r="I79" i="66" s="1"/>
  <c r="E78" i="66"/>
  <c r="D78" i="66"/>
  <c r="D126" i="66" s="1"/>
  <c r="D174" i="66" s="1"/>
  <c r="D222" i="66" s="1"/>
  <c r="D270" i="66" s="1"/>
  <c r="B78" i="66"/>
  <c r="B126" i="66" s="1"/>
  <c r="A78" i="66"/>
  <c r="A126" i="66" s="1"/>
  <c r="I126" i="66" s="1"/>
  <c r="I77" i="66"/>
  <c r="E77" i="66"/>
  <c r="D77" i="66"/>
  <c r="D125" i="66" s="1"/>
  <c r="D173" i="66" s="1"/>
  <c r="D221" i="66" s="1"/>
  <c r="D269" i="66" s="1"/>
  <c r="B77" i="66"/>
  <c r="B125" i="66" s="1"/>
  <c r="A77" i="66"/>
  <c r="A125" i="66" s="1"/>
  <c r="I125" i="66" s="1"/>
  <c r="E76" i="66"/>
  <c r="D76" i="66"/>
  <c r="D124" i="66" s="1"/>
  <c r="D172" i="66" s="1"/>
  <c r="D220" i="66" s="1"/>
  <c r="D268" i="66" s="1"/>
  <c r="B76" i="66"/>
  <c r="B124" i="66" s="1"/>
  <c r="A76" i="66"/>
  <c r="A124" i="66" s="1"/>
  <c r="I124" i="66" s="1"/>
  <c r="E75" i="66"/>
  <c r="D75" i="66"/>
  <c r="D123" i="66" s="1"/>
  <c r="D171" i="66" s="1"/>
  <c r="D219" i="66" s="1"/>
  <c r="D267" i="66" s="1"/>
  <c r="B75" i="66"/>
  <c r="B123" i="66" s="1"/>
  <c r="A75" i="66"/>
  <c r="A123" i="66" s="1"/>
  <c r="I123" i="66" s="1"/>
  <c r="E74" i="66"/>
  <c r="D74" i="66"/>
  <c r="D122" i="66" s="1"/>
  <c r="D170" i="66" s="1"/>
  <c r="D218" i="66" s="1"/>
  <c r="D266" i="66" s="1"/>
  <c r="B74" i="66"/>
  <c r="B122" i="66" s="1"/>
  <c r="A74" i="66"/>
  <c r="I74" i="66" s="1"/>
  <c r="E73" i="66"/>
  <c r="D73" i="66"/>
  <c r="D121" i="66" s="1"/>
  <c r="D169" i="66" s="1"/>
  <c r="D217" i="66" s="1"/>
  <c r="D265" i="66" s="1"/>
  <c r="B73" i="66"/>
  <c r="B121" i="66" s="1"/>
  <c r="A73" i="66"/>
  <c r="A121" i="66" s="1"/>
  <c r="I121" i="66" s="1"/>
  <c r="E72" i="66"/>
  <c r="D72" i="66"/>
  <c r="D120" i="66" s="1"/>
  <c r="D168" i="66" s="1"/>
  <c r="D216" i="66" s="1"/>
  <c r="D264" i="66" s="1"/>
  <c r="B72" i="66"/>
  <c r="B120" i="66" s="1"/>
  <c r="A72" i="66"/>
  <c r="A120" i="66" s="1"/>
  <c r="I120" i="66" s="1"/>
  <c r="E71" i="66"/>
  <c r="D71" i="66"/>
  <c r="D119" i="66" s="1"/>
  <c r="D167" i="66" s="1"/>
  <c r="D215" i="66" s="1"/>
  <c r="D263" i="66" s="1"/>
  <c r="B71" i="66"/>
  <c r="B119" i="66" s="1"/>
  <c r="A71" i="66"/>
  <c r="I71" i="66" s="1"/>
  <c r="E70" i="66"/>
  <c r="D70" i="66"/>
  <c r="D118" i="66" s="1"/>
  <c r="D166" i="66" s="1"/>
  <c r="D214" i="66" s="1"/>
  <c r="D262" i="66" s="1"/>
  <c r="B70" i="66"/>
  <c r="B118" i="66" s="1"/>
  <c r="A70" i="66"/>
  <c r="I70" i="66" s="1"/>
  <c r="E69" i="66"/>
  <c r="D69" i="66"/>
  <c r="D117" i="66" s="1"/>
  <c r="D165" i="66" s="1"/>
  <c r="D213" i="66" s="1"/>
  <c r="D261" i="66" s="1"/>
  <c r="B69" i="66"/>
  <c r="B117" i="66" s="1"/>
  <c r="A69" i="66"/>
  <c r="I69" i="66" s="1"/>
  <c r="E68" i="66"/>
  <c r="D68" i="66"/>
  <c r="D116" i="66" s="1"/>
  <c r="D164" i="66" s="1"/>
  <c r="D212" i="66" s="1"/>
  <c r="D260" i="66" s="1"/>
  <c r="B68" i="66"/>
  <c r="B116" i="66" s="1"/>
  <c r="A68" i="66"/>
  <c r="A116" i="66" s="1"/>
  <c r="E67" i="66"/>
  <c r="D67" i="66"/>
  <c r="D115" i="66" s="1"/>
  <c r="D163" i="66" s="1"/>
  <c r="D211" i="66" s="1"/>
  <c r="D259" i="66" s="1"/>
  <c r="B67" i="66"/>
  <c r="B115" i="66" s="1"/>
  <c r="A67" i="66"/>
  <c r="I67" i="66" s="1"/>
  <c r="E66" i="66"/>
  <c r="D66" i="66"/>
  <c r="D114" i="66" s="1"/>
  <c r="D162" i="66" s="1"/>
  <c r="D210" i="66" s="1"/>
  <c r="D258" i="66" s="1"/>
  <c r="B66" i="66"/>
  <c r="B114" i="66" s="1"/>
  <c r="A66" i="66"/>
  <c r="I66" i="66" s="1"/>
  <c r="E65" i="66"/>
  <c r="D65" i="66"/>
  <c r="D113" i="66" s="1"/>
  <c r="D161" i="66" s="1"/>
  <c r="D209" i="66" s="1"/>
  <c r="D257" i="66" s="1"/>
  <c r="B65" i="66"/>
  <c r="B113" i="66" s="1"/>
  <c r="A65" i="66"/>
  <c r="I65" i="66" s="1"/>
  <c r="E64" i="66"/>
  <c r="D64" i="66"/>
  <c r="D112" i="66" s="1"/>
  <c r="D160" i="66" s="1"/>
  <c r="D208" i="66" s="1"/>
  <c r="D256" i="66" s="1"/>
  <c r="B64" i="66"/>
  <c r="B112" i="66" s="1"/>
  <c r="A64" i="66"/>
  <c r="I64" i="66" s="1"/>
  <c r="I63" i="66"/>
  <c r="E63" i="66"/>
  <c r="D63" i="66"/>
  <c r="D111" i="66" s="1"/>
  <c r="D159" i="66" s="1"/>
  <c r="D207" i="66" s="1"/>
  <c r="D255" i="66" s="1"/>
  <c r="B63" i="66"/>
  <c r="B111" i="66" s="1"/>
  <c r="A63" i="66"/>
  <c r="A111" i="66" s="1"/>
  <c r="I111" i="66" s="1"/>
  <c r="E62" i="66"/>
  <c r="D62" i="66"/>
  <c r="D110" i="66" s="1"/>
  <c r="D158" i="66" s="1"/>
  <c r="D206" i="66" s="1"/>
  <c r="D254" i="66" s="1"/>
  <c r="B62" i="66"/>
  <c r="B110" i="66" s="1"/>
  <c r="A62" i="66"/>
  <c r="I62" i="66" s="1"/>
  <c r="E61" i="66"/>
  <c r="D61" i="66"/>
  <c r="D109" i="66" s="1"/>
  <c r="D157" i="66" s="1"/>
  <c r="D205" i="66" s="1"/>
  <c r="D253" i="66" s="1"/>
  <c r="B61" i="66"/>
  <c r="B109" i="66" s="1"/>
  <c r="A61" i="66"/>
  <c r="A109" i="66" s="1"/>
  <c r="I109" i="66" s="1"/>
  <c r="E60" i="66"/>
  <c r="D60" i="66"/>
  <c r="D108" i="66" s="1"/>
  <c r="D156" i="66" s="1"/>
  <c r="D204" i="66" s="1"/>
  <c r="D252" i="66" s="1"/>
  <c r="B60" i="66"/>
  <c r="B108" i="66" s="1"/>
  <c r="A60" i="66"/>
  <c r="A108" i="66" s="1"/>
  <c r="I108" i="66" s="1"/>
  <c r="E59" i="66"/>
  <c r="D59" i="66"/>
  <c r="D107" i="66" s="1"/>
  <c r="D155" i="66" s="1"/>
  <c r="D203" i="66" s="1"/>
  <c r="D251" i="66" s="1"/>
  <c r="B59" i="66"/>
  <c r="B107" i="66" s="1"/>
  <c r="A59" i="66"/>
  <c r="A107" i="66" s="1"/>
  <c r="I107" i="66" s="1"/>
  <c r="I58" i="66"/>
  <c r="E58" i="66"/>
  <c r="D58" i="66"/>
  <c r="D106" i="66" s="1"/>
  <c r="D154" i="66" s="1"/>
  <c r="D202" i="66" s="1"/>
  <c r="D250" i="66" s="1"/>
  <c r="B58" i="66"/>
  <c r="B106" i="66" s="1"/>
  <c r="A58" i="66"/>
  <c r="A106" i="66" s="1"/>
  <c r="I106" i="66" s="1"/>
  <c r="E57" i="66"/>
  <c r="D57" i="66"/>
  <c r="D105" i="66" s="1"/>
  <c r="D153" i="66" s="1"/>
  <c r="D201" i="66" s="1"/>
  <c r="D249" i="66" s="1"/>
  <c r="B57" i="66"/>
  <c r="B105" i="66" s="1"/>
  <c r="A57" i="66"/>
  <c r="I57" i="66" s="1"/>
  <c r="E56" i="66"/>
  <c r="D56" i="66"/>
  <c r="D104" i="66" s="1"/>
  <c r="D152" i="66" s="1"/>
  <c r="D200" i="66" s="1"/>
  <c r="D248" i="66" s="1"/>
  <c r="B56" i="66"/>
  <c r="B104" i="66" s="1"/>
  <c r="A56" i="66"/>
  <c r="A104" i="66" s="1"/>
  <c r="I104" i="66" s="1"/>
  <c r="E55" i="66"/>
  <c r="D55" i="66"/>
  <c r="D103" i="66" s="1"/>
  <c r="D151" i="66" s="1"/>
  <c r="D199" i="66" s="1"/>
  <c r="D247" i="66" s="1"/>
  <c r="B55" i="66"/>
  <c r="B103" i="66" s="1"/>
  <c r="A55" i="66"/>
  <c r="S55" i="66" s="1"/>
  <c r="I54" i="66"/>
  <c r="E54" i="66"/>
  <c r="D54" i="66"/>
  <c r="D102" i="66" s="1"/>
  <c r="D150" i="66" s="1"/>
  <c r="D198" i="66" s="1"/>
  <c r="D246" i="66" s="1"/>
  <c r="B54" i="66"/>
  <c r="B102" i="66" s="1"/>
  <c r="A54" i="66"/>
  <c r="A102" i="66" s="1"/>
  <c r="I102" i="66" s="1"/>
  <c r="I53" i="66"/>
  <c r="E53" i="66"/>
  <c r="D53" i="66"/>
  <c r="D101" i="66" s="1"/>
  <c r="D149" i="66" s="1"/>
  <c r="D197" i="66" s="1"/>
  <c r="D245" i="66" s="1"/>
  <c r="B53" i="66"/>
  <c r="B101" i="66" s="1"/>
  <c r="A53" i="66"/>
  <c r="A101" i="66" s="1"/>
  <c r="I101" i="66" s="1"/>
  <c r="E52" i="66"/>
  <c r="D52" i="66"/>
  <c r="D100" i="66" s="1"/>
  <c r="D148" i="66" s="1"/>
  <c r="D196" i="66" s="1"/>
  <c r="D244" i="66" s="1"/>
  <c r="B52" i="66"/>
  <c r="B100" i="66" s="1"/>
  <c r="A52" i="66"/>
  <c r="A100" i="66" s="1"/>
  <c r="I100" i="66" s="1"/>
  <c r="I51" i="66"/>
  <c r="E51" i="66"/>
  <c r="I50" i="66"/>
  <c r="E50" i="66"/>
  <c r="I49" i="66"/>
  <c r="E49" i="66"/>
  <c r="I48" i="66"/>
  <c r="E48" i="66"/>
  <c r="I47" i="66"/>
  <c r="E47" i="66"/>
  <c r="I46" i="66"/>
  <c r="E46" i="66"/>
  <c r="I45" i="66"/>
  <c r="E45" i="66"/>
  <c r="I44" i="66"/>
  <c r="E44" i="66"/>
  <c r="I43" i="66"/>
  <c r="E43" i="66"/>
  <c r="I42" i="66"/>
  <c r="E42" i="66"/>
  <c r="I41" i="66"/>
  <c r="E41" i="66"/>
  <c r="I40" i="66"/>
  <c r="E40" i="66"/>
  <c r="I39" i="66"/>
  <c r="E39" i="66"/>
  <c r="I38" i="66"/>
  <c r="E38" i="66"/>
  <c r="I37" i="66"/>
  <c r="E37" i="66"/>
  <c r="I36" i="66"/>
  <c r="E36" i="66"/>
  <c r="I35" i="66"/>
  <c r="E35" i="66"/>
  <c r="I34" i="66"/>
  <c r="E34" i="66"/>
  <c r="I33" i="66"/>
  <c r="E33" i="66"/>
  <c r="I32" i="66"/>
  <c r="E32" i="66"/>
  <c r="I31" i="66"/>
  <c r="E31" i="66"/>
  <c r="I30" i="66"/>
  <c r="E30" i="66"/>
  <c r="I29" i="66"/>
  <c r="E29" i="66"/>
  <c r="I28" i="66"/>
  <c r="E28" i="66"/>
  <c r="I27" i="66"/>
  <c r="E27" i="66"/>
  <c r="I26" i="66"/>
  <c r="E26" i="66"/>
  <c r="I25" i="66"/>
  <c r="E25" i="66"/>
  <c r="I24" i="66"/>
  <c r="E24" i="66"/>
  <c r="I23" i="66"/>
  <c r="E23" i="66"/>
  <c r="I22" i="66"/>
  <c r="E22" i="66"/>
  <c r="I21" i="66"/>
  <c r="E21" i="66"/>
  <c r="E20" i="66"/>
  <c r="I19" i="66"/>
  <c r="E19" i="66"/>
  <c r="I18" i="66"/>
  <c r="E18" i="66"/>
  <c r="I17" i="66"/>
  <c r="E17" i="66"/>
  <c r="I16" i="66"/>
  <c r="E16" i="66"/>
  <c r="I15" i="66"/>
  <c r="E15" i="66"/>
  <c r="I14" i="66"/>
  <c r="E14" i="66"/>
  <c r="I13" i="66"/>
  <c r="E13" i="66"/>
  <c r="I12" i="66"/>
  <c r="E12" i="66"/>
  <c r="I11" i="66"/>
  <c r="E11" i="66"/>
  <c r="I10" i="66"/>
  <c r="E10" i="66"/>
  <c r="I9" i="66"/>
  <c r="E9" i="66"/>
  <c r="I8" i="66"/>
  <c r="E8" i="66"/>
  <c r="S7" i="66"/>
  <c r="I7" i="66"/>
  <c r="E7" i="66"/>
  <c r="I6" i="66"/>
  <c r="E6" i="66"/>
  <c r="I5" i="66"/>
  <c r="E5" i="66"/>
  <c r="I4" i="66"/>
  <c r="E4" i="66"/>
  <c r="K2" i="41"/>
  <c r="R1" i="41"/>
  <c r="K1" i="41"/>
  <c r="J1" i="41"/>
  <c r="I1" i="41"/>
  <c r="G1" i="41"/>
  <c r="F1" i="41"/>
  <c r="E1" i="41"/>
  <c r="D1" i="41"/>
  <c r="C1" i="41"/>
  <c r="B1" i="41"/>
  <c r="G497" i="58"/>
  <c r="F497" i="58"/>
  <c r="E497" i="58"/>
  <c r="D497" i="58"/>
  <c r="C497" i="58"/>
  <c r="B497" i="58"/>
  <c r="A497" i="58"/>
  <c r="G496" i="58"/>
  <c r="F496" i="58"/>
  <c r="E496" i="58"/>
  <c r="D496" i="58"/>
  <c r="C496" i="58"/>
  <c r="B496" i="58"/>
  <c r="A496" i="58"/>
  <c r="G495" i="58"/>
  <c r="F495" i="58"/>
  <c r="E495" i="58"/>
  <c r="D495" i="58"/>
  <c r="C495" i="58"/>
  <c r="B495" i="58"/>
  <c r="A495" i="58"/>
  <c r="G494" i="58"/>
  <c r="F494" i="58"/>
  <c r="E494" i="58"/>
  <c r="D494" i="58"/>
  <c r="C494" i="58"/>
  <c r="B494" i="58"/>
  <c r="A494" i="58"/>
  <c r="G493" i="58"/>
  <c r="F493" i="58"/>
  <c r="E493" i="58"/>
  <c r="D493" i="58"/>
  <c r="C493" i="58"/>
  <c r="B493" i="58"/>
  <c r="A493" i="58"/>
  <c r="G492" i="58"/>
  <c r="F492" i="58"/>
  <c r="E492" i="58"/>
  <c r="D492" i="58"/>
  <c r="C492" i="58"/>
  <c r="B492" i="58"/>
  <c r="A492" i="58"/>
  <c r="G491" i="58"/>
  <c r="F491" i="58"/>
  <c r="E491" i="58"/>
  <c r="D491" i="58"/>
  <c r="C491" i="58"/>
  <c r="B491" i="58"/>
  <c r="A491" i="58"/>
  <c r="G490" i="58"/>
  <c r="F490" i="58"/>
  <c r="E490" i="58"/>
  <c r="D490" i="58"/>
  <c r="C490" i="58"/>
  <c r="B490" i="58"/>
  <c r="A490" i="58"/>
  <c r="G489" i="58"/>
  <c r="F489" i="58"/>
  <c r="E489" i="58"/>
  <c r="D489" i="58"/>
  <c r="C489" i="58"/>
  <c r="B489" i="58"/>
  <c r="A489" i="58"/>
  <c r="G488" i="58"/>
  <c r="F488" i="58"/>
  <c r="E488" i="58"/>
  <c r="D488" i="58"/>
  <c r="C488" i="58"/>
  <c r="B488" i="58"/>
  <c r="A488" i="58"/>
  <c r="G487" i="58"/>
  <c r="F487" i="58"/>
  <c r="E487" i="58"/>
  <c r="D487" i="58"/>
  <c r="C487" i="58"/>
  <c r="B487" i="58"/>
  <c r="A487" i="58"/>
  <c r="G486" i="58"/>
  <c r="F486" i="58"/>
  <c r="E486" i="58"/>
  <c r="D486" i="58"/>
  <c r="C486" i="58"/>
  <c r="B486" i="58"/>
  <c r="A486" i="58"/>
  <c r="G485" i="58"/>
  <c r="F485" i="58"/>
  <c r="E485" i="58"/>
  <c r="D485" i="58"/>
  <c r="C485" i="58"/>
  <c r="B485" i="58"/>
  <c r="A485" i="58"/>
  <c r="G484" i="58"/>
  <c r="F484" i="58"/>
  <c r="E484" i="58"/>
  <c r="D484" i="58"/>
  <c r="C484" i="58"/>
  <c r="B484" i="58"/>
  <c r="A484" i="58"/>
  <c r="G483" i="58"/>
  <c r="F483" i="58"/>
  <c r="E483" i="58"/>
  <c r="D483" i="58"/>
  <c r="C483" i="58"/>
  <c r="B483" i="58"/>
  <c r="A483" i="58"/>
  <c r="G482" i="58"/>
  <c r="F482" i="58"/>
  <c r="E482" i="58"/>
  <c r="D482" i="58"/>
  <c r="C482" i="58"/>
  <c r="B482" i="58"/>
  <c r="A482" i="58"/>
  <c r="G481" i="58"/>
  <c r="F481" i="58"/>
  <c r="E481" i="58"/>
  <c r="D481" i="58"/>
  <c r="C481" i="58"/>
  <c r="B481" i="58"/>
  <c r="A481" i="58"/>
  <c r="G480" i="58"/>
  <c r="F480" i="58"/>
  <c r="E480" i="58"/>
  <c r="D480" i="58"/>
  <c r="C480" i="58"/>
  <c r="B480" i="58"/>
  <c r="A480" i="58"/>
  <c r="G479" i="58"/>
  <c r="F479" i="58"/>
  <c r="E479" i="58"/>
  <c r="D479" i="58"/>
  <c r="C479" i="58"/>
  <c r="B479" i="58"/>
  <c r="A479" i="58"/>
  <c r="G478" i="58"/>
  <c r="F478" i="58"/>
  <c r="E478" i="58"/>
  <c r="D478" i="58"/>
  <c r="C478" i="58"/>
  <c r="B478" i="58"/>
  <c r="A478" i="58"/>
  <c r="G477" i="58"/>
  <c r="F477" i="58"/>
  <c r="E477" i="58"/>
  <c r="D477" i="58"/>
  <c r="C477" i="58"/>
  <c r="B477" i="58"/>
  <c r="A477" i="58"/>
  <c r="G476" i="58"/>
  <c r="F476" i="58"/>
  <c r="E476" i="58"/>
  <c r="D476" i="58"/>
  <c r="C476" i="58"/>
  <c r="B476" i="58"/>
  <c r="A476" i="58"/>
  <c r="G475" i="58"/>
  <c r="F475" i="58"/>
  <c r="E475" i="58"/>
  <c r="D475" i="58"/>
  <c r="C475" i="58"/>
  <c r="B475" i="58"/>
  <c r="A475" i="58"/>
  <c r="G474" i="58"/>
  <c r="F474" i="58"/>
  <c r="E474" i="58"/>
  <c r="D474" i="58"/>
  <c r="C474" i="58"/>
  <c r="B474" i="58"/>
  <c r="A474" i="58"/>
  <c r="G473" i="58"/>
  <c r="F473" i="58"/>
  <c r="E473" i="58"/>
  <c r="D473" i="58"/>
  <c r="C473" i="58"/>
  <c r="B473" i="58"/>
  <c r="A473" i="58"/>
  <c r="G472" i="58"/>
  <c r="F472" i="58"/>
  <c r="E472" i="58"/>
  <c r="D472" i="58"/>
  <c r="C472" i="58"/>
  <c r="B472" i="58"/>
  <c r="A472" i="58"/>
  <c r="G471" i="58"/>
  <c r="F471" i="58"/>
  <c r="E471" i="58"/>
  <c r="D471" i="58"/>
  <c r="C471" i="58"/>
  <c r="B471" i="58"/>
  <c r="A471" i="58"/>
  <c r="G470" i="58"/>
  <c r="F470" i="58"/>
  <c r="E470" i="58"/>
  <c r="D470" i="58"/>
  <c r="C470" i="58"/>
  <c r="B470" i="58"/>
  <c r="A470" i="58"/>
  <c r="G469" i="58"/>
  <c r="F469" i="58"/>
  <c r="E469" i="58"/>
  <c r="D469" i="58"/>
  <c r="C469" i="58"/>
  <c r="B469" i="58"/>
  <c r="A469" i="58"/>
  <c r="G468" i="58"/>
  <c r="F468" i="58"/>
  <c r="E468" i="58"/>
  <c r="D468" i="58"/>
  <c r="C468" i="58"/>
  <c r="B468" i="58"/>
  <c r="A468" i="58"/>
  <c r="G467" i="58"/>
  <c r="F467" i="58"/>
  <c r="E467" i="58"/>
  <c r="D467" i="58"/>
  <c r="C467" i="58"/>
  <c r="B467" i="58"/>
  <c r="A467" i="58"/>
  <c r="G466" i="58"/>
  <c r="F466" i="58"/>
  <c r="E466" i="58"/>
  <c r="D466" i="58"/>
  <c r="C466" i="58"/>
  <c r="B466" i="58"/>
  <c r="A466" i="58"/>
  <c r="G465" i="58"/>
  <c r="F465" i="58"/>
  <c r="E465" i="58"/>
  <c r="D465" i="58"/>
  <c r="C465" i="58"/>
  <c r="B465" i="58"/>
  <c r="A465" i="58"/>
  <c r="G464" i="58"/>
  <c r="F464" i="58"/>
  <c r="E464" i="58"/>
  <c r="D464" i="58"/>
  <c r="C464" i="58"/>
  <c r="B464" i="58"/>
  <c r="A464" i="58"/>
  <c r="G463" i="58"/>
  <c r="F463" i="58"/>
  <c r="E463" i="58"/>
  <c r="D463" i="58"/>
  <c r="C463" i="58"/>
  <c r="B463" i="58"/>
  <c r="A463" i="58"/>
  <c r="G462" i="58"/>
  <c r="F462" i="58"/>
  <c r="E462" i="58"/>
  <c r="D462" i="58"/>
  <c r="C462" i="58"/>
  <c r="B462" i="58"/>
  <c r="A462" i="58"/>
  <c r="G461" i="58"/>
  <c r="F461" i="58"/>
  <c r="E461" i="58"/>
  <c r="D461" i="58"/>
  <c r="C461" i="58"/>
  <c r="B461" i="58"/>
  <c r="A461" i="58"/>
  <c r="G460" i="58"/>
  <c r="F460" i="58"/>
  <c r="E460" i="58"/>
  <c r="D460" i="58"/>
  <c r="C460" i="58"/>
  <c r="B460" i="58"/>
  <c r="A460" i="58"/>
  <c r="G459" i="58"/>
  <c r="F459" i="58"/>
  <c r="E459" i="58"/>
  <c r="D459" i="58"/>
  <c r="C459" i="58"/>
  <c r="B459" i="58"/>
  <c r="A459" i="58"/>
  <c r="G458" i="58"/>
  <c r="F458" i="58"/>
  <c r="E458" i="58"/>
  <c r="D458" i="58"/>
  <c r="C458" i="58"/>
  <c r="B458" i="58"/>
  <c r="A458" i="58"/>
  <c r="G457" i="58"/>
  <c r="F457" i="58"/>
  <c r="E457" i="58"/>
  <c r="D457" i="58"/>
  <c r="C457" i="58"/>
  <c r="B457" i="58"/>
  <c r="A457" i="58"/>
  <c r="G456" i="58"/>
  <c r="F456" i="58"/>
  <c r="E456" i="58"/>
  <c r="D456" i="58"/>
  <c r="C456" i="58"/>
  <c r="B456" i="58"/>
  <c r="A456" i="58"/>
  <c r="G455" i="58"/>
  <c r="F455" i="58"/>
  <c r="E455" i="58"/>
  <c r="D455" i="58"/>
  <c r="C455" i="58"/>
  <c r="B455" i="58"/>
  <c r="A455" i="58"/>
  <c r="G454" i="58"/>
  <c r="F454" i="58"/>
  <c r="E454" i="58"/>
  <c r="D454" i="58"/>
  <c r="C454" i="58"/>
  <c r="B454" i="58"/>
  <c r="A454" i="58"/>
  <c r="G453" i="58"/>
  <c r="F453" i="58"/>
  <c r="E453" i="58"/>
  <c r="D453" i="58"/>
  <c r="C453" i="58"/>
  <c r="B453" i="58"/>
  <c r="A453" i="58"/>
  <c r="G452" i="58"/>
  <c r="F452" i="58"/>
  <c r="E452" i="58"/>
  <c r="D452" i="58"/>
  <c r="C452" i="58"/>
  <c r="B452" i="58"/>
  <c r="A452" i="58"/>
  <c r="G451" i="58"/>
  <c r="F451" i="58"/>
  <c r="E451" i="58"/>
  <c r="D451" i="58"/>
  <c r="C451" i="58"/>
  <c r="B451" i="58"/>
  <c r="A451" i="58"/>
  <c r="G450" i="58"/>
  <c r="F450" i="58"/>
  <c r="E450" i="58"/>
  <c r="D450" i="58"/>
  <c r="C450" i="58"/>
  <c r="B450" i="58"/>
  <c r="A450" i="58"/>
  <c r="G449" i="58"/>
  <c r="F449" i="58"/>
  <c r="E449" i="58"/>
  <c r="D449" i="58"/>
  <c r="C449" i="58"/>
  <c r="B449" i="58"/>
  <c r="A449" i="58"/>
  <c r="G448" i="58"/>
  <c r="F448" i="58"/>
  <c r="E448" i="58"/>
  <c r="D448" i="58"/>
  <c r="C448" i="58"/>
  <c r="B448" i="58"/>
  <c r="A448" i="58"/>
  <c r="G447" i="58"/>
  <c r="F447" i="58"/>
  <c r="E447" i="58"/>
  <c r="D447" i="58"/>
  <c r="C447" i="58"/>
  <c r="B447" i="58"/>
  <c r="A447" i="58"/>
  <c r="G446" i="58"/>
  <c r="F446" i="58"/>
  <c r="E446" i="58"/>
  <c r="D446" i="58"/>
  <c r="C446" i="58"/>
  <c r="B446" i="58"/>
  <c r="A446" i="58"/>
  <c r="G445" i="58"/>
  <c r="F445" i="58"/>
  <c r="E445" i="58"/>
  <c r="D445" i="58"/>
  <c r="C445" i="58"/>
  <c r="B445" i="58"/>
  <c r="A445" i="58"/>
  <c r="G444" i="58"/>
  <c r="F444" i="58"/>
  <c r="E444" i="58"/>
  <c r="D444" i="58"/>
  <c r="C444" i="58"/>
  <c r="B444" i="58"/>
  <c r="A444" i="58"/>
  <c r="G443" i="58"/>
  <c r="F443" i="58"/>
  <c r="E443" i="58"/>
  <c r="D443" i="58"/>
  <c r="C443" i="58"/>
  <c r="B443" i="58"/>
  <c r="A443" i="58"/>
  <c r="G442" i="58"/>
  <c r="F442" i="58"/>
  <c r="E442" i="58"/>
  <c r="D442" i="58"/>
  <c r="C442" i="58"/>
  <c r="B442" i="58"/>
  <c r="A442" i="58"/>
  <c r="G441" i="58"/>
  <c r="F441" i="58"/>
  <c r="E441" i="58"/>
  <c r="D441" i="58"/>
  <c r="C441" i="58"/>
  <c r="B441" i="58"/>
  <c r="A441" i="58"/>
  <c r="G440" i="58"/>
  <c r="F440" i="58"/>
  <c r="E440" i="58"/>
  <c r="D440" i="58"/>
  <c r="C440" i="58"/>
  <c r="B440" i="58"/>
  <c r="A440" i="58"/>
  <c r="G439" i="58"/>
  <c r="F439" i="58"/>
  <c r="E439" i="58"/>
  <c r="D439" i="58"/>
  <c r="C439" i="58"/>
  <c r="B439" i="58"/>
  <c r="A439" i="58"/>
  <c r="G438" i="58"/>
  <c r="F438" i="58"/>
  <c r="E438" i="58"/>
  <c r="D438" i="58"/>
  <c r="C438" i="58"/>
  <c r="B438" i="58"/>
  <c r="A438" i="58"/>
  <c r="G437" i="58"/>
  <c r="F437" i="58"/>
  <c r="E437" i="58"/>
  <c r="D437" i="58"/>
  <c r="C437" i="58"/>
  <c r="B437" i="58"/>
  <c r="A437" i="58"/>
  <c r="G436" i="58"/>
  <c r="F436" i="58"/>
  <c r="E436" i="58"/>
  <c r="D436" i="58"/>
  <c r="C436" i="58"/>
  <c r="B436" i="58"/>
  <c r="A436" i="58"/>
  <c r="G435" i="58"/>
  <c r="F435" i="58"/>
  <c r="E435" i="58"/>
  <c r="D435" i="58"/>
  <c r="C435" i="58"/>
  <c r="B435" i="58"/>
  <c r="A435" i="58"/>
  <c r="G434" i="58"/>
  <c r="F434" i="58"/>
  <c r="E434" i="58"/>
  <c r="D434" i="58"/>
  <c r="C434" i="58"/>
  <c r="B434" i="58"/>
  <c r="A434" i="58"/>
  <c r="G433" i="58"/>
  <c r="F433" i="58"/>
  <c r="E433" i="58"/>
  <c r="D433" i="58"/>
  <c r="C433" i="58"/>
  <c r="B433" i="58"/>
  <c r="A433" i="58"/>
  <c r="G432" i="58"/>
  <c r="F432" i="58"/>
  <c r="E432" i="58"/>
  <c r="D432" i="58"/>
  <c r="C432" i="58"/>
  <c r="B432" i="58"/>
  <c r="A432" i="58"/>
  <c r="G431" i="58"/>
  <c r="F431" i="58"/>
  <c r="E431" i="58"/>
  <c r="D431" i="58"/>
  <c r="C431" i="58"/>
  <c r="B431" i="58"/>
  <c r="A431" i="58"/>
  <c r="G430" i="58"/>
  <c r="F430" i="58"/>
  <c r="E430" i="58"/>
  <c r="D430" i="58"/>
  <c r="C430" i="58"/>
  <c r="B430" i="58"/>
  <c r="A430" i="58"/>
  <c r="G429" i="58"/>
  <c r="F429" i="58"/>
  <c r="E429" i="58"/>
  <c r="D429" i="58"/>
  <c r="C429" i="58"/>
  <c r="B429" i="58"/>
  <c r="A429" i="58"/>
  <c r="G428" i="58"/>
  <c r="F428" i="58"/>
  <c r="E428" i="58"/>
  <c r="D428" i="58"/>
  <c r="C428" i="58"/>
  <c r="B428" i="58"/>
  <c r="A428" i="58"/>
  <c r="G427" i="58"/>
  <c r="F427" i="58"/>
  <c r="E427" i="58"/>
  <c r="D427" i="58"/>
  <c r="C427" i="58"/>
  <c r="B427" i="58"/>
  <c r="A427" i="58"/>
  <c r="G426" i="58"/>
  <c r="F426" i="58"/>
  <c r="E426" i="58"/>
  <c r="D426" i="58"/>
  <c r="C426" i="58"/>
  <c r="B426" i="58"/>
  <c r="A426" i="58"/>
  <c r="G425" i="58"/>
  <c r="F425" i="58"/>
  <c r="E425" i="58"/>
  <c r="D425" i="58"/>
  <c r="C425" i="58"/>
  <c r="B425" i="58"/>
  <c r="A425" i="58"/>
  <c r="G424" i="58"/>
  <c r="F424" i="58"/>
  <c r="E424" i="58"/>
  <c r="D424" i="58"/>
  <c r="C424" i="58"/>
  <c r="B424" i="58"/>
  <c r="A424" i="58"/>
  <c r="G423" i="58"/>
  <c r="F423" i="58"/>
  <c r="E423" i="58"/>
  <c r="D423" i="58"/>
  <c r="C423" i="58"/>
  <c r="B423" i="58"/>
  <c r="A423" i="58"/>
  <c r="G422" i="58"/>
  <c r="F422" i="58"/>
  <c r="E422" i="58"/>
  <c r="D422" i="58"/>
  <c r="C422" i="58"/>
  <c r="B422" i="58"/>
  <c r="A422" i="58"/>
  <c r="G421" i="58"/>
  <c r="F421" i="58"/>
  <c r="E421" i="58"/>
  <c r="D421" i="58"/>
  <c r="C421" i="58"/>
  <c r="B421" i="58"/>
  <c r="A421" i="58"/>
  <c r="G420" i="58"/>
  <c r="F420" i="58"/>
  <c r="E420" i="58"/>
  <c r="D420" i="58"/>
  <c r="C420" i="58"/>
  <c r="B420" i="58"/>
  <c r="A420" i="58"/>
  <c r="G419" i="58"/>
  <c r="F419" i="58"/>
  <c r="E419" i="58"/>
  <c r="D419" i="58"/>
  <c r="C419" i="58"/>
  <c r="B419" i="58"/>
  <c r="A419" i="58"/>
  <c r="G418" i="58"/>
  <c r="F418" i="58"/>
  <c r="E418" i="58"/>
  <c r="D418" i="58"/>
  <c r="C418" i="58"/>
  <c r="B418" i="58"/>
  <c r="A418" i="58"/>
  <c r="G417" i="58"/>
  <c r="F417" i="58"/>
  <c r="E417" i="58"/>
  <c r="D417" i="58"/>
  <c r="C417" i="58"/>
  <c r="B417" i="58"/>
  <c r="A417" i="58"/>
  <c r="G416" i="58"/>
  <c r="F416" i="58"/>
  <c r="E416" i="58"/>
  <c r="D416" i="58"/>
  <c r="C416" i="58"/>
  <c r="B416" i="58"/>
  <c r="A416" i="58"/>
  <c r="G415" i="58"/>
  <c r="F415" i="58"/>
  <c r="E415" i="58"/>
  <c r="D415" i="58"/>
  <c r="C415" i="58"/>
  <c r="B415" i="58"/>
  <c r="A415" i="58"/>
  <c r="G414" i="58"/>
  <c r="F414" i="58"/>
  <c r="E414" i="58"/>
  <c r="D414" i="58"/>
  <c r="C414" i="58"/>
  <c r="B414" i="58"/>
  <c r="A414" i="58"/>
  <c r="G413" i="58"/>
  <c r="F413" i="58"/>
  <c r="E413" i="58"/>
  <c r="D413" i="58"/>
  <c r="C413" i="58"/>
  <c r="B413" i="58"/>
  <c r="A413" i="58"/>
  <c r="G412" i="58"/>
  <c r="F412" i="58"/>
  <c r="E412" i="58"/>
  <c r="D412" i="58"/>
  <c r="C412" i="58"/>
  <c r="B412" i="58"/>
  <c r="A412" i="58"/>
  <c r="G411" i="58"/>
  <c r="F411" i="58"/>
  <c r="E411" i="58"/>
  <c r="D411" i="58"/>
  <c r="C411" i="58"/>
  <c r="B411" i="58"/>
  <c r="A411" i="58"/>
  <c r="G410" i="58"/>
  <c r="F410" i="58"/>
  <c r="E410" i="58"/>
  <c r="D410" i="58"/>
  <c r="C410" i="58"/>
  <c r="B410" i="58"/>
  <c r="A410" i="58"/>
  <c r="G409" i="58"/>
  <c r="F409" i="58"/>
  <c r="E409" i="58"/>
  <c r="D409" i="58"/>
  <c r="C409" i="58"/>
  <c r="B409" i="58"/>
  <c r="A409" i="58"/>
  <c r="G408" i="58"/>
  <c r="F408" i="58"/>
  <c r="E408" i="58"/>
  <c r="D408" i="58"/>
  <c r="C408" i="58"/>
  <c r="B408" i="58"/>
  <c r="A408" i="58"/>
  <c r="G407" i="58"/>
  <c r="F407" i="58"/>
  <c r="E407" i="58"/>
  <c r="D407" i="58"/>
  <c r="C407" i="58"/>
  <c r="B407" i="58"/>
  <c r="A407" i="58"/>
  <c r="G406" i="58"/>
  <c r="F406" i="58"/>
  <c r="E406" i="58"/>
  <c r="D406" i="58"/>
  <c r="C406" i="58"/>
  <c r="B406" i="58"/>
  <c r="A406" i="58"/>
  <c r="G405" i="58"/>
  <c r="F405" i="58"/>
  <c r="E405" i="58"/>
  <c r="D405" i="58"/>
  <c r="C405" i="58"/>
  <c r="B405" i="58"/>
  <c r="A405" i="58"/>
  <c r="G404" i="58"/>
  <c r="F404" i="58"/>
  <c r="E404" i="58"/>
  <c r="D404" i="58"/>
  <c r="C404" i="58"/>
  <c r="B404" i="58"/>
  <c r="A404" i="58"/>
  <c r="G403" i="58"/>
  <c r="F403" i="58"/>
  <c r="E403" i="58"/>
  <c r="D403" i="58"/>
  <c r="C403" i="58"/>
  <c r="B403" i="58"/>
  <c r="A403" i="58"/>
  <c r="G402" i="58"/>
  <c r="F402" i="58"/>
  <c r="E402" i="58"/>
  <c r="D402" i="58"/>
  <c r="C402" i="58"/>
  <c r="B402" i="58"/>
  <c r="A402" i="58"/>
  <c r="G401" i="58"/>
  <c r="F401" i="58"/>
  <c r="E401" i="58"/>
  <c r="D401" i="58"/>
  <c r="C401" i="58"/>
  <c r="B401" i="58"/>
  <c r="A401" i="58"/>
  <c r="G400" i="58"/>
  <c r="F400" i="58"/>
  <c r="E400" i="58"/>
  <c r="D400" i="58"/>
  <c r="C400" i="58"/>
  <c r="B400" i="58"/>
  <c r="A400" i="58"/>
  <c r="G399" i="58"/>
  <c r="F399" i="58"/>
  <c r="E399" i="58"/>
  <c r="D399" i="58"/>
  <c r="C399" i="58"/>
  <c r="B399" i="58"/>
  <c r="A399" i="58"/>
  <c r="G398" i="58"/>
  <c r="F398" i="58"/>
  <c r="E398" i="58"/>
  <c r="D398" i="58"/>
  <c r="C398" i="58"/>
  <c r="B398" i="58"/>
  <c r="A398" i="58"/>
  <c r="G397" i="58"/>
  <c r="F397" i="58"/>
  <c r="E397" i="58"/>
  <c r="D397" i="58"/>
  <c r="C397" i="58"/>
  <c r="B397" i="58"/>
  <c r="A397" i="58"/>
  <c r="G396" i="58"/>
  <c r="F396" i="58"/>
  <c r="E396" i="58"/>
  <c r="D396" i="58"/>
  <c r="C396" i="58"/>
  <c r="B396" i="58"/>
  <c r="A396" i="58"/>
  <c r="G395" i="58"/>
  <c r="F395" i="58"/>
  <c r="E395" i="58"/>
  <c r="D395" i="58"/>
  <c r="C395" i="58"/>
  <c r="B395" i="58"/>
  <c r="A395" i="58"/>
  <c r="G394" i="58"/>
  <c r="F394" i="58"/>
  <c r="E394" i="58"/>
  <c r="D394" i="58"/>
  <c r="C394" i="58"/>
  <c r="B394" i="58"/>
  <c r="A394" i="58"/>
  <c r="G393" i="58"/>
  <c r="F393" i="58"/>
  <c r="E393" i="58"/>
  <c r="D393" i="58"/>
  <c r="C393" i="58"/>
  <c r="B393" i="58"/>
  <c r="A393" i="58"/>
  <c r="G392" i="58"/>
  <c r="F392" i="58"/>
  <c r="E392" i="58"/>
  <c r="D392" i="58"/>
  <c r="C392" i="58"/>
  <c r="B392" i="58"/>
  <c r="A392" i="58"/>
  <c r="G391" i="58"/>
  <c r="F391" i="58"/>
  <c r="E391" i="58"/>
  <c r="D391" i="58"/>
  <c r="C391" i="58"/>
  <c r="B391" i="58"/>
  <c r="A391" i="58"/>
  <c r="G390" i="58"/>
  <c r="F390" i="58"/>
  <c r="E390" i="58"/>
  <c r="D390" i="58"/>
  <c r="C390" i="58"/>
  <c r="B390" i="58"/>
  <c r="A390" i="58"/>
  <c r="G389" i="58"/>
  <c r="F389" i="58"/>
  <c r="E389" i="58"/>
  <c r="D389" i="58"/>
  <c r="C389" i="58"/>
  <c r="B389" i="58"/>
  <c r="A389" i="58"/>
  <c r="G388" i="58"/>
  <c r="F388" i="58"/>
  <c r="E388" i="58"/>
  <c r="D388" i="58"/>
  <c r="C388" i="58"/>
  <c r="B388" i="58"/>
  <c r="A388" i="58"/>
  <c r="G387" i="58"/>
  <c r="F387" i="58"/>
  <c r="E387" i="58"/>
  <c r="D387" i="58"/>
  <c r="C387" i="58"/>
  <c r="B387" i="58"/>
  <c r="A387" i="58"/>
  <c r="G386" i="58"/>
  <c r="F386" i="58"/>
  <c r="E386" i="58"/>
  <c r="D386" i="58"/>
  <c r="C386" i="58"/>
  <c r="B386" i="58"/>
  <c r="A386" i="58"/>
  <c r="G385" i="58"/>
  <c r="F385" i="58"/>
  <c r="E385" i="58"/>
  <c r="D385" i="58"/>
  <c r="C385" i="58"/>
  <c r="B385" i="58"/>
  <c r="A385" i="58"/>
  <c r="G384" i="58"/>
  <c r="F384" i="58"/>
  <c r="E384" i="58"/>
  <c r="D384" i="58"/>
  <c r="C384" i="58"/>
  <c r="B384" i="58"/>
  <c r="A384" i="58"/>
  <c r="G383" i="58"/>
  <c r="F383" i="58"/>
  <c r="E383" i="58"/>
  <c r="D383" i="58"/>
  <c r="C383" i="58"/>
  <c r="B383" i="58"/>
  <c r="A383" i="58"/>
  <c r="G382" i="58"/>
  <c r="F382" i="58"/>
  <c r="E382" i="58"/>
  <c r="D382" i="58"/>
  <c r="C382" i="58"/>
  <c r="B382" i="58"/>
  <c r="A382" i="58"/>
  <c r="G381" i="58"/>
  <c r="F381" i="58"/>
  <c r="E381" i="58"/>
  <c r="D381" i="58"/>
  <c r="C381" i="58"/>
  <c r="B381" i="58"/>
  <c r="A381" i="58"/>
  <c r="G380" i="58"/>
  <c r="F380" i="58"/>
  <c r="E380" i="58"/>
  <c r="D380" i="58"/>
  <c r="C380" i="58"/>
  <c r="B380" i="58"/>
  <c r="A380" i="58"/>
  <c r="G379" i="58"/>
  <c r="F379" i="58"/>
  <c r="E379" i="58"/>
  <c r="D379" i="58"/>
  <c r="C379" i="58"/>
  <c r="B379" i="58"/>
  <c r="A379" i="58"/>
  <c r="G378" i="58"/>
  <c r="F378" i="58"/>
  <c r="E378" i="58"/>
  <c r="D378" i="58"/>
  <c r="C378" i="58"/>
  <c r="B378" i="58"/>
  <c r="A378" i="58"/>
  <c r="G377" i="58"/>
  <c r="F377" i="58"/>
  <c r="E377" i="58"/>
  <c r="D377" i="58"/>
  <c r="C377" i="58"/>
  <c r="B377" i="58"/>
  <c r="A377" i="58"/>
  <c r="G376" i="58"/>
  <c r="F376" i="58"/>
  <c r="E376" i="58"/>
  <c r="D376" i="58"/>
  <c r="C376" i="58"/>
  <c r="B376" i="58"/>
  <c r="A376" i="58"/>
  <c r="G375" i="58"/>
  <c r="F375" i="58"/>
  <c r="E375" i="58"/>
  <c r="D375" i="58"/>
  <c r="C375" i="58"/>
  <c r="B375" i="58"/>
  <c r="A375" i="58"/>
  <c r="G374" i="58"/>
  <c r="F374" i="58"/>
  <c r="E374" i="58"/>
  <c r="D374" i="58"/>
  <c r="C374" i="58"/>
  <c r="B374" i="58"/>
  <c r="A374" i="58"/>
  <c r="G373" i="58"/>
  <c r="F373" i="58"/>
  <c r="E373" i="58"/>
  <c r="D373" i="58"/>
  <c r="C373" i="58"/>
  <c r="B373" i="58"/>
  <c r="A373" i="58"/>
  <c r="G372" i="58"/>
  <c r="F372" i="58"/>
  <c r="E372" i="58"/>
  <c r="D372" i="58"/>
  <c r="C372" i="58"/>
  <c r="B372" i="58"/>
  <c r="A372" i="58"/>
  <c r="G371" i="58"/>
  <c r="F371" i="58"/>
  <c r="E371" i="58"/>
  <c r="D371" i="58"/>
  <c r="C371" i="58"/>
  <c r="B371" i="58"/>
  <c r="A371" i="58"/>
  <c r="G370" i="58"/>
  <c r="F370" i="58"/>
  <c r="E370" i="58"/>
  <c r="D370" i="58"/>
  <c r="C370" i="58"/>
  <c r="B370" i="58"/>
  <c r="A370" i="58"/>
  <c r="G369" i="58"/>
  <c r="F369" i="58"/>
  <c r="E369" i="58"/>
  <c r="D369" i="58"/>
  <c r="C369" i="58"/>
  <c r="B369" i="58"/>
  <c r="A369" i="58"/>
  <c r="G368" i="58"/>
  <c r="F368" i="58"/>
  <c r="E368" i="58"/>
  <c r="D368" i="58"/>
  <c r="C368" i="58"/>
  <c r="B368" i="58"/>
  <c r="A368" i="58"/>
  <c r="G367" i="58"/>
  <c r="F367" i="58"/>
  <c r="E367" i="58"/>
  <c r="D367" i="58"/>
  <c r="C367" i="58"/>
  <c r="B367" i="58"/>
  <c r="A367" i="58"/>
  <c r="G366" i="58"/>
  <c r="F366" i="58"/>
  <c r="E366" i="58"/>
  <c r="D366" i="58"/>
  <c r="C366" i="58"/>
  <c r="B366" i="58"/>
  <c r="A366" i="58"/>
  <c r="G365" i="58"/>
  <c r="F365" i="58"/>
  <c r="E365" i="58"/>
  <c r="D365" i="58"/>
  <c r="C365" i="58"/>
  <c r="B365" i="58"/>
  <c r="A365" i="58"/>
  <c r="G364" i="58"/>
  <c r="F364" i="58"/>
  <c r="E364" i="58"/>
  <c r="D364" i="58"/>
  <c r="C364" i="58"/>
  <c r="B364" i="58"/>
  <c r="A364" i="58"/>
  <c r="G363" i="58"/>
  <c r="F363" i="58"/>
  <c r="E363" i="58"/>
  <c r="D363" i="58"/>
  <c r="C363" i="58"/>
  <c r="B363" i="58"/>
  <c r="A363" i="58"/>
  <c r="G362" i="58"/>
  <c r="F362" i="58"/>
  <c r="E362" i="58"/>
  <c r="D362" i="58"/>
  <c r="C362" i="58"/>
  <c r="B362" i="58"/>
  <c r="A362" i="58"/>
  <c r="G361" i="58"/>
  <c r="F361" i="58"/>
  <c r="E361" i="58"/>
  <c r="D361" i="58"/>
  <c r="C361" i="58"/>
  <c r="B361" i="58"/>
  <c r="A361" i="58"/>
  <c r="G360" i="58"/>
  <c r="F360" i="58"/>
  <c r="E360" i="58"/>
  <c r="D360" i="58"/>
  <c r="C360" i="58"/>
  <c r="B360" i="58"/>
  <c r="A360" i="58"/>
  <c r="G359" i="58"/>
  <c r="F359" i="58"/>
  <c r="E359" i="58"/>
  <c r="D359" i="58"/>
  <c r="C359" i="58"/>
  <c r="B359" i="58"/>
  <c r="A359" i="58"/>
  <c r="G358" i="58"/>
  <c r="F358" i="58"/>
  <c r="E358" i="58"/>
  <c r="D358" i="58"/>
  <c r="C358" i="58"/>
  <c r="B358" i="58"/>
  <c r="A358" i="58"/>
  <c r="G357" i="58"/>
  <c r="F357" i="58"/>
  <c r="E357" i="58"/>
  <c r="D357" i="58"/>
  <c r="C357" i="58"/>
  <c r="B357" i="58"/>
  <c r="A357" i="58"/>
  <c r="G356" i="58"/>
  <c r="F356" i="58"/>
  <c r="E356" i="58"/>
  <c r="D356" i="58"/>
  <c r="C356" i="58"/>
  <c r="B356" i="58"/>
  <c r="A356" i="58"/>
  <c r="G355" i="58"/>
  <c r="F355" i="58"/>
  <c r="E355" i="58"/>
  <c r="D355" i="58"/>
  <c r="C355" i="58"/>
  <c r="B355" i="58"/>
  <c r="A355" i="58"/>
  <c r="G354" i="58"/>
  <c r="F354" i="58"/>
  <c r="E354" i="58"/>
  <c r="D354" i="58"/>
  <c r="C354" i="58"/>
  <c r="B354" i="58"/>
  <c r="A354" i="58"/>
  <c r="G353" i="58"/>
  <c r="F353" i="58"/>
  <c r="E353" i="58"/>
  <c r="D353" i="58"/>
  <c r="C353" i="58"/>
  <c r="B353" i="58"/>
  <c r="A353" i="58"/>
  <c r="G352" i="58"/>
  <c r="F352" i="58"/>
  <c r="E352" i="58"/>
  <c r="D352" i="58"/>
  <c r="C352" i="58"/>
  <c r="B352" i="58"/>
  <c r="A352" i="58"/>
  <c r="G351" i="58"/>
  <c r="F351" i="58"/>
  <c r="E351" i="58"/>
  <c r="D351" i="58"/>
  <c r="C351" i="58"/>
  <c r="B351" i="58"/>
  <c r="A351" i="58"/>
  <c r="G350" i="58"/>
  <c r="F350" i="58"/>
  <c r="E350" i="58"/>
  <c r="D350" i="58"/>
  <c r="C350" i="58"/>
  <c r="B350" i="58"/>
  <c r="A350" i="58"/>
  <c r="G349" i="58"/>
  <c r="F349" i="58"/>
  <c r="E349" i="58"/>
  <c r="D349" i="58"/>
  <c r="C349" i="58"/>
  <c r="B349" i="58"/>
  <c r="A349" i="58"/>
  <c r="G348" i="58"/>
  <c r="F348" i="58"/>
  <c r="E348" i="58"/>
  <c r="D348" i="58"/>
  <c r="C348" i="58"/>
  <c r="B348" i="58"/>
  <c r="A348" i="58"/>
  <c r="G347" i="58"/>
  <c r="F347" i="58"/>
  <c r="E347" i="58"/>
  <c r="D347" i="58"/>
  <c r="C347" i="58"/>
  <c r="B347" i="58"/>
  <c r="A347" i="58"/>
  <c r="G346" i="58"/>
  <c r="F346" i="58"/>
  <c r="E346" i="58"/>
  <c r="D346" i="58"/>
  <c r="C346" i="58"/>
  <c r="B346" i="58"/>
  <c r="A346" i="58"/>
  <c r="G345" i="58"/>
  <c r="F345" i="58"/>
  <c r="E345" i="58"/>
  <c r="D345" i="58"/>
  <c r="C345" i="58"/>
  <c r="B345" i="58"/>
  <c r="A345" i="58"/>
  <c r="G344" i="58"/>
  <c r="F344" i="58"/>
  <c r="E344" i="58"/>
  <c r="D344" i="58"/>
  <c r="C344" i="58"/>
  <c r="B344" i="58"/>
  <c r="A344" i="58"/>
  <c r="G343" i="58"/>
  <c r="F343" i="58"/>
  <c r="E343" i="58"/>
  <c r="D343" i="58"/>
  <c r="C343" i="58"/>
  <c r="B343" i="58"/>
  <c r="A343" i="58"/>
  <c r="G342" i="58"/>
  <c r="F342" i="58"/>
  <c r="E342" i="58"/>
  <c r="D342" i="58"/>
  <c r="C342" i="58"/>
  <c r="B342" i="58"/>
  <c r="A342" i="58"/>
  <c r="G341" i="58"/>
  <c r="F341" i="58"/>
  <c r="E341" i="58"/>
  <c r="D341" i="58"/>
  <c r="C341" i="58"/>
  <c r="B341" i="58"/>
  <c r="A341" i="58"/>
  <c r="G340" i="58"/>
  <c r="F340" i="58"/>
  <c r="E340" i="58"/>
  <c r="D340" i="58"/>
  <c r="C340" i="58"/>
  <c r="B340" i="58"/>
  <c r="A340" i="58"/>
  <c r="G339" i="58"/>
  <c r="F339" i="58"/>
  <c r="E339" i="58"/>
  <c r="D339" i="58"/>
  <c r="C339" i="58"/>
  <c r="B339" i="58"/>
  <c r="A339" i="58"/>
  <c r="G338" i="58"/>
  <c r="F338" i="58"/>
  <c r="E338" i="58"/>
  <c r="D338" i="58"/>
  <c r="C338" i="58"/>
  <c r="B338" i="58"/>
  <c r="A338" i="58"/>
  <c r="G337" i="58"/>
  <c r="F337" i="58"/>
  <c r="E337" i="58"/>
  <c r="D337" i="58"/>
  <c r="C337" i="58"/>
  <c r="B337" i="58"/>
  <c r="A337" i="58"/>
  <c r="G336" i="58"/>
  <c r="F336" i="58"/>
  <c r="E336" i="58"/>
  <c r="D336" i="58"/>
  <c r="C336" i="58"/>
  <c r="B336" i="58"/>
  <c r="A336" i="58"/>
  <c r="G335" i="58"/>
  <c r="F335" i="58"/>
  <c r="E335" i="58"/>
  <c r="D335" i="58"/>
  <c r="C335" i="58"/>
  <c r="B335" i="58"/>
  <c r="A335" i="58"/>
  <c r="G334" i="58"/>
  <c r="F334" i="58"/>
  <c r="E334" i="58"/>
  <c r="D334" i="58"/>
  <c r="C334" i="58"/>
  <c r="B334" i="58"/>
  <c r="A334" i="58"/>
  <c r="G333" i="58"/>
  <c r="F333" i="58"/>
  <c r="E333" i="58"/>
  <c r="D333" i="58"/>
  <c r="C333" i="58"/>
  <c r="B333" i="58"/>
  <c r="A333" i="58"/>
  <c r="G332" i="58"/>
  <c r="F332" i="58"/>
  <c r="E332" i="58"/>
  <c r="D332" i="58"/>
  <c r="C332" i="58"/>
  <c r="B332" i="58"/>
  <c r="A332" i="58"/>
  <c r="G331" i="58"/>
  <c r="F331" i="58"/>
  <c r="E331" i="58"/>
  <c r="D331" i="58"/>
  <c r="C331" i="58"/>
  <c r="B331" i="58"/>
  <c r="A331" i="58"/>
  <c r="G330" i="58"/>
  <c r="F330" i="58"/>
  <c r="E330" i="58"/>
  <c r="D330" i="58"/>
  <c r="C330" i="58"/>
  <c r="B330" i="58"/>
  <c r="A330" i="58"/>
  <c r="G329" i="58"/>
  <c r="F329" i="58"/>
  <c r="E329" i="58"/>
  <c r="D329" i="58"/>
  <c r="C329" i="58"/>
  <c r="B329" i="58"/>
  <c r="A329" i="58"/>
  <c r="G328" i="58"/>
  <c r="F328" i="58"/>
  <c r="E328" i="58"/>
  <c r="D328" i="58"/>
  <c r="C328" i="58"/>
  <c r="B328" i="58"/>
  <c r="A328" i="58"/>
  <c r="G327" i="58"/>
  <c r="F327" i="58"/>
  <c r="E327" i="58"/>
  <c r="D327" i="58"/>
  <c r="C327" i="58"/>
  <c r="B327" i="58"/>
  <c r="A327" i="58"/>
  <c r="G326" i="58"/>
  <c r="F326" i="58"/>
  <c r="E326" i="58"/>
  <c r="D326" i="58"/>
  <c r="C326" i="58"/>
  <c r="B326" i="58"/>
  <c r="A326" i="58"/>
  <c r="G325" i="58"/>
  <c r="F325" i="58"/>
  <c r="E325" i="58"/>
  <c r="D325" i="58"/>
  <c r="C325" i="58"/>
  <c r="B325" i="58"/>
  <c r="A325" i="58"/>
  <c r="G324" i="58"/>
  <c r="F324" i="58"/>
  <c r="E324" i="58"/>
  <c r="D324" i="58"/>
  <c r="C324" i="58"/>
  <c r="B324" i="58"/>
  <c r="A324" i="58"/>
  <c r="G323" i="58"/>
  <c r="F323" i="58"/>
  <c r="E323" i="58"/>
  <c r="D323" i="58"/>
  <c r="C323" i="58"/>
  <c r="B323" i="58"/>
  <c r="A323" i="58"/>
  <c r="G322" i="58"/>
  <c r="F322" i="58"/>
  <c r="E322" i="58"/>
  <c r="D322" i="58"/>
  <c r="C322" i="58"/>
  <c r="B322" i="58"/>
  <c r="A322" i="58"/>
  <c r="G321" i="58"/>
  <c r="F321" i="58"/>
  <c r="E321" i="58"/>
  <c r="D321" i="58"/>
  <c r="C321" i="58"/>
  <c r="B321" i="58"/>
  <c r="A321" i="58"/>
  <c r="G320" i="58"/>
  <c r="F320" i="58"/>
  <c r="E320" i="58"/>
  <c r="D320" i="58"/>
  <c r="C320" i="58"/>
  <c r="B320" i="58"/>
  <c r="A320" i="58"/>
  <c r="G319" i="58"/>
  <c r="F319" i="58"/>
  <c r="E319" i="58"/>
  <c r="D319" i="58"/>
  <c r="C319" i="58"/>
  <c r="B319" i="58"/>
  <c r="A319" i="58"/>
  <c r="G318" i="58"/>
  <c r="F318" i="58"/>
  <c r="E318" i="58"/>
  <c r="D318" i="58"/>
  <c r="C318" i="58"/>
  <c r="B318" i="58"/>
  <c r="A318" i="58"/>
  <c r="G317" i="58"/>
  <c r="F317" i="58"/>
  <c r="E317" i="58"/>
  <c r="D317" i="58"/>
  <c r="C317" i="58"/>
  <c r="B317" i="58"/>
  <c r="A317" i="58"/>
  <c r="G316" i="58"/>
  <c r="F316" i="58"/>
  <c r="E316" i="58"/>
  <c r="D316" i="58"/>
  <c r="C316" i="58"/>
  <c r="B316" i="58"/>
  <c r="A316" i="58"/>
  <c r="G315" i="58"/>
  <c r="F315" i="58"/>
  <c r="E315" i="58"/>
  <c r="D315" i="58"/>
  <c r="C315" i="58"/>
  <c r="B315" i="58"/>
  <c r="A315" i="58"/>
  <c r="G314" i="58"/>
  <c r="F314" i="58"/>
  <c r="E314" i="58"/>
  <c r="D314" i="58"/>
  <c r="C314" i="58"/>
  <c r="B314" i="58"/>
  <c r="A314" i="58"/>
  <c r="G313" i="58"/>
  <c r="F313" i="58"/>
  <c r="E313" i="58"/>
  <c r="D313" i="58"/>
  <c r="C313" i="58"/>
  <c r="B313" i="58"/>
  <c r="A313" i="58"/>
  <c r="G312" i="58"/>
  <c r="F312" i="58"/>
  <c r="E312" i="58"/>
  <c r="D312" i="58"/>
  <c r="C312" i="58"/>
  <c r="B312" i="58"/>
  <c r="A312" i="58"/>
  <c r="G311" i="58"/>
  <c r="F311" i="58"/>
  <c r="E311" i="58"/>
  <c r="D311" i="58"/>
  <c r="C311" i="58"/>
  <c r="B311" i="58"/>
  <c r="A311" i="58"/>
  <c r="G310" i="58"/>
  <c r="F310" i="58"/>
  <c r="E310" i="58"/>
  <c r="D310" i="58"/>
  <c r="C310" i="58"/>
  <c r="B310" i="58"/>
  <c r="A310" i="58"/>
  <c r="G309" i="58"/>
  <c r="F309" i="58"/>
  <c r="E309" i="58"/>
  <c r="D309" i="58"/>
  <c r="C309" i="58"/>
  <c r="B309" i="58"/>
  <c r="A309" i="58"/>
  <c r="G308" i="58"/>
  <c r="F308" i="58"/>
  <c r="E308" i="58"/>
  <c r="D308" i="58"/>
  <c r="C308" i="58"/>
  <c r="B308" i="58"/>
  <c r="A308" i="58"/>
  <c r="G307" i="58"/>
  <c r="F307" i="58"/>
  <c r="E307" i="58"/>
  <c r="D307" i="58"/>
  <c r="C307" i="58"/>
  <c r="B307" i="58"/>
  <c r="A307" i="58"/>
  <c r="G306" i="58"/>
  <c r="F306" i="58"/>
  <c r="E306" i="58"/>
  <c r="D306" i="58"/>
  <c r="C306" i="58"/>
  <c r="B306" i="58"/>
  <c r="A306" i="58"/>
  <c r="G305" i="58"/>
  <c r="F305" i="58"/>
  <c r="E305" i="58"/>
  <c r="D305" i="58"/>
  <c r="C305" i="58"/>
  <c r="B305" i="58"/>
  <c r="A305" i="58"/>
  <c r="G304" i="58"/>
  <c r="F304" i="58"/>
  <c r="E304" i="58"/>
  <c r="D304" i="58"/>
  <c r="C304" i="58"/>
  <c r="B304" i="58"/>
  <c r="A304" i="58"/>
  <c r="G303" i="58"/>
  <c r="F303" i="58"/>
  <c r="E303" i="58"/>
  <c r="D303" i="58"/>
  <c r="C303" i="58"/>
  <c r="B303" i="58"/>
  <c r="A303" i="58"/>
  <c r="G302" i="58"/>
  <c r="F302" i="58"/>
  <c r="E302" i="58"/>
  <c r="D302" i="58"/>
  <c r="C302" i="58"/>
  <c r="B302" i="58"/>
  <c r="A302" i="58"/>
  <c r="G301" i="58"/>
  <c r="F301" i="58"/>
  <c r="E301" i="58"/>
  <c r="D301" i="58"/>
  <c r="C301" i="58"/>
  <c r="B301" i="58"/>
  <c r="A301" i="58"/>
  <c r="G300" i="58"/>
  <c r="F300" i="58"/>
  <c r="E300" i="58"/>
  <c r="D300" i="58"/>
  <c r="C300" i="58"/>
  <c r="B300" i="58"/>
  <c r="A300" i="58"/>
  <c r="G299" i="58"/>
  <c r="F299" i="58"/>
  <c r="E299" i="58"/>
  <c r="D299" i="58"/>
  <c r="C299" i="58"/>
  <c r="B299" i="58"/>
  <c r="A299" i="58"/>
  <c r="G298" i="58"/>
  <c r="F298" i="58"/>
  <c r="E298" i="58"/>
  <c r="D298" i="58"/>
  <c r="C298" i="58"/>
  <c r="B298" i="58"/>
  <c r="A298" i="58"/>
  <c r="G297" i="58"/>
  <c r="F297" i="58"/>
  <c r="E297" i="58"/>
  <c r="D297" i="58"/>
  <c r="C297" i="58"/>
  <c r="B297" i="58"/>
  <c r="A297" i="58"/>
  <c r="G296" i="58"/>
  <c r="F296" i="58"/>
  <c r="E296" i="58"/>
  <c r="D296" i="58"/>
  <c r="C296" i="58"/>
  <c r="B296" i="58"/>
  <c r="A296" i="58"/>
  <c r="G295" i="58"/>
  <c r="F295" i="58"/>
  <c r="E295" i="58"/>
  <c r="D295" i="58"/>
  <c r="C295" i="58"/>
  <c r="B295" i="58"/>
  <c r="A295" i="58"/>
  <c r="G294" i="58"/>
  <c r="F294" i="58"/>
  <c r="E294" i="58"/>
  <c r="D294" i="58"/>
  <c r="C294" i="58"/>
  <c r="B294" i="58"/>
  <c r="A294" i="58"/>
  <c r="G293" i="58"/>
  <c r="F293" i="58"/>
  <c r="E293" i="58"/>
  <c r="D293" i="58"/>
  <c r="C293" i="58"/>
  <c r="B293" i="58"/>
  <c r="A293" i="58"/>
  <c r="G292" i="58"/>
  <c r="F292" i="58"/>
  <c r="E292" i="58"/>
  <c r="D292" i="58"/>
  <c r="C292" i="58"/>
  <c r="B292" i="58"/>
  <c r="A292" i="58"/>
  <c r="G291" i="58"/>
  <c r="F291" i="58"/>
  <c r="E291" i="58"/>
  <c r="D291" i="58"/>
  <c r="C291" i="58"/>
  <c r="B291" i="58"/>
  <c r="A291" i="58"/>
  <c r="G290" i="58"/>
  <c r="F290" i="58"/>
  <c r="E290" i="58"/>
  <c r="D290" i="58"/>
  <c r="C290" i="58"/>
  <c r="B290" i="58"/>
  <c r="A290" i="58"/>
  <c r="G289" i="58"/>
  <c r="F289" i="58"/>
  <c r="E289" i="58"/>
  <c r="D289" i="58"/>
  <c r="C289" i="58"/>
  <c r="B289" i="58"/>
  <c r="A289" i="58"/>
  <c r="G288" i="58"/>
  <c r="F288" i="58"/>
  <c r="E288" i="58"/>
  <c r="D288" i="58"/>
  <c r="C288" i="58"/>
  <c r="B288" i="58"/>
  <c r="A288" i="58"/>
  <c r="G287" i="58"/>
  <c r="F287" i="58"/>
  <c r="E287" i="58"/>
  <c r="D287" i="58"/>
  <c r="C287" i="58"/>
  <c r="B287" i="58"/>
  <c r="A287" i="58"/>
  <c r="G286" i="58"/>
  <c r="F286" i="58"/>
  <c r="E286" i="58"/>
  <c r="D286" i="58"/>
  <c r="C286" i="58"/>
  <c r="B286" i="58"/>
  <c r="A286" i="58"/>
  <c r="G285" i="58"/>
  <c r="F285" i="58"/>
  <c r="E285" i="58"/>
  <c r="D285" i="58"/>
  <c r="C285" i="58"/>
  <c r="B285" i="58"/>
  <c r="A285" i="58"/>
  <c r="G284" i="58"/>
  <c r="F284" i="58"/>
  <c r="E284" i="58"/>
  <c r="D284" i="58"/>
  <c r="C284" i="58"/>
  <c r="B284" i="58"/>
  <c r="A284" i="58"/>
  <c r="G283" i="58"/>
  <c r="F283" i="58"/>
  <c r="E283" i="58"/>
  <c r="D283" i="58"/>
  <c r="C283" i="58"/>
  <c r="B283" i="58"/>
  <c r="A283" i="58"/>
  <c r="G282" i="58"/>
  <c r="F282" i="58"/>
  <c r="E282" i="58"/>
  <c r="D282" i="58"/>
  <c r="C282" i="58"/>
  <c r="B282" i="58"/>
  <c r="A282" i="58"/>
  <c r="G281" i="58"/>
  <c r="F281" i="58"/>
  <c r="E281" i="58"/>
  <c r="D281" i="58"/>
  <c r="C281" i="58"/>
  <c r="B281" i="58"/>
  <c r="A281" i="58"/>
  <c r="G280" i="58"/>
  <c r="F280" i="58"/>
  <c r="E280" i="58"/>
  <c r="D280" i="58"/>
  <c r="C280" i="58"/>
  <c r="B280" i="58"/>
  <c r="A280" i="58"/>
  <c r="G279" i="58"/>
  <c r="F279" i="58"/>
  <c r="E279" i="58"/>
  <c r="D279" i="58"/>
  <c r="C279" i="58"/>
  <c r="B279" i="58"/>
  <c r="A279" i="58"/>
  <c r="G278" i="58"/>
  <c r="F278" i="58"/>
  <c r="E278" i="58"/>
  <c r="D278" i="58"/>
  <c r="C278" i="58"/>
  <c r="B278" i="58"/>
  <c r="A278" i="58"/>
  <c r="G277" i="58"/>
  <c r="F277" i="58"/>
  <c r="E277" i="58"/>
  <c r="D277" i="58"/>
  <c r="C277" i="58"/>
  <c r="B277" i="58"/>
  <c r="A277" i="58"/>
  <c r="G276" i="58"/>
  <c r="F276" i="58"/>
  <c r="E276" i="58"/>
  <c r="D276" i="58"/>
  <c r="C276" i="58"/>
  <c r="B276" i="58"/>
  <c r="A276" i="58"/>
  <c r="G275" i="58"/>
  <c r="F275" i="58"/>
  <c r="E275" i="58"/>
  <c r="D275" i="58"/>
  <c r="C275" i="58"/>
  <c r="B275" i="58"/>
  <c r="A275" i="58"/>
  <c r="G274" i="58"/>
  <c r="F274" i="58"/>
  <c r="E274" i="58"/>
  <c r="D274" i="58"/>
  <c r="C274" i="58"/>
  <c r="B274" i="58"/>
  <c r="A274" i="58"/>
  <c r="G273" i="58"/>
  <c r="F273" i="58"/>
  <c r="E273" i="58"/>
  <c r="D273" i="58"/>
  <c r="C273" i="58"/>
  <c r="B273" i="58"/>
  <c r="A273" i="58"/>
  <c r="G272" i="58"/>
  <c r="F272" i="58"/>
  <c r="E272" i="58"/>
  <c r="D272" i="58"/>
  <c r="C272" i="58"/>
  <c r="B272" i="58"/>
  <c r="A272" i="58"/>
  <c r="G271" i="58"/>
  <c r="F271" i="58"/>
  <c r="E271" i="58"/>
  <c r="D271" i="58"/>
  <c r="C271" i="58"/>
  <c r="B271" i="58"/>
  <c r="A271" i="58"/>
  <c r="G270" i="58"/>
  <c r="F270" i="58"/>
  <c r="E270" i="58"/>
  <c r="D270" i="58"/>
  <c r="C270" i="58"/>
  <c r="B270" i="58"/>
  <c r="A270" i="58"/>
  <c r="G269" i="58"/>
  <c r="F269" i="58"/>
  <c r="E269" i="58"/>
  <c r="D269" i="58"/>
  <c r="C269" i="58"/>
  <c r="B269" i="58"/>
  <c r="A269" i="58"/>
  <c r="G268" i="58"/>
  <c r="F268" i="58"/>
  <c r="E268" i="58"/>
  <c r="D268" i="58"/>
  <c r="C268" i="58"/>
  <c r="B268" i="58"/>
  <c r="A268" i="58"/>
  <c r="G267" i="58"/>
  <c r="F267" i="58"/>
  <c r="E267" i="58"/>
  <c r="D267" i="58"/>
  <c r="C267" i="58"/>
  <c r="B267" i="58"/>
  <c r="A267" i="58"/>
  <c r="G266" i="58"/>
  <c r="F266" i="58"/>
  <c r="E266" i="58"/>
  <c r="D266" i="58"/>
  <c r="C266" i="58"/>
  <c r="B266" i="58"/>
  <c r="A266" i="58"/>
  <c r="G265" i="58"/>
  <c r="F265" i="58"/>
  <c r="E265" i="58"/>
  <c r="D265" i="58"/>
  <c r="C265" i="58"/>
  <c r="B265" i="58"/>
  <c r="A265" i="58"/>
  <c r="G264" i="58"/>
  <c r="F264" i="58"/>
  <c r="E264" i="58"/>
  <c r="D264" i="58"/>
  <c r="C264" i="58"/>
  <c r="B264" i="58"/>
  <c r="A264" i="58"/>
  <c r="G263" i="58"/>
  <c r="F263" i="58"/>
  <c r="E263" i="58"/>
  <c r="D263" i="58"/>
  <c r="C263" i="58"/>
  <c r="B263" i="58"/>
  <c r="A263" i="58"/>
  <c r="G262" i="58"/>
  <c r="F262" i="58"/>
  <c r="E262" i="58"/>
  <c r="D262" i="58"/>
  <c r="C262" i="58"/>
  <c r="B262" i="58"/>
  <c r="A262" i="58"/>
  <c r="G261" i="58"/>
  <c r="F261" i="58"/>
  <c r="E261" i="58"/>
  <c r="D261" i="58"/>
  <c r="C261" i="58"/>
  <c r="B261" i="58"/>
  <c r="A261" i="58"/>
  <c r="G260" i="58"/>
  <c r="F260" i="58"/>
  <c r="E260" i="58"/>
  <c r="D260" i="58"/>
  <c r="C260" i="58"/>
  <c r="B260" i="58"/>
  <c r="A260" i="58"/>
  <c r="G259" i="58"/>
  <c r="F259" i="58"/>
  <c r="E259" i="58"/>
  <c r="D259" i="58"/>
  <c r="C259" i="58"/>
  <c r="B259" i="58"/>
  <c r="A259" i="58"/>
  <c r="G258" i="58"/>
  <c r="F258" i="58"/>
  <c r="E258" i="58"/>
  <c r="D258" i="58"/>
  <c r="C258" i="58"/>
  <c r="B258" i="58"/>
  <c r="A258" i="58"/>
  <c r="G257" i="58"/>
  <c r="F257" i="58"/>
  <c r="E257" i="58"/>
  <c r="D257" i="58"/>
  <c r="C257" i="58"/>
  <c r="B257" i="58"/>
  <c r="A257" i="58"/>
  <c r="G256" i="58"/>
  <c r="F256" i="58"/>
  <c r="E256" i="58"/>
  <c r="D256" i="58"/>
  <c r="C256" i="58"/>
  <c r="B256" i="58"/>
  <c r="A256" i="58"/>
  <c r="G255" i="58"/>
  <c r="F255" i="58"/>
  <c r="E255" i="58"/>
  <c r="D255" i="58"/>
  <c r="C255" i="58"/>
  <c r="B255" i="58"/>
  <c r="A255" i="58"/>
  <c r="G254" i="58"/>
  <c r="F254" i="58"/>
  <c r="E254" i="58"/>
  <c r="D254" i="58"/>
  <c r="C254" i="58"/>
  <c r="B254" i="58"/>
  <c r="A254" i="58"/>
  <c r="G253" i="58"/>
  <c r="F253" i="58"/>
  <c r="E253" i="58"/>
  <c r="D253" i="58"/>
  <c r="C253" i="58"/>
  <c r="B253" i="58"/>
  <c r="A253" i="58"/>
  <c r="G252" i="58"/>
  <c r="F252" i="58"/>
  <c r="E252" i="58"/>
  <c r="D252" i="58"/>
  <c r="C252" i="58"/>
  <c r="B252" i="58"/>
  <c r="A252" i="58"/>
  <c r="G251" i="58"/>
  <c r="F251" i="58"/>
  <c r="E251" i="58"/>
  <c r="D251" i="58"/>
  <c r="C251" i="58"/>
  <c r="B251" i="58"/>
  <c r="A251" i="58"/>
  <c r="G250" i="58"/>
  <c r="F250" i="58"/>
  <c r="E250" i="58"/>
  <c r="D250" i="58"/>
  <c r="C250" i="58"/>
  <c r="B250" i="58"/>
  <c r="A250" i="58"/>
  <c r="G249" i="58"/>
  <c r="F249" i="58"/>
  <c r="E249" i="58"/>
  <c r="D249" i="58"/>
  <c r="C249" i="58"/>
  <c r="B249" i="58"/>
  <c r="A249" i="58"/>
  <c r="G248" i="58"/>
  <c r="F248" i="58"/>
  <c r="E248" i="58"/>
  <c r="D248" i="58"/>
  <c r="C248" i="58"/>
  <c r="B248" i="58"/>
  <c r="A248" i="58"/>
  <c r="G247" i="58"/>
  <c r="F247" i="58"/>
  <c r="E247" i="58"/>
  <c r="D247" i="58"/>
  <c r="C247" i="58"/>
  <c r="B247" i="58"/>
  <c r="A247" i="58"/>
  <c r="G246" i="58"/>
  <c r="F246" i="58"/>
  <c r="E246" i="58"/>
  <c r="D246" i="58"/>
  <c r="C246" i="58"/>
  <c r="B246" i="58"/>
  <c r="A246" i="58"/>
  <c r="G245" i="58"/>
  <c r="F245" i="58"/>
  <c r="E245" i="58"/>
  <c r="D245" i="58"/>
  <c r="C245" i="58"/>
  <c r="B245" i="58"/>
  <c r="A245" i="58"/>
  <c r="G244" i="58"/>
  <c r="F244" i="58"/>
  <c r="E244" i="58"/>
  <c r="D244" i="58"/>
  <c r="C244" i="58"/>
  <c r="B244" i="58"/>
  <c r="A244" i="58"/>
  <c r="G243" i="58"/>
  <c r="F243" i="58"/>
  <c r="E243" i="58"/>
  <c r="D243" i="58"/>
  <c r="C243" i="58"/>
  <c r="B243" i="58"/>
  <c r="A243" i="58"/>
  <c r="G242" i="58"/>
  <c r="F242" i="58"/>
  <c r="E242" i="58"/>
  <c r="D242" i="58"/>
  <c r="C242" i="58"/>
  <c r="B242" i="58"/>
  <c r="A242" i="58"/>
  <c r="G241" i="58"/>
  <c r="F241" i="58"/>
  <c r="E241" i="58"/>
  <c r="D241" i="58"/>
  <c r="C241" i="58"/>
  <c r="B241" i="58"/>
  <c r="A241" i="58"/>
  <c r="G240" i="58"/>
  <c r="F240" i="58"/>
  <c r="E240" i="58"/>
  <c r="D240" i="58"/>
  <c r="C240" i="58"/>
  <c r="B240" i="58"/>
  <c r="A240" i="58"/>
  <c r="G239" i="58"/>
  <c r="F239" i="58"/>
  <c r="E239" i="58"/>
  <c r="D239" i="58"/>
  <c r="C239" i="58"/>
  <c r="B239" i="58"/>
  <c r="A239" i="58"/>
  <c r="G238" i="58"/>
  <c r="F238" i="58"/>
  <c r="E238" i="58"/>
  <c r="D238" i="58"/>
  <c r="C238" i="58"/>
  <c r="B238" i="58"/>
  <c r="A238" i="58"/>
  <c r="G237" i="58"/>
  <c r="F237" i="58"/>
  <c r="E237" i="58"/>
  <c r="D237" i="58"/>
  <c r="C237" i="58"/>
  <c r="B237" i="58"/>
  <c r="A237" i="58"/>
  <c r="G236" i="58"/>
  <c r="F236" i="58"/>
  <c r="E236" i="58"/>
  <c r="D236" i="58"/>
  <c r="C236" i="58"/>
  <c r="B236" i="58"/>
  <c r="A236" i="58"/>
  <c r="G235" i="58"/>
  <c r="F235" i="58"/>
  <c r="E235" i="58"/>
  <c r="D235" i="58"/>
  <c r="C235" i="58"/>
  <c r="B235" i="58"/>
  <c r="A235" i="58"/>
  <c r="G234" i="58"/>
  <c r="F234" i="58"/>
  <c r="E234" i="58"/>
  <c r="D234" i="58"/>
  <c r="C234" i="58"/>
  <c r="B234" i="58"/>
  <c r="A234" i="58"/>
  <c r="G233" i="58"/>
  <c r="F233" i="58"/>
  <c r="E233" i="58"/>
  <c r="D233" i="58"/>
  <c r="C233" i="58"/>
  <c r="B233" i="58"/>
  <c r="A233" i="58"/>
  <c r="G232" i="58"/>
  <c r="F232" i="58"/>
  <c r="E232" i="58"/>
  <c r="D232" i="58"/>
  <c r="C232" i="58"/>
  <c r="B232" i="58"/>
  <c r="A232" i="58"/>
  <c r="G231" i="58"/>
  <c r="F231" i="58"/>
  <c r="E231" i="58"/>
  <c r="D231" i="58"/>
  <c r="C231" i="58"/>
  <c r="B231" i="58"/>
  <c r="A231" i="58"/>
  <c r="G230" i="58"/>
  <c r="F230" i="58"/>
  <c r="E230" i="58"/>
  <c r="D230" i="58"/>
  <c r="C230" i="58"/>
  <c r="B230" i="58"/>
  <c r="A230" i="58"/>
  <c r="G229" i="58"/>
  <c r="F229" i="58"/>
  <c r="E229" i="58"/>
  <c r="D229" i="58"/>
  <c r="C229" i="58"/>
  <c r="B229" i="58"/>
  <c r="A229" i="58"/>
  <c r="G228" i="58"/>
  <c r="F228" i="58"/>
  <c r="E228" i="58"/>
  <c r="D228" i="58"/>
  <c r="C228" i="58"/>
  <c r="B228" i="58"/>
  <c r="A228" i="58"/>
  <c r="G227" i="58"/>
  <c r="F227" i="58"/>
  <c r="E227" i="58"/>
  <c r="D227" i="58"/>
  <c r="C227" i="58"/>
  <c r="B227" i="58"/>
  <c r="A227" i="58"/>
  <c r="G226" i="58"/>
  <c r="F226" i="58"/>
  <c r="E226" i="58"/>
  <c r="D226" i="58"/>
  <c r="C226" i="58"/>
  <c r="B226" i="58"/>
  <c r="A226" i="58"/>
  <c r="G225" i="58"/>
  <c r="F225" i="58"/>
  <c r="E225" i="58"/>
  <c r="D225" i="58"/>
  <c r="C225" i="58"/>
  <c r="B225" i="58"/>
  <c r="A225" i="58"/>
  <c r="G224" i="58"/>
  <c r="F224" i="58"/>
  <c r="E224" i="58"/>
  <c r="D224" i="58"/>
  <c r="C224" i="58"/>
  <c r="B224" i="58"/>
  <c r="A224" i="58"/>
  <c r="G223" i="58"/>
  <c r="F223" i="58"/>
  <c r="E223" i="58"/>
  <c r="D223" i="58"/>
  <c r="C223" i="58"/>
  <c r="B223" i="58"/>
  <c r="A223" i="58"/>
  <c r="G222" i="58"/>
  <c r="F222" i="58"/>
  <c r="E222" i="58"/>
  <c r="D222" i="58"/>
  <c r="C222" i="58"/>
  <c r="B222" i="58"/>
  <c r="A222" i="58"/>
  <c r="G221" i="58"/>
  <c r="F221" i="58"/>
  <c r="E221" i="58"/>
  <c r="D221" i="58"/>
  <c r="C221" i="58"/>
  <c r="B221" i="58"/>
  <c r="A221" i="58"/>
  <c r="G220" i="58"/>
  <c r="F220" i="58"/>
  <c r="E220" i="58"/>
  <c r="D220" i="58"/>
  <c r="C220" i="58"/>
  <c r="B220" i="58"/>
  <c r="A220" i="58"/>
  <c r="G219" i="58"/>
  <c r="F219" i="58"/>
  <c r="E219" i="58"/>
  <c r="D219" i="58"/>
  <c r="C219" i="58"/>
  <c r="B219" i="58"/>
  <c r="A219" i="58"/>
  <c r="G218" i="58"/>
  <c r="F218" i="58"/>
  <c r="E218" i="58"/>
  <c r="D218" i="58"/>
  <c r="C218" i="58"/>
  <c r="B218" i="58"/>
  <c r="A218" i="58"/>
  <c r="G217" i="58"/>
  <c r="F217" i="58"/>
  <c r="E217" i="58"/>
  <c r="D217" i="58"/>
  <c r="C217" i="58"/>
  <c r="B217" i="58"/>
  <c r="A217" i="58"/>
  <c r="G216" i="58"/>
  <c r="F216" i="58"/>
  <c r="E216" i="58"/>
  <c r="D216" i="58"/>
  <c r="C216" i="58"/>
  <c r="B216" i="58"/>
  <c r="A216" i="58"/>
  <c r="G215" i="58"/>
  <c r="F215" i="58"/>
  <c r="E215" i="58"/>
  <c r="D215" i="58"/>
  <c r="C215" i="58"/>
  <c r="B215" i="58"/>
  <c r="A215" i="58"/>
  <c r="G214" i="58"/>
  <c r="F214" i="58"/>
  <c r="E214" i="58"/>
  <c r="D214" i="58"/>
  <c r="C214" i="58"/>
  <c r="B214" i="58"/>
  <c r="A214" i="58"/>
  <c r="G213" i="58"/>
  <c r="F213" i="58"/>
  <c r="E213" i="58"/>
  <c r="D213" i="58"/>
  <c r="C213" i="58"/>
  <c r="B213" i="58"/>
  <c r="A213" i="58"/>
  <c r="G212" i="58"/>
  <c r="F212" i="58"/>
  <c r="E212" i="58"/>
  <c r="D212" i="58"/>
  <c r="C212" i="58"/>
  <c r="B212" i="58"/>
  <c r="A212" i="58"/>
  <c r="G211" i="58"/>
  <c r="F211" i="58"/>
  <c r="E211" i="58"/>
  <c r="D211" i="58"/>
  <c r="C211" i="58"/>
  <c r="B211" i="58"/>
  <c r="A211" i="58"/>
  <c r="G210" i="58"/>
  <c r="F210" i="58"/>
  <c r="E210" i="58"/>
  <c r="D210" i="58"/>
  <c r="C210" i="58"/>
  <c r="B210" i="58"/>
  <c r="A210" i="58"/>
  <c r="G209" i="58"/>
  <c r="F209" i="58"/>
  <c r="E209" i="58"/>
  <c r="D209" i="58"/>
  <c r="C209" i="58"/>
  <c r="B209" i="58"/>
  <c r="A209" i="58"/>
  <c r="G208" i="58"/>
  <c r="F208" i="58"/>
  <c r="E208" i="58"/>
  <c r="D208" i="58"/>
  <c r="C208" i="58"/>
  <c r="B208" i="58"/>
  <c r="A208" i="58"/>
  <c r="G207" i="58"/>
  <c r="F207" i="58"/>
  <c r="E207" i="58"/>
  <c r="D207" i="58"/>
  <c r="C207" i="58"/>
  <c r="B207" i="58"/>
  <c r="A207" i="58"/>
  <c r="G206" i="58"/>
  <c r="F206" i="58"/>
  <c r="E206" i="58"/>
  <c r="D206" i="58"/>
  <c r="C206" i="58"/>
  <c r="B206" i="58"/>
  <c r="A206" i="58"/>
  <c r="G205" i="58"/>
  <c r="F205" i="58"/>
  <c r="E205" i="58"/>
  <c r="D205" i="58"/>
  <c r="C205" i="58"/>
  <c r="B205" i="58"/>
  <c r="A205" i="58"/>
  <c r="G204" i="58"/>
  <c r="F204" i="58"/>
  <c r="E204" i="58"/>
  <c r="D204" i="58"/>
  <c r="C204" i="58"/>
  <c r="B204" i="58"/>
  <c r="A204" i="58"/>
  <c r="G203" i="58"/>
  <c r="F203" i="58"/>
  <c r="E203" i="58"/>
  <c r="D203" i="58"/>
  <c r="C203" i="58"/>
  <c r="B203" i="58"/>
  <c r="A203" i="58"/>
  <c r="G202" i="58"/>
  <c r="F202" i="58"/>
  <c r="E202" i="58"/>
  <c r="D202" i="58"/>
  <c r="C202" i="58"/>
  <c r="B202" i="58"/>
  <c r="A202" i="58"/>
  <c r="G201" i="58"/>
  <c r="F201" i="58"/>
  <c r="E201" i="58"/>
  <c r="D201" i="58"/>
  <c r="C201" i="58"/>
  <c r="B201" i="58"/>
  <c r="A201" i="58"/>
  <c r="G200" i="58"/>
  <c r="F200" i="58"/>
  <c r="E200" i="58"/>
  <c r="D200" i="58"/>
  <c r="C200" i="58"/>
  <c r="B200" i="58"/>
  <c r="A200" i="58"/>
  <c r="G199" i="58"/>
  <c r="F199" i="58"/>
  <c r="E199" i="58"/>
  <c r="D199" i="58"/>
  <c r="C199" i="58"/>
  <c r="B199" i="58"/>
  <c r="A199" i="58"/>
  <c r="G198" i="58"/>
  <c r="F198" i="58"/>
  <c r="E198" i="58"/>
  <c r="D198" i="58"/>
  <c r="C198" i="58"/>
  <c r="B198" i="58"/>
  <c r="A198" i="58"/>
  <c r="G197" i="58"/>
  <c r="F197" i="58"/>
  <c r="E197" i="58"/>
  <c r="D197" i="58"/>
  <c r="C197" i="58"/>
  <c r="B197" i="58"/>
  <c r="A197" i="58"/>
  <c r="G196" i="58"/>
  <c r="F196" i="58"/>
  <c r="E196" i="58"/>
  <c r="D196" i="58"/>
  <c r="C196" i="58"/>
  <c r="B196" i="58"/>
  <c r="A196" i="58"/>
  <c r="G195" i="58"/>
  <c r="F195" i="58"/>
  <c r="E195" i="58"/>
  <c r="D195" i="58"/>
  <c r="C195" i="58"/>
  <c r="B195" i="58"/>
  <c r="A195" i="58"/>
  <c r="G194" i="58"/>
  <c r="F194" i="58"/>
  <c r="E194" i="58"/>
  <c r="D194" i="58"/>
  <c r="C194" i="58"/>
  <c r="B194" i="58"/>
  <c r="A194" i="58"/>
  <c r="G193" i="58"/>
  <c r="F193" i="58"/>
  <c r="E193" i="58"/>
  <c r="D193" i="58"/>
  <c r="C193" i="58"/>
  <c r="B193" i="58"/>
  <c r="A193" i="58"/>
  <c r="G192" i="58"/>
  <c r="F192" i="58"/>
  <c r="E192" i="58"/>
  <c r="D192" i="58"/>
  <c r="C192" i="58"/>
  <c r="B192" i="58"/>
  <c r="A192" i="58"/>
  <c r="G191" i="58"/>
  <c r="F191" i="58"/>
  <c r="E191" i="58"/>
  <c r="D191" i="58"/>
  <c r="C191" i="58"/>
  <c r="B191" i="58"/>
  <c r="A191" i="58"/>
  <c r="G190" i="58"/>
  <c r="F190" i="58"/>
  <c r="E190" i="58"/>
  <c r="D190" i="58"/>
  <c r="C190" i="58"/>
  <c r="B190" i="58"/>
  <c r="A190" i="58"/>
  <c r="G189" i="58"/>
  <c r="F189" i="58"/>
  <c r="E189" i="58"/>
  <c r="D189" i="58"/>
  <c r="C189" i="58"/>
  <c r="B189" i="58"/>
  <c r="A189" i="58"/>
  <c r="G188" i="58"/>
  <c r="F188" i="58"/>
  <c r="E188" i="58"/>
  <c r="D188" i="58"/>
  <c r="C188" i="58"/>
  <c r="B188" i="58"/>
  <c r="A188" i="58"/>
  <c r="G187" i="58"/>
  <c r="F187" i="58"/>
  <c r="E187" i="58"/>
  <c r="D187" i="58"/>
  <c r="C187" i="58"/>
  <c r="B187" i="58"/>
  <c r="A187" i="58"/>
  <c r="G186" i="58"/>
  <c r="F186" i="58"/>
  <c r="E186" i="58"/>
  <c r="D186" i="58"/>
  <c r="C186" i="58"/>
  <c r="B186" i="58"/>
  <c r="A186" i="58"/>
  <c r="G185" i="58"/>
  <c r="F185" i="58"/>
  <c r="E185" i="58"/>
  <c r="D185" i="58"/>
  <c r="C185" i="58"/>
  <c r="B185" i="58"/>
  <c r="A185" i="58"/>
  <c r="G184" i="58"/>
  <c r="F184" i="58"/>
  <c r="E184" i="58"/>
  <c r="D184" i="58"/>
  <c r="C184" i="58"/>
  <c r="B184" i="58"/>
  <c r="A184" i="58"/>
  <c r="G183" i="58"/>
  <c r="F183" i="58"/>
  <c r="E183" i="58"/>
  <c r="D183" i="58"/>
  <c r="C183" i="58"/>
  <c r="B183" i="58"/>
  <c r="A183" i="58"/>
  <c r="G182" i="58"/>
  <c r="F182" i="58"/>
  <c r="E182" i="58"/>
  <c r="D182" i="58"/>
  <c r="C182" i="58"/>
  <c r="B182" i="58"/>
  <c r="A182" i="58"/>
  <c r="G181" i="58"/>
  <c r="F181" i="58"/>
  <c r="E181" i="58"/>
  <c r="D181" i="58"/>
  <c r="C181" i="58"/>
  <c r="B181" i="58"/>
  <c r="A181" i="58"/>
  <c r="G180" i="58"/>
  <c r="F180" i="58"/>
  <c r="E180" i="58"/>
  <c r="D180" i="58"/>
  <c r="C180" i="58"/>
  <c r="B180" i="58"/>
  <c r="A180" i="58"/>
  <c r="G179" i="58"/>
  <c r="F179" i="58"/>
  <c r="E179" i="58"/>
  <c r="D179" i="58"/>
  <c r="C179" i="58"/>
  <c r="B179" i="58"/>
  <c r="A179" i="58"/>
  <c r="G178" i="58"/>
  <c r="F178" i="58"/>
  <c r="E178" i="58"/>
  <c r="D178" i="58"/>
  <c r="C178" i="58"/>
  <c r="B178" i="58"/>
  <c r="A178" i="58"/>
  <c r="G177" i="58"/>
  <c r="F177" i="58"/>
  <c r="E177" i="58"/>
  <c r="D177" i="58"/>
  <c r="C177" i="58"/>
  <c r="B177" i="58"/>
  <c r="A177" i="58"/>
  <c r="G176" i="58"/>
  <c r="F176" i="58"/>
  <c r="E176" i="58"/>
  <c r="D176" i="58"/>
  <c r="C176" i="58"/>
  <c r="B176" i="58"/>
  <c r="A176" i="58"/>
  <c r="G175" i="58"/>
  <c r="F175" i="58"/>
  <c r="E175" i="58"/>
  <c r="D175" i="58"/>
  <c r="C175" i="58"/>
  <c r="B175" i="58"/>
  <c r="A175" i="58"/>
  <c r="G174" i="58"/>
  <c r="F174" i="58"/>
  <c r="E174" i="58"/>
  <c r="D174" i="58"/>
  <c r="C174" i="58"/>
  <c r="B174" i="58"/>
  <c r="A174" i="58"/>
  <c r="G173" i="58"/>
  <c r="F173" i="58"/>
  <c r="E173" i="58"/>
  <c r="D173" i="58"/>
  <c r="C173" i="58"/>
  <c r="B173" i="58"/>
  <c r="A173" i="58"/>
  <c r="G172" i="58"/>
  <c r="F172" i="58"/>
  <c r="E172" i="58"/>
  <c r="D172" i="58"/>
  <c r="C172" i="58"/>
  <c r="B172" i="58"/>
  <c r="A172" i="58"/>
  <c r="G171" i="58"/>
  <c r="F171" i="58"/>
  <c r="E171" i="58"/>
  <c r="D171" i="58"/>
  <c r="C171" i="58"/>
  <c r="B171" i="58"/>
  <c r="A171" i="58"/>
  <c r="G170" i="58"/>
  <c r="F170" i="58"/>
  <c r="E170" i="58"/>
  <c r="D170" i="58"/>
  <c r="C170" i="58"/>
  <c r="B170" i="58"/>
  <c r="A170" i="58"/>
  <c r="G169" i="58"/>
  <c r="F169" i="58"/>
  <c r="E169" i="58"/>
  <c r="D169" i="58"/>
  <c r="C169" i="58"/>
  <c r="B169" i="58"/>
  <c r="A169" i="58"/>
  <c r="G168" i="58"/>
  <c r="F168" i="58"/>
  <c r="E168" i="58"/>
  <c r="D168" i="58"/>
  <c r="C168" i="58"/>
  <c r="B168" i="58"/>
  <c r="A168" i="58"/>
  <c r="G167" i="58"/>
  <c r="F167" i="58"/>
  <c r="E167" i="58"/>
  <c r="D167" i="58"/>
  <c r="C167" i="58"/>
  <c r="B167" i="58"/>
  <c r="A167" i="58"/>
  <c r="G166" i="58"/>
  <c r="F166" i="58"/>
  <c r="E166" i="58"/>
  <c r="D166" i="58"/>
  <c r="C166" i="58"/>
  <c r="B166" i="58"/>
  <c r="A166" i="58"/>
  <c r="G165" i="58"/>
  <c r="F165" i="58"/>
  <c r="E165" i="58"/>
  <c r="D165" i="58"/>
  <c r="C165" i="58"/>
  <c r="B165" i="58"/>
  <c r="A165" i="58"/>
  <c r="G164" i="58"/>
  <c r="F164" i="58"/>
  <c r="E164" i="58"/>
  <c r="D164" i="58"/>
  <c r="C164" i="58"/>
  <c r="B164" i="58"/>
  <c r="A164" i="58"/>
  <c r="G163" i="58"/>
  <c r="F163" i="58"/>
  <c r="E163" i="58"/>
  <c r="D163" i="58"/>
  <c r="C163" i="58"/>
  <c r="B163" i="58"/>
  <c r="A163" i="58"/>
  <c r="G162" i="58"/>
  <c r="F162" i="58"/>
  <c r="E162" i="58"/>
  <c r="D162" i="58"/>
  <c r="C162" i="58"/>
  <c r="B162" i="58"/>
  <c r="A162" i="58"/>
  <c r="G161" i="58"/>
  <c r="F161" i="58"/>
  <c r="E161" i="58"/>
  <c r="D161" i="58"/>
  <c r="C161" i="58"/>
  <c r="B161" i="58"/>
  <c r="A161" i="58"/>
  <c r="G160" i="58"/>
  <c r="F160" i="58"/>
  <c r="E160" i="58"/>
  <c r="D160" i="58"/>
  <c r="C160" i="58"/>
  <c r="B160" i="58"/>
  <c r="A160" i="58"/>
  <c r="G159" i="58"/>
  <c r="F159" i="58"/>
  <c r="E159" i="58"/>
  <c r="D159" i="58"/>
  <c r="C159" i="58"/>
  <c r="B159" i="58"/>
  <c r="A159" i="58"/>
  <c r="G158" i="58"/>
  <c r="F158" i="58"/>
  <c r="E158" i="58"/>
  <c r="D158" i="58"/>
  <c r="C158" i="58"/>
  <c r="B158" i="58"/>
  <c r="A158" i="58"/>
  <c r="G157" i="58"/>
  <c r="F157" i="58"/>
  <c r="E157" i="58"/>
  <c r="D157" i="58"/>
  <c r="C157" i="58"/>
  <c r="B157" i="58"/>
  <c r="A157" i="58"/>
  <c r="G156" i="58"/>
  <c r="F156" i="58"/>
  <c r="E156" i="58"/>
  <c r="D156" i="58"/>
  <c r="C156" i="58"/>
  <c r="B156" i="58"/>
  <c r="A156" i="58"/>
  <c r="G155" i="58"/>
  <c r="F155" i="58"/>
  <c r="E155" i="58"/>
  <c r="D155" i="58"/>
  <c r="C155" i="58"/>
  <c r="B155" i="58"/>
  <c r="A155" i="58"/>
  <c r="G154" i="58"/>
  <c r="F154" i="58"/>
  <c r="E154" i="58"/>
  <c r="D154" i="58"/>
  <c r="C154" i="58"/>
  <c r="B154" i="58"/>
  <c r="A154" i="58"/>
  <c r="G153" i="58"/>
  <c r="F153" i="58"/>
  <c r="E153" i="58"/>
  <c r="D153" i="58"/>
  <c r="C153" i="58"/>
  <c r="B153" i="58"/>
  <c r="A153" i="58"/>
  <c r="G152" i="58"/>
  <c r="F152" i="58"/>
  <c r="E152" i="58"/>
  <c r="D152" i="58"/>
  <c r="C152" i="58"/>
  <c r="B152" i="58"/>
  <c r="A152" i="58"/>
  <c r="G151" i="58"/>
  <c r="F151" i="58"/>
  <c r="E151" i="58"/>
  <c r="D151" i="58"/>
  <c r="C151" i="58"/>
  <c r="B151" i="58"/>
  <c r="A151" i="58"/>
  <c r="G150" i="58"/>
  <c r="F150" i="58"/>
  <c r="E150" i="58"/>
  <c r="D150" i="58"/>
  <c r="C150" i="58"/>
  <c r="B150" i="58"/>
  <c r="A150" i="58"/>
  <c r="G149" i="58"/>
  <c r="F149" i="58"/>
  <c r="E149" i="58"/>
  <c r="D149" i="58"/>
  <c r="C149" i="58"/>
  <c r="B149" i="58"/>
  <c r="A149" i="58"/>
  <c r="G148" i="58"/>
  <c r="F148" i="58"/>
  <c r="E148" i="58"/>
  <c r="D148" i="58"/>
  <c r="C148" i="58"/>
  <c r="B148" i="58"/>
  <c r="A148" i="58"/>
  <c r="G147" i="58"/>
  <c r="F147" i="58"/>
  <c r="E147" i="58"/>
  <c r="D147" i="58"/>
  <c r="C147" i="58"/>
  <c r="B147" i="58"/>
  <c r="A147" i="58"/>
  <c r="G146" i="58"/>
  <c r="F146" i="58"/>
  <c r="E146" i="58"/>
  <c r="D146" i="58"/>
  <c r="C146" i="58"/>
  <c r="B146" i="58"/>
  <c r="A146" i="58"/>
  <c r="G145" i="58"/>
  <c r="F145" i="58"/>
  <c r="E145" i="58"/>
  <c r="D145" i="58"/>
  <c r="C145" i="58"/>
  <c r="B145" i="58"/>
  <c r="A145" i="58"/>
  <c r="G144" i="58"/>
  <c r="F144" i="58"/>
  <c r="E144" i="58"/>
  <c r="D144" i="58"/>
  <c r="C144" i="58"/>
  <c r="B144" i="58"/>
  <c r="A144" i="58"/>
  <c r="G143" i="58"/>
  <c r="F143" i="58"/>
  <c r="E143" i="58"/>
  <c r="D143" i="58"/>
  <c r="C143" i="58"/>
  <c r="B143" i="58"/>
  <c r="A143" i="58"/>
  <c r="G142" i="58"/>
  <c r="F142" i="58"/>
  <c r="E142" i="58"/>
  <c r="D142" i="58"/>
  <c r="C142" i="58"/>
  <c r="B142" i="58"/>
  <c r="A142" i="58"/>
  <c r="G141" i="58"/>
  <c r="F141" i="58"/>
  <c r="E141" i="58"/>
  <c r="D141" i="58"/>
  <c r="C141" i="58"/>
  <c r="B141" i="58"/>
  <c r="A141" i="58"/>
  <c r="G140" i="58"/>
  <c r="F140" i="58"/>
  <c r="E140" i="58"/>
  <c r="D140" i="58"/>
  <c r="C140" i="58"/>
  <c r="B140" i="58"/>
  <c r="A140" i="58"/>
  <c r="G139" i="58"/>
  <c r="F139" i="58"/>
  <c r="E139" i="58"/>
  <c r="D139" i="58"/>
  <c r="C139" i="58"/>
  <c r="B139" i="58"/>
  <c r="A139" i="58"/>
  <c r="G138" i="58"/>
  <c r="F138" i="58"/>
  <c r="E138" i="58"/>
  <c r="D138" i="58"/>
  <c r="C138" i="58"/>
  <c r="B138" i="58"/>
  <c r="A138" i="58"/>
  <c r="G137" i="58"/>
  <c r="F137" i="58"/>
  <c r="E137" i="58"/>
  <c r="D137" i="58"/>
  <c r="C137" i="58"/>
  <c r="B137" i="58"/>
  <c r="A137" i="58"/>
  <c r="G136" i="58"/>
  <c r="F136" i="58"/>
  <c r="E136" i="58"/>
  <c r="D136" i="58"/>
  <c r="C136" i="58"/>
  <c r="B136" i="58"/>
  <c r="A136" i="58"/>
  <c r="G135" i="58"/>
  <c r="F135" i="58"/>
  <c r="E135" i="58"/>
  <c r="D135" i="58"/>
  <c r="C135" i="58"/>
  <c r="B135" i="58"/>
  <c r="A135" i="58"/>
  <c r="G134" i="58"/>
  <c r="F134" i="58"/>
  <c r="E134" i="58"/>
  <c r="D134" i="58"/>
  <c r="C134" i="58"/>
  <c r="B134" i="58"/>
  <c r="A134" i="58"/>
  <c r="G133" i="58"/>
  <c r="F133" i="58"/>
  <c r="E133" i="58"/>
  <c r="D133" i="58"/>
  <c r="C133" i="58"/>
  <c r="B133" i="58"/>
  <c r="A133" i="58"/>
  <c r="G132" i="58"/>
  <c r="F132" i="58"/>
  <c r="E132" i="58"/>
  <c r="D132" i="58"/>
  <c r="C132" i="58"/>
  <c r="B132" i="58"/>
  <c r="A132" i="58"/>
  <c r="G131" i="58"/>
  <c r="F131" i="58"/>
  <c r="E131" i="58"/>
  <c r="D131" i="58"/>
  <c r="C131" i="58"/>
  <c r="B131" i="58"/>
  <c r="A131" i="58"/>
  <c r="G130" i="58"/>
  <c r="F130" i="58"/>
  <c r="E130" i="58"/>
  <c r="D130" i="58"/>
  <c r="C130" i="58"/>
  <c r="B130" i="58"/>
  <c r="A130" i="58"/>
  <c r="G129" i="58"/>
  <c r="F129" i="58"/>
  <c r="E129" i="58"/>
  <c r="D129" i="58"/>
  <c r="C129" i="58"/>
  <c r="B129" i="58"/>
  <c r="A129" i="58"/>
  <c r="G128" i="58"/>
  <c r="F128" i="58"/>
  <c r="E128" i="58"/>
  <c r="D128" i="58"/>
  <c r="C128" i="58"/>
  <c r="B128" i="58"/>
  <c r="A128" i="58"/>
  <c r="G127" i="58"/>
  <c r="F127" i="58"/>
  <c r="E127" i="58"/>
  <c r="D127" i="58"/>
  <c r="C127" i="58"/>
  <c r="B127" i="58"/>
  <c r="A127" i="58"/>
  <c r="G126" i="58"/>
  <c r="F126" i="58"/>
  <c r="E126" i="58"/>
  <c r="D126" i="58"/>
  <c r="C126" i="58"/>
  <c r="B126" i="58"/>
  <c r="A126" i="58"/>
  <c r="G125" i="58"/>
  <c r="F125" i="58"/>
  <c r="E125" i="58"/>
  <c r="D125" i="58"/>
  <c r="C125" i="58"/>
  <c r="B125" i="58"/>
  <c r="A125" i="58"/>
  <c r="G124" i="58"/>
  <c r="F124" i="58"/>
  <c r="E124" i="58"/>
  <c r="D124" i="58"/>
  <c r="C124" i="58"/>
  <c r="B124" i="58"/>
  <c r="A124" i="58"/>
  <c r="G123" i="58"/>
  <c r="F123" i="58"/>
  <c r="E123" i="58"/>
  <c r="D123" i="58"/>
  <c r="C123" i="58"/>
  <c r="B123" i="58"/>
  <c r="A123" i="58"/>
  <c r="G122" i="58"/>
  <c r="F122" i="58"/>
  <c r="E122" i="58"/>
  <c r="D122" i="58"/>
  <c r="C122" i="58"/>
  <c r="B122" i="58"/>
  <c r="A122" i="58"/>
  <c r="G121" i="58"/>
  <c r="F121" i="58"/>
  <c r="E121" i="58"/>
  <c r="D121" i="58"/>
  <c r="C121" i="58"/>
  <c r="B121" i="58"/>
  <c r="A121" i="58"/>
  <c r="G120" i="58"/>
  <c r="F120" i="58"/>
  <c r="E120" i="58"/>
  <c r="D120" i="58"/>
  <c r="C120" i="58"/>
  <c r="B120" i="58"/>
  <c r="A120" i="58"/>
  <c r="G119" i="58"/>
  <c r="F119" i="58"/>
  <c r="E119" i="58"/>
  <c r="D119" i="58"/>
  <c r="C119" i="58"/>
  <c r="B119" i="58"/>
  <c r="A119" i="58"/>
  <c r="G118" i="58"/>
  <c r="F118" i="58"/>
  <c r="E118" i="58"/>
  <c r="D118" i="58"/>
  <c r="C118" i="58"/>
  <c r="B118" i="58"/>
  <c r="A118" i="58"/>
  <c r="G117" i="58"/>
  <c r="F117" i="58"/>
  <c r="E117" i="58"/>
  <c r="D117" i="58"/>
  <c r="C117" i="58"/>
  <c r="B117" i="58"/>
  <c r="A117" i="58"/>
  <c r="G116" i="58"/>
  <c r="F116" i="58"/>
  <c r="E116" i="58"/>
  <c r="D116" i="58"/>
  <c r="C116" i="58"/>
  <c r="B116" i="58"/>
  <c r="A116" i="58"/>
  <c r="G115" i="58"/>
  <c r="F115" i="58"/>
  <c r="E115" i="58"/>
  <c r="D115" i="58"/>
  <c r="C115" i="58"/>
  <c r="B115" i="58"/>
  <c r="A115" i="58"/>
  <c r="G114" i="58"/>
  <c r="F114" i="58"/>
  <c r="E114" i="58"/>
  <c r="D114" i="58"/>
  <c r="C114" i="58"/>
  <c r="B114" i="58"/>
  <c r="A114" i="58"/>
  <c r="G113" i="58"/>
  <c r="F113" i="58"/>
  <c r="E113" i="58"/>
  <c r="D113" i="58"/>
  <c r="C113" i="58"/>
  <c r="B113" i="58"/>
  <c r="A113" i="58"/>
  <c r="G112" i="58"/>
  <c r="F112" i="58"/>
  <c r="E112" i="58"/>
  <c r="D112" i="58"/>
  <c r="C112" i="58"/>
  <c r="B112" i="58"/>
  <c r="A112" i="58"/>
  <c r="G111" i="58"/>
  <c r="F111" i="58"/>
  <c r="E111" i="58"/>
  <c r="D111" i="58"/>
  <c r="C111" i="58"/>
  <c r="B111" i="58"/>
  <c r="A111" i="58"/>
  <c r="G110" i="58"/>
  <c r="F110" i="58"/>
  <c r="E110" i="58"/>
  <c r="D110" i="58"/>
  <c r="C110" i="58"/>
  <c r="B110" i="58"/>
  <c r="A110" i="58"/>
  <c r="G109" i="58"/>
  <c r="F109" i="58"/>
  <c r="E109" i="58"/>
  <c r="D109" i="58"/>
  <c r="C109" i="58"/>
  <c r="B109" i="58"/>
  <c r="A109" i="58"/>
  <c r="G108" i="58"/>
  <c r="F108" i="58"/>
  <c r="E108" i="58"/>
  <c r="D108" i="58"/>
  <c r="C108" i="58"/>
  <c r="B108" i="58"/>
  <c r="A108" i="58"/>
  <c r="G107" i="58"/>
  <c r="F107" i="58"/>
  <c r="E107" i="58"/>
  <c r="D107" i="58"/>
  <c r="C107" i="58"/>
  <c r="B107" i="58"/>
  <c r="A107" i="58"/>
  <c r="G106" i="58"/>
  <c r="F106" i="58"/>
  <c r="E106" i="58"/>
  <c r="D106" i="58"/>
  <c r="C106" i="58"/>
  <c r="B106" i="58"/>
  <c r="A106" i="58"/>
  <c r="G105" i="58"/>
  <c r="F105" i="58"/>
  <c r="E105" i="58"/>
  <c r="D105" i="58"/>
  <c r="C105" i="58"/>
  <c r="B105" i="58"/>
  <c r="A105" i="58"/>
  <c r="G104" i="58"/>
  <c r="F104" i="58"/>
  <c r="E104" i="58"/>
  <c r="D104" i="58"/>
  <c r="C104" i="58"/>
  <c r="B104" i="58"/>
  <c r="A104" i="58"/>
  <c r="G103" i="58"/>
  <c r="F103" i="58"/>
  <c r="E103" i="58"/>
  <c r="D103" i="58"/>
  <c r="C103" i="58"/>
  <c r="B103" i="58"/>
  <c r="A103" i="58"/>
  <c r="G102" i="58"/>
  <c r="F102" i="58"/>
  <c r="E102" i="58"/>
  <c r="D102" i="58"/>
  <c r="C102" i="58"/>
  <c r="B102" i="58"/>
  <c r="A102" i="58"/>
  <c r="G101" i="58"/>
  <c r="F101" i="58"/>
  <c r="E101" i="58"/>
  <c r="D101" i="58"/>
  <c r="C101" i="58"/>
  <c r="B101" i="58"/>
  <c r="A101" i="58"/>
  <c r="G100" i="58"/>
  <c r="F100" i="58"/>
  <c r="E100" i="58"/>
  <c r="D100" i="58"/>
  <c r="C100" i="58"/>
  <c r="B100" i="58"/>
  <c r="A100" i="58"/>
  <c r="G99" i="58"/>
  <c r="F99" i="58"/>
  <c r="E99" i="58"/>
  <c r="D99" i="58"/>
  <c r="C99" i="58"/>
  <c r="B99" i="58"/>
  <c r="A99" i="58"/>
  <c r="G98" i="58"/>
  <c r="F98" i="58"/>
  <c r="E98" i="58"/>
  <c r="D98" i="58"/>
  <c r="C98" i="58"/>
  <c r="B98" i="58"/>
  <c r="A98" i="58"/>
  <c r="G97" i="58"/>
  <c r="F97" i="58"/>
  <c r="E97" i="58"/>
  <c r="D97" i="58"/>
  <c r="C97" i="58"/>
  <c r="B97" i="58"/>
  <c r="A97" i="58"/>
  <c r="G96" i="58"/>
  <c r="F96" i="58"/>
  <c r="E96" i="58"/>
  <c r="D96" i="58"/>
  <c r="C96" i="58"/>
  <c r="B96" i="58"/>
  <c r="A96" i="58"/>
  <c r="G95" i="58"/>
  <c r="F95" i="58"/>
  <c r="E95" i="58"/>
  <c r="D95" i="58"/>
  <c r="C95" i="58"/>
  <c r="B95" i="58"/>
  <c r="A95" i="58"/>
  <c r="G94" i="58"/>
  <c r="F94" i="58"/>
  <c r="E94" i="58"/>
  <c r="D94" i="58"/>
  <c r="C94" i="58"/>
  <c r="B94" i="58"/>
  <c r="A94" i="58"/>
  <c r="G93" i="58"/>
  <c r="F93" i="58"/>
  <c r="E93" i="58"/>
  <c r="D93" i="58"/>
  <c r="C93" i="58"/>
  <c r="B93" i="58"/>
  <c r="A93" i="58"/>
  <c r="G92" i="58"/>
  <c r="F92" i="58"/>
  <c r="E92" i="58"/>
  <c r="D92" i="58"/>
  <c r="C92" i="58"/>
  <c r="B92" i="58"/>
  <c r="A92" i="58"/>
  <c r="G91" i="58"/>
  <c r="F91" i="58"/>
  <c r="E91" i="58"/>
  <c r="D91" i="58"/>
  <c r="C91" i="58"/>
  <c r="B91" i="58"/>
  <c r="A91" i="58"/>
  <c r="G90" i="58"/>
  <c r="F90" i="58"/>
  <c r="E90" i="58"/>
  <c r="D90" i="58"/>
  <c r="C90" i="58"/>
  <c r="B90" i="58"/>
  <c r="A90" i="58"/>
  <c r="G89" i="58"/>
  <c r="F89" i="58"/>
  <c r="E89" i="58"/>
  <c r="D89" i="58"/>
  <c r="C89" i="58"/>
  <c r="B89" i="58"/>
  <c r="A89" i="58"/>
  <c r="G88" i="58"/>
  <c r="F88" i="58"/>
  <c r="E88" i="58"/>
  <c r="D88" i="58"/>
  <c r="C88" i="58"/>
  <c r="B88" i="58"/>
  <c r="A88" i="58"/>
  <c r="G87" i="58"/>
  <c r="F87" i="58"/>
  <c r="E87" i="58"/>
  <c r="D87" i="58"/>
  <c r="C87" i="58"/>
  <c r="B87" i="58"/>
  <c r="A87" i="58"/>
  <c r="G86" i="58"/>
  <c r="F86" i="58"/>
  <c r="E86" i="58"/>
  <c r="D86" i="58"/>
  <c r="C86" i="58"/>
  <c r="B86" i="58"/>
  <c r="A86" i="58"/>
  <c r="G85" i="58"/>
  <c r="F85" i="58"/>
  <c r="E85" i="58"/>
  <c r="D85" i="58"/>
  <c r="C85" i="58"/>
  <c r="B85" i="58"/>
  <c r="A85" i="58"/>
  <c r="G84" i="58"/>
  <c r="F84" i="58"/>
  <c r="E84" i="58"/>
  <c r="D84" i="58"/>
  <c r="C84" i="58"/>
  <c r="B84" i="58"/>
  <c r="A84" i="58"/>
  <c r="G83" i="58"/>
  <c r="F83" i="58"/>
  <c r="E83" i="58"/>
  <c r="D83" i="58"/>
  <c r="C83" i="58"/>
  <c r="B83" i="58"/>
  <c r="A83" i="58"/>
  <c r="G82" i="58"/>
  <c r="F82" i="58"/>
  <c r="E82" i="58"/>
  <c r="D82" i="58"/>
  <c r="C82" i="58"/>
  <c r="B82" i="58"/>
  <c r="A82" i="58"/>
  <c r="G81" i="58"/>
  <c r="F81" i="58"/>
  <c r="E81" i="58"/>
  <c r="D81" i="58"/>
  <c r="C81" i="58"/>
  <c r="B81" i="58"/>
  <c r="A81" i="58"/>
  <c r="G80" i="58"/>
  <c r="F80" i="58"/>
  <c r="E80" i="58"/>
  <c r="D80" i="58"/>
  <c r="C80" i="58"/>
  <c r="B80" i="58"/>
  <c r="A80" i="58"/>
  <c r="G79" i="58"/>
  <c r="F79" i="58"/>
  <c r="E79" i="58"/>
  <c r="D79" i="58"/>
  <c r="C79" i="58"/>
  <c r="B79" i="58"/>
  <c r="A79" i="58"/>
  <c r="G78" i="58"/>
  <c r="F78" i="58"/>
  <c r="E78" i="58"/>
  <c r="D78" i="58"/>
  <c r="C78" i="58"/>
  <c r="B78" i="58"/>
  <c r="A78" i="58"/>
  <c r="G77" i="58"/>
  <c r="F77" i="58"/>
  <c r="E77" i="58"/>
  <c r="D77" i="58"/>
  <c r="C77" i="58"/>
  <c r="B77" i="58"/>
  <c r="A77" i="58"/>
  <c r="G76" i="58"/>
  <c r="F76" i="58"/>
  <c r="E76" i="58"/>
  <c r="D76" i="58"/>
  <c r="C76" i="58"/>
  <c r="B76" i="58"/>
  <c r="A76" i="58"/>
  <c r="G75" i="58"/>
  <c r="F75" i="58"/>
  <c r="E75" i="58"/>
  <c r="D75" i="58"/>
  <c r="C75" i="58"/>
  <c r="B75" i="58"/>
  <c r="A75" i="58"/>
  <c r="G74" i="58"/>
  <c r="F74" i="58"/>
  <c r="E74" i="58"/>
  <c r="D74" i="58"/>
  <c r="C74" i="58"/>
  <c r="B74" i="58"/>
  <c r="A74" i="58"/>
  <c r="G73" i="58"/>
  <c r="F73" i="58"/>
  <c r="E73" i="58"/>
  <c r="D73" i="58"/>
  <c r="C73" i="58"/>
  <c r="B73" i="58"/>
  <c r="A73" i="58"/>
  <c r="G72" i="58"/>
  <c r="F72" i="58"/>
  <c r="E72" i="58"/>
  <c r="D72" i="58"/>
  <c r="C72" i="58"/>
  <c r="B72" i="58"/>
  <c r="A72" i="58"/>
  <c r="G71" i="58"/>
  <c r="F71" i="58"/>
  <c r="E71" i="58"/>
  <c r="D71" i="58"/>
  <c r="C71" i="58"/>
  <c r="B71" i="58"/>
  <c r="A71" i="58"/>
  <c r="G70" i="58"/>
  <c r="F70" i="58"/>
  <c r="E70" i="58"/>
  <c r="D70" i="58"/>
  <c r="C70" i="58"/>
  <c r="B70" i="58"/>
  <c r="A70" i="58"/>
  <c r="G69" i="58"/>
  <c r="F69" i="58"/>
  <c r="E69" i="58"/>
  <c r="D69" i="58"/>
  <c r="C69" i="58"/>
  <c r="B69" i="58"/>
  <c r="A69" i="58"/>
  <c r="G68" i="58"/>
  <c r="F68" i="58"/>
  <c r="E68" i="58"/>
  <c r="D68" i="58"/>
  <c r="C68" i="58"/>
  <c r="B68" i="58"/>
  <c r="A68" i="58"/>
  <c r="G67" i="58"/>
  <c r="F67" i="58"/>
  <c r="E67" i="58"/>
  <c r="D67" i="58"/>
  <c r="C67" i="58"/>
  <c r="B67" i="58"/>
  <c r="A67" i="58"/>
  <c r="G66" i="58"/>
  <c r="F66" i="58"/>
  <c r="E66" i="58"/>
  <c r="D66" i="58"/>
  <c r="C66" i="58"/>
  <c r="B66" i="58"/>
  <c r="A66" i="58"/>
  <c r="G65" i="58"/>
  <c r="F65" i="58"/>
  <c r="E65" i="58"/>
  <c r="D65" i="58"/>
  <c r="C65" i="58"/>
  <c r="B65" i="58"/>
  <c r="A65" i="58"/>
  <c r="G64" i="58"/>
  <c r="F64" i="58"/>
  <c r="E64" i="58"/>
  <c r="D64" i="58"/>
  <c r="C64" i="58"/>
  <c r="B64" i="58"/>
  <c r="A64" i="58"/>
  <c r="G63" i="58"/>
  <c r="F63" i="58"/>
  <c r="E63" i="58"/>
  <c r="D63" i="58"/>
  <c r="C63" i="58"/>
  <c r="B63" i="58"/>
  <c r="A63" i="58"/>
  <c r="G62" i="58"/>
  <c r="F62" i="58"/>
  <c r="E62" i="58"/>
  <c r="D62" i="58"/>
  <c r="C62" i="58"/>
  <c r="B62" i="58"/>
  <c r="A62" i="58"/>
  <c r="G61" i="58"/>
  <c r="F61" i="58"/>
  <c r="E61" i="58"/>
  <c r="D61" i="58"/>
  <c r="C61" i="58"/>
  <c r="B61" i="58"/>
  <c r="A61" i="58"/>
  <c r="G60" i="58"/>
  <c r="F60" i="58"/>
  <c r="E60" i="58"/>
  <c r="D60" i="58"/>
  <c r="C60" i="58"/>
  <c r="B60" i="58"/>
  <c r="A60" i="58"/>
  <c r="G59" i="58"/>
  <c r="F59" i="58"/>
  <c r="E59" i="58"/>
  <c r="D59" i="58"/>
  <c r="C59" i="58"/>
  <c r="B59" i="58"/>
  <c r="A59" i="58"/>
  <c r="G58" i="58"/>
  <c r="F58" i="58"/>
  <c r="E58" i="58"/>
  <c r="D58" i="58"/>
  <c r="C58" i="58"/>
  <c r="B58" i="58"/>
  <c r="A58" i="58"/>
  <c r="G57" i="58"/>
  <c r="F57" i="58"/>
  <c r="E57" i="58"/>
  <c r="D57" i="58"/>
  <c r="C57" i="58"/>
  <c r="B57" i="58"/>
  <c r="A57" i="58"/>
  <c r="G56" i="58"/>
  <c r="F56" i="58"/>
  <c r="E56" i="58"/>
  <c r="D56" i="58"/>
  <c r="C56" i="58"/>
  <c r="B56" i="58"/>
  <c r="A56" i="58"/>
  <c r="G55" i="58"/>
  <c r="F55" i="58"/>
  <c r="E55" i="58"/>
  <c r="D55" i="58"/>
  <c r="C55" i="58"/>
  <c r="B55" i="58"/>
  <c r="A55" i="58"/>
  <c r="G54" i="58"/>
  <c r="F54" i="58"/>
  <c r="E54" i="58"/>
  <c r="D54" i="58"/>
  <c r="C54" i="58"/>
  <c r="B54" i="58"/>
  <c r="A54" i="58"/>
  <c r="G53" i="58"/>
  <c r="F53" i="58"/>
  <c r="E53" i="58"/>
  <c r="D53" i="58"/>
  <c r="C53" i="58"/>
  <c r="B53" i="58"/>
  <c r="A53" i="58"/>
  <c r="G52" i="58"/>
  <c r="F52" i="58"/>
  <c r="E52" i="58"/>
  <c r="D52" i="58"/>
  <c r="C52" i="58"/>
  <c r="B52" i="58"/>
  <c r="A52" i="58"/>
  <c r="G51" i="58"/>
  <c r="F51" i="58"/>
  <c r="E51" i="58"/>
  <c r="D51" i="58"/>
  <c r="C51" i="58"/>
  <c r="B51" i="58"/>
  <c r="A51" i="58"/>
  <c r="G50" i="58"/>
  <c r="F50" i="58"/>
  <c r="E50" i="58"/>
  <c r="D50" i="58"/>
  <c r="C50" i="58"/>
  <c r="B50" i="58"/>
  <c r="A50" i="58"/>
  <c r="G49" i="58"/>
  <c r="F49" i="58"/>
  <c r="E49" i="58"/>
  <c r="D49" i="58"/>
  <c r="C49" i="58"/>
  <c r="B49" i="58"/>
  <c r="A49" i="58"/>
  <c r="G48" i="58"/>
  <c r="F48" i="58"/>
  <c r="E48" i="58"/>
  <c r="D48" i="58"/>
  <c r="C48" i="58"/>
  <c r="B48" i="58"/>
  <c r="A48" i="58"/>
  <c r="G47" i="58"/>
  <c r="F47" i="58"/>
  <c r="E47" i="58"/>
  <c r="D47" i="58"/>
  <c r="C47" i="58"/>
  <c r="B47" i="58"/>
  <c r="A47" i="58"/>
  <c r="G46" i="58"/>
  <c r="F46" i="58"/>
  <c r="E46" i="58"/>
  <c r="D46" i="58"/>
  <c r="C46" i="58"/>
  <c r="B46" i="58"/>
  <c r="A46" i="58"/>
  <c r="G45" i="58"/>
  <c r="F45" i="58"/>
  <c r="E45" i="58"/>
  <c r="D45" i="58"/>
  <c r="C45" i="58"/>
  <c r="B45" i="58"/>
  <c r="A45" i="58"/>
  <c r="G44" i="58"/>
  <c r="F44" i="58"/>
  <c r="E44" i="58"/>
  <c r="D44" i="58"/>
  <c r="C44" i="58"/>
  <c r="B44" i="58"/>
  <c r="A44" i="58"/>
  <c r="G43" i="58"/>
  <c r="F43" i="58"/>
  <c r="E43" i="58"/>
  <c r="D43" i="58"/>
  <c r="C43" i="58"/>
  <c r="B43" i="58"/>
  <c r="A43" i="58"/>
  <c r="G42" i="58"/>
  <c r="F42" i="58"/>
  <c r="E42" i="58"/>
  <c r="D42" i="58"/>
  <c r="C42" i="58"/>
  <c r="B42" i="58"/>
  <c r="A42" i="58"/>
  <c r="G41" i="58"/>
  <c r="F41" i="58"/>
  <c r="E41" i="58"/>
  <c r="D41" i="58"/>
  <c r="C41" i="58"/>
  <c r="B41" i="58"/>
  <c r="A41" i="58"/>
  <c r="G40" i="58"/>
  <c r="F40" i="58"/>
  <c r="E40" i="58"/>
  <c r="D40" i="58"/>
  <c r="C40" i="58"/>
  <c r="B40" i="58"/>
  <c r="A40" i="58"/>
  <c r="G39" i="58"/>
  <c r="F39" i="58"/>
  <c r="E39" i="58"/>
  <c r="D39" i="58"/>
  <c r="C39" i="58"/>
  <c r="B39" i="58"/>
  <c r="A39" i="58"/>
  <c r="G38" i="58"/>
  <c r="F38" i="58"/>
  <c r="E38" i="58"/>
  <c r="D38" i="58"/>
  <c r="C38" i="58"/>
  <c r="B38" i="58"/>
  <c r="A38" i="58"/>
  <c r="G37" i="58"/>
  <c r="F37" i="58"/>
  <c r="E37" i="58"/>
  <c r="D37" i="58"/>
  <c r="C37" i="58"/>
  <c r="B37" i="58"/>
  <c r="A37" i="58"/>
  <c r="G36" i="58"/>
  <c r="F36" i="58"/>
  <c r="E36" i="58"/>
  <c r="D36" i="58"/>
  <c r="C36" i="58"/>
  <c r="B36" i="58"/>
  <c r="A36" i="58"/>
  <c r="G35" i="58"/>
  <c r="F35" i="58"/>
  <c r="E35" i="58"/>
  <c r="D35" i="58"/>
  <c r="C35" i="58"/>
  <c r="B35" i="58"/>
  <c r="A35" i="58"/>
  <c r="G34" i="58"/>
  <c r="F34" i="58"/>
  <c r="E34" i="58"/>
  <c r="D34" i="58"/>
  <c r="C34" i="58"/>
  <c r="B34" i="58"/>
  <c r="A34" i="58"/>
  <c r="G33" i="58"/>
  <c r="F33" i="58"/>
  <c r="E33" i="58"/>
  <c r="D33" i="58"/>
  <c r="C33" i="58"/>
  <c r="B33" i="58"/>
  <c r="A33" i="58"/>
  <c r="G32" i="58"/>
  <c r="F32" i="58"/>
  <c r="E32" i="58"/>
  <c r="D32" i="58"/>
  <c r="C32" i="58"/>
  <c r="B32" i="58"/>
  <c r="A32" i="58"/>
  <c r="G31" i="58"/>
  <c r="F31" i="58"/>
  <c r="E31" i="58"/>
  <c r="D31" i="58"/>
  <c r="C31" i="58"/>
  <c r="B31" i="58"/>
  <c r="A31" i="58"/>
  <c r="G30" i="58"/>
  <c r="F30" i="58"/>
  <c r="E30" i="58"/>
  <c r="D30" i="58"/>
  <c r="C30" i="58"/>
  <c r="B30" i="58"/>
  <c r="A30" i="58"/>
  <c r="G29" i="58"/>
  <c r="F29" i="58"/>
  <c r="E29" i="58"/>
  <c r="D29" i="58"/>
  <c r="C29" i="58"/>
  <c r="B29" i="58"/>
  <c r="A29" i="58"/>
  <c r="G28" i="58"/>
  <c r="F28" i="58"/>
  <c r="E28" i="58"/>
  <c r="D28" i="58"/>
  <c r="C28" i="58"/>
  <c r="B28" i="58"/>
  <c r="A28" i="58"/>
  <c r="G27" i="58"/>
  <c r="F27" i="58"/>
  <c r="E27" i="58"/>
  <c r="D27" i="58"/>
  <c r="C27" i="58"/>
  <c r="B27" i="58"/>
  <c r="A27" i="58"/>
  <c r="G26" i="58"/>
  <c r="F26" i="58"/>
  <c r="E26" i="58"/>
  <c r="D26" i="58"/>
  <c r="C26" i="58"/>
  <c r="B26" i="58"/>
  <c r="A26" i="58"/>
  <c r="G25" i="58"/>
  <c r="F25" i="58"/>
  <c r="E25" i="58"/>
  <c r="D25" i="58"/>
  <c r="C25" i="58"/>
  <c r="B25" i="58"/>
  <c r="A25" i="58"/>
  <c r="G24" i="58"/>
  <c r="F24" i="58"/>
  <c r="E24" i="58"/>
  <c r="D24" i="58"/>
  <c r="C24" i="58"/>
  <c r="B24" i="58"/>
  <c r="A24" i="58"/>
  <c r="G23" i="58"/>
  <c r="F23" i="58"/>
  <c r="E23" i="58"/>
  <c r="D23" i="58"/>
  <c r="C23" i="58"/>
  <c r="B23" i="58"/>
  <c r="A23" i="58"/>
  <c r="G22" i="58"/>
  <c r="F22" i="58"/>
  <c r="E22" i="58"/>
  <c r="D22" i="58"/>
  <c r="C22" i="58"/>
  <c r="B22" i="58"/>
  <c r="A22" i="58"/>
  <c r="G21" i="58"/>
  <c r="F21" i="58"/>
  <c r="E21" i="58"/>
  <c r="D21" i="58"/>
  <c r="C21" i="58"/>
  <c r="B21" i="58"/>
  <c r="A21" i="58"/>
  <c r="G20" i="58"/>
  <c r="F20" i="58"/>
  <c r="E20" i="58"/>
  <c r="D20" i="58"/>
  <c r="C20" i="58"/>
  <c r="B20" i="58"/>
  <c r="A20" i="58"/>
  <c r="G19" i="58"/>
  <c r="F19" i="58"/>
  <c r="E19" i="58"/>
  <c r="D19" i="58"/>
  <c r="C19" i="58"/>
  <c r="B19" i="58"/>
  <c r="A19" i="58"/>
  <c r="G18" i="58"/>
  <c r="F18" i="58"/>
  <c r="E18" i="58"/>
  <c r="D18" i="58"/>
  <c r="C18" i="58"/>
  <c r="B18" i="58"/>
  <c r="A18" i="58"/>
  <c r="G17" i="58"/>
  <c r="F17" i="58"/>
  <c r="E17" i="58"/>
  <c r="D17" i="58"/>
  <c r="C17" i="58"/>
  <c r="B17" i="58"/>
  <c r="A17" i="58"/>
  <c r="G16" i="58"/>
  <c r="F16" i="58"/>
  <c r="E16" i="58"/>
  <c r="D16" i="58"/>
  <c r="C16" i="58"/>
  <c r="B16" i="58"/>
  <c r="A16" i="58"/>
  <c r="G15" i="58"/>
  <c r="F15" i="58"/>
  <c r="E15" i="58"/>
  <c r="D15" i="58"/>
  <c r="C15" i="58"/>
  <c r="B15" i="58"/>
  <c r="A15" i="58"/>
  <c r="G14" i="58"/>
  <c r="F14" i="58"/>
  <c r="E14" i="58"/>
  <c r="D14" i="58"/>
  <c r="C14" i="58"/>
  <c r="B14" i="58"/>
  <c r="A14" i="58"/>
  <c r="G13" i="58"/>
  <c r="F13" i="58"/>
  <c r="E13" i="58"/>
  <c r="D13" i="58"/>
  <c r="C13" i="58"/>
  <c r="B13" i="58"/>
  <c r="A13" i="58"/>
  <c r="G12" i="58"/>
  <c r="F12" i="58"/>
  <c r="E12" i="58"/>
  <c r="D12" i="58"/>
  <c r="C12" i="58"/>
  <c r="B12" i="58"/>
  <c r="A12" i="58"/>
  <c r="G11" i="58"/>
  <c r="F11" i="58"/>
  <c r="E11" i="58"/>
  <c r="D11" i="58"/>
  <c r="C11" i="58"/>
  <c r="B11" i="58"/>
  <c r="A11" i="58"/>
  <c r="G10" i="58"/>
  <c r="F10" i="58"/>
  <c r="E10" i="58"/>
  <c r="D10" i="58"/>
  <c r="C10" i="58"/>
  <c r="B10" i="58"/>
  <c r="A10" i="58"/>
  <c r="G9" i="58"/>
  <c r="F9" i="58"/>
  <c r="E9" i="58"/>
  <c r="D9" i="58"/>
  <c r="C9" i="58"/>
  <c r="B9" i="58"/>
  <c r="A9" i="58"/>
  <c r="G8" i="58"/>
  <c r="F8" i="58"/>
  <c r="E8" i="58"/>
  <c r="D8" i="58"/>
  <c r="C8" i="58"/>
  <c r="B8" i="58"/>
  <c r="A8" i="58"/>
  <c r="G7" i="58"/>
  <c r="F7" i="58"/>
  <c r="E7" i="58"/>
  <c r="D7" i="58"/>
  <c r="C7" i="58"/>
  <c r="B7" i="58"/>
  <c r="A7" i="58"/>
  <c r="G6" i="58"/>
  <c r="F6" i="58"/>
  <c r="E6" i="58"/>
  <c r="D6" i="58"/>
  <c r="C6" i="58"/>
  <c r="B6" i="58"/>
  <c r="A6" i="58"/>
  <c r="G5" i="58"/>
  <c r="F5" i="58"/>
  <c r="E5" i="58"/>
  <c r="D5" i="58"/>
  <c r="C5" i="58"/>
  <c r="B5" i="58"/>
  <c r="A5" i="58"/>
  <c r="G4" i="58"/>
  <c r="F4" i="58"/>
  <c r="E4" i="58"/>
  <c r="D4" i="58"/>
  <c r="C4" i="58"/>
  <c r="B4" i="58"/>
  <c r="A4" i="58"/>
  <c r="G3" i="58"/>
  <c r="F3" i="58"/>
  <c r="E3" i="58"/>
  <c r="D3" i="58"/>
  <c r="C3" i="58"/>
  <c r="B3" i="58"/>
  <c r="A3" i="58"/>
  <c r="U2" i="58"/>
  <c r="K2" i="58"/>
  <c r="J2" i="58"/>
  <c r="I2" i="58"/>
  <c r="H2" i="58"/>
  <c r="G2" i="58"/>
  <c r="F2" i="58"/>
  <c r="E2" i="58"/>
  <c r="D2" i="58"/>
  <c r="C2" i="58"/>
  <c r="B2" i="58"/>
  <c r="A2" i="58"/>
  <c r="U1" i="58"/>
  <c r="K1" i="58"/>
  <c r="J1" i="58"/>
  <c r="I1" i="58"/>
  <c r="G1" i="58"/>
  <c r="F1" i="58"/>
  <c r="E1" i="58"/>
  <c r="D1" i="58"/>
  <c r="C1" i="58"/>
  <c r="B1" i="58"/>
  <c r="G497" i="37"/>
  <c r="G497" i="41" s="1"/>
  <c r="F497" i="37"/>
  <c r="F497" i="41" s="1"/>
  <c r="E497" i="37"/>
  <c r="E497" i="41" s="1"/>
  <c r="D497" i="37"/>
  <c r="D497" i="41" s="1"/>
  <c r="C497" i="37"/>
  <c r="C497" i="41" s="1"/>
  <c r="B497" i="37"/>
  <c r="B497" i="41" s="1"/>
  <c r="A497" i="37"/>
  <c r="A497" i="41" s="1"/>
  <c r="G496" i="37"/>
  <c r="G496" i="41" s="1"/>
  <c r="F496" i="37"/>
  <c r="F496" i="41" s="1"/>
  <c r="E496" i="37"/>
  <c r="E496" i="41" s="1"/>
  <c r="D496" i="37"/>
  <c r="D496" i="41" s="1"/>
  <c r="C496" i="37"/>
  <c r="C496" i="41" s="1"/>
  <c r="B496" i="37"/>
  <c r="B496" i="41" s="1"/>
  <c r="A496" i="37"/>
  <c r="A496" i="41" s="1"/>
  <c r="G495" i="37"/>
  <c r="G495" i="41" s="1"/>
  <c r="F495" i="37"/>
  <c r="F495" i="41" s="1"/>
  <c r="E495" i="37"/>
  <c r="E495" i="41" s="1"/>
  <c r="D495" i="37"/>
  <c r="D495" i="41" s="1"/>
  <c r="C495" i="37"/>
  <c r="C495" i="41" s="1"/>
  <c r="B495" i="37"/>
  <c r="B495" i="41" s="1"/>
  <c r="A495" i="37"/>
  <c r="A495" i="41" s="1"/>
  <c r="G494" i="37"/>
  <c r="G494" i="41" s="1"/>
  <c r="F494" i="37"/>
  <c r="F494" i="41" s="1"/>
  <c r="E494" i="37"/>
  <c r="E494" i="41" s="1"/>
  <c r="D494" i="37"/>
  <c r="D494" i="41" s="1"/>
  <c r="C494" i="37"/>
  <c r="C494" i="41" s="1"/>
  <c r="B494" i="37"/>
  <c r="B494" i="41" s="1"/>
  <c r="A494" i="37"/>
  <c r="G493" i="37"/>
  <c r="G493" i="41" s="1"/>
  <c r="F493" i="37"/>
  <c r="F493" i="41" s="1"/>
  <c r="E493" i="37"/>
  <c r="E493" i="41" s="1"/>
  <c r="D493" i="37"/>
  <c r="D493" i="41" s="1"/>
  <c r="C493" i="37"/>
  <c r="C493" i="41" s="1"/>
  <c r="B493" i="37"/>
  <c r="B493" i="41" s="1"/>
  <c r="A493" i="37"/>
  <c r="A493" i="41" s="1"/>
  <c r="G492" i="37"/>
  <c r="G492" i="41" s="1"/>
  <c r="F492" i="37"/>
  <c r="F492" i="41" s="1"/>
  <c r="E492" i="37"/>
  <c r="E492" i="41" s="1"/>
  <c r="D492" i="37"/>
  <c r="D492" i="41" s="1"/>
  <c r="C492" i="37"/>
  <c r="C492" i="41" s="1"/>
  <c r="B492" i="37"/>
  <c r="B492" i="41" s="1"/>
  <c r="A492" i="37"/>
  <c r="A492" i="41" s="1"/>
  <c r="G491" i="37"/>
  <c r="G491" i="41" s="1"/>
  <c r="F491" i="37"/>
  <c r="F491" i="41" s="1"/>
  <c r="E491" i="37"/>
  <c r="E491" i="41" s="1"/>
  <c r="D491" i="37"/>
  <c r="D491" i="41" s="1"/>
  <c r="C491" i="37"/>
  <c r="C491" i="41" s="1"/>
  <c r="B491" i="37"/>
  <c r="B491" i="41" s="1"/>
  <c r="A491" i="37"/>
  <c r="A491" i="41" s="1"/>
  <c r="G490" i="37"/>
  <c r="G490" i="41" s="1"/>
  <c r="F490" i="37"/>
  <c r="F490" i="41" s="1"/>
  <c r="E490" i="37"/>
  <c r="E490" i="41" s="1"/>
  <c r="D490" i="37"/>
  <c r="D490" i="41" s="1"/>
  <c r="C490" i="37"/>
  <c r="C490" i="41" s="1"/>
  <c r="B490" i="37"/>
  <c r="B490" i="41" s="1"/>
  <c r="A490" i="37"/>
  <c r="A490" i="41" s="1"/>
  <c r="G489" i="37"/>
  <c r="G489" i="41" s="1"/>
  <c r="F489" i="37"/>
  <c r="F489" i="41" s="1"/>
  <c r="E489" i="37"/>
  <c r="E489" i="41" s="1"/>
  <c r="D489" i="37"/>
  <c r="D489" i="41" s="1"/>
  <c r="C489" i="37"/>
  <c r="C489" i="41" s="1"/>
  <c r="B489" i="37"/>
  <c r="B489" i="41" s="1"/>
  <c r="A489" i="37"/>
  <c r="A489" i="41" s="1"/>
  <c r="G488" i="37"/>
  <c r="G488" i="41" s="1"/>
  <c r="F488" i="37"/>
  <c r="F488" i="41" s="1"/>
  <c r="E488" i="37"/>
  <c r="E488" i="41" s="1"/>
  <c r="D488" i="37"/>
  <c r="D488" i="41" s="1"/>
  <c r="C488" i="37"/>
  <c r="C488" i="41" s="1"/>
  <c r="B488" i="37"/>
  <c r="B488" i="41" s="1"/>
  <c r="A488" i="37"/>
  <c r="A488" i="41" s="1"/>
  <c r="G487" i="37"/>
  <c r="G487" i="41" s="1"/>
  <c r="F487" i="37"/>
  <c r="F487" i="41" s="1"/>
  <c r="E487" i="37"/>
  <c r="E487" i="41" s="1"/>
  <c r="D487" i="37"/>
  <c r="D487" i="41" s="1"/>
  <c r="C487" i="37"/>
  <c r="C487" i="41" s="1"/>
  <c r="B487" i="37"/>
  <c r="B487" i="41" s="1"/>
  <c r="A487" i="37"/>
  <c r="A487" i="41" s="1"/>
  <c r="G486" i="37"/>
  <c r="G486" i="41" s="1"/>
  <c r="F486" i="37"/>
  <c r="F486" i="41" s="1"/>
  <c r="E486" i="37"/>
  <c r="E486" i="41" s="1"/>
  <c r="D486" i="37"/>
  <c r="D486" i="41" s="1"/>
  <c r="C486" i="37"/>
  <c r="C486" i="41" s="1"/>
  <c r="B486" i="37"/>
  <c r="B486" i="41" s="1"/>
  <c r="A486" i="37"/>
  <c r="A486" i="41" s="1"/>
  <c r="G485" i="37"/>
  <c r="G485" i="41" s="1"/>
  <c r="F485" i="37"/>
  <c r="F485" i="41" s="1"/>
  <c r="E485" i="37"/>
  <c r="E485" i="41" s="1"/>
  <c r="D485" i="37"/>
  <c r="D485" i="41" s="1"/>
  <c r="C485" i="37"/>
  <c r="C485" i="41" s="1"/>
  <c r="B485" i="37"/>
  <c r="B485" i="41" s="1"/>
  <c r="A485" i="37"/>
  <c r="A485" i="41" s="1"/>
  <c r="G484" i="37"/>
  <c r="G484" i="41" s="1"/>
  <c r="F484" i="37"/>
  <c r="F484" i="41" s="1"/>
  <c r="E484" i="37"/>
  <c r="E484" i="41" s="1"/>
  <c r="D484" i="37"/>
  <c r="D484" i="41" s="1"/>
  <c r="C484" i="37"/>
  <c r="C484" i="41" s="1"/>
  <c r="B484" i="37"/>
  <c r="B484" i="41" s="1"/>
  <c r="A484" i="37"/>
  <c r="A484" i="41" s="1"/>
  <c r="G483" i="37"/>
  <c r="G483" i="41" s="1"/>
  <c r="F483" i="37"/>
  <c r="F483" i="41" s="1"/>
  <c r="E483" i="37"/>
  <c r="E483" i="41" s="1"/>
  <c r="D483" i="37"/>
  <c r="D483" i="41" s="1"/>
  <c r="C483" i="37"/>
  <c r="C483" i="41" s="1"/>
  <c r="B483" i="37"/>
  <c r="B483" i="41" s="1"/>
  <c r="A483" i="37"/>
  <c r="A483" i="41" s="1"/>
  <c r="G482" i="37"/>
  <c r="G482" i="41" s="1"/>
  <c r="F482" i="37"/>
  <c r="F482" i="41" s="1"/>
  <c r="E482" i="37"/>
  <c r="E482" i="41" s="1"/>
  <c r="D482" i="37"/>
  <c r="D482" i="41" s="1"/>
  <c r="C482" i="37"/>
  <c r="C482" i="41" s="1"/>
  <c r="B482" i="37"/>
  <c r="B482" i="41" s="1"/>
  <c r="A482" i="37"/>
  <c r="A482" i="41" s="1"/>
  <c r="G481" i="37"/>
  <c r="G481" i="41" s="1"/>
  <c r="F481" i="37"/>
  <c r="F481" i="41" s="1"/>
  <c r="E481" i="37"/>
  <c r="E481" i="41" s="1"/>
  <c r="D481" i="37"/>
  <c r="D481" i="41" s="1"/>
  <c r="C481" i="37"/>
  <c r="C481" i="41" s="1"/>
  <c r="B481" i="37"/>
  <c r="B481" i="41" s="1"/>
  <c r="A481" i="37"/>
  <c r="A481" i="41" s="1"/>
  <c r="G480" i="37"/>
  <c r="G480" i="41" s="1"/>
  <c r="F480" i="37"/>
  <c r="F480" i="41" s="1"/>
  <c r="E480" i="37"/>
  <c r="E480" i="41" s="1"/>
  <c r="D480" i="37"/>
  <c r="D480" i="41" s="1"/>
  <c r="C480" i="37"/>
  <c r="C480" i="41" s="1"/>
  <c r="B480" i="37"/>
  <c r="B480" i="41" s="1"/>
  <c r="A480" i="37"/>
  <c r="A480" i="41" s="1"/>
  <c r="G479" i="37"/>
  <c r="G479" i="41" s="1"/>
  <c r="F479" i="37"/>
  <c r="F479" i="41" s="1"/>
  <c r="E479" i="37"/>
  <c r="E479" i="41" s="1"/>
  <c r="D479" i="37"/>
  <c r="D479" i="41" s="1"/>
  <c r="C479" i="37"/>
  <c r="C479" i="41" s="1"/>
  <c r="B479" i="37"/>
  <c r="B479" i="41" s="1"/>
  <c r="A479" i="37"/>
  <c r="A479" i="41" s="1"/>
  <c r="G478" i="37"/>
  <c r="G478" i="41" s="1"/>
  <c r="F478" i="37"/>
  <c r="F478" i="41" s="1"/>
  <c r="E478" i="37"/>
  <c r="E478" i="41" s="1"/>
  <c r="D478" i="37"/>
  <c r="D478" i="41" s="1"/>
  <c r="C478" i="37"/>
  <c r="C478" i="41" s="1"/>
  <c r="B478" i="37"/>
  <c r="B478" i="41" s="1"/>
  <c r="A478" i="37"/>
  <c r="A478" i="41" s="1"/>
  <c r="G477" i="37"/>
  <c r="G477" i="41" s="1"/>
  <c r="F477" i="37"/>
  <c r="F477" i="41" s="1"/>
  <c r="E477" i="37"/>
  <c r="E477" i="41" s="1"/>
  <c r="D477" i="37"/>
  <c r="D477" i="41" s="1"/>
  <c r="C477" i="37"/>
  <c r="C477" i="41" s="1"/>
  <c r="B477" i="37"/>
  <c r="B477" i="41" s="1"/>
  <c r="A477" i="37"/>
  <c r="A477" i="41" s="1"/>
  <c r="G476" i="37"/>
  <c r="G476" i="41" s="1"/>
  <c r="F476" i="37"/>
  <c r="F476" i="41" s="1"/>
  <c r="E476" i="37"/>
  <c r="E476" i="41" s="1"/>
  <c r="D476" i="37"/>
  <c r="D476" i="41" s="1"/>
  <c r="C476" i="37"/>
  <c r="C476" i="41" s="1"/>
  <c r="B476" i="37"/>
  <c r="B476" i="41" s="1"/>
  <c r="A476" i="37"/>
  <c r="A476" i="41" s="1"/>
  <c r="G475" i="37"/>
  <c r="G475" i="41" s="1"/>
  <c r="F475" i="37"/>
  <c r="F475" i="41" s="1"/>
  <c r="E475" i="37"/>
  <c r="E475" i="41" s="1"/>
  <c r="D475" i="37"/>
  <c r="D475" i="41" s="1"/>
  <c r="C475" i="37"/>
  <c r="C475" i="41" s="1"/>
  <c r="B475" i="37"/>
  <c r="B475" i="41" s="1"/>
  <c r="A475" i="37"/>
  <c r="A475" i="41" s="1"/>
  <c r="G474" i="37"/>
  <c r="G474" i="41" s="1"/>
  <c r="F474" i="37"/>
  <c r="F474" i="41" s="1"/>
  <c r="E474" i="37"/>
  <c r="E474" i="41" s="1"/>
  <c r="D474" i="37"/>
  <c r="D474" i="41" s="1"/>
  <c r="C474" i="37"/>
  <c r="C474" i="41" s="1"/>
  <c r="B474" i="37"/>
  <c r="B474" i="41" s="1"/>
  <c r="A474" i="37"/>
  <c r="A474" i="41" s="1"/>
  <c r="G473" i="37"/>
  <c r="G473" i="41" s="1"/>
  <c r="F473" i="37"/>
  <c r="F473" i="41" s="1"/>
  <c r="E473" i="37"/>
  <c r="E473" i="41" s="1"/>
  <c r="D473" i="37"/>
  <c r="D473" i="41" s="1"/>
  <c r="C473" i="37"/>
  <c r="C473" i="41" s="1"/>
  <c r="B473" i="37"/>
  <c r="B473" i="41" s="1"/>
  <c r="A473" i="37"/>
  <c r="A473" i="41" s="1"/>
  <c r="G472" i="37"/>
  <c r="G472" i="41" s="1"/>
  <c r="F472" i="37"/>
  <c r="F472" i="41" s="1"/>
  <c r="E472" i="37"/>
  <c r="E472" i="41" s="1"/>
  <c r="D472" i="37"/>
  <c r="D472" i="41" s="1"/>
  <c r="C472" i="37"/>
  <c r="C472" i="41" s="1"/>
  <c r="B472" i="37"/>
  <c r="B472" i="41" s="1"/>
  <c r="A472" i="37"/>
  <c r="A472" i="41" s="1"/>
  <c r="G471" i="37"/>
  <c r="G471" i="41" s="1"/>
  <c r="F471" i="37"/>
  <c r="F471" i="41" s="1"/>
  <c r="E471" i="37"/>
  <c r="E471" i="41" s="1"/>
  <c r="D471" i="37"/>
  <c r="D471" i="41" s="1"/>
  <c r="C471" i="37"/>
  <c r="C471" i="41" s="1"/>
  <c r="B471" i="37"/>
  <c r="B471" i="41" s="1"/>
  <c r="A471" i="37"/>
  <c r="A471" i="41" s="1"/>
  <c r="G470" i="37"/>
  <c r="G470" i="41" s="1"/>
  <c r="F470" i="37"/>
  <c r="F470" i="41" s="1"/>
  <c r="E470" i="37"/>
  <c r="E470" i="41" s="1"/>
  <c r="D470" i="37"/>
  <c r="D470" i="41" s="1"/>
  <c r="C470" i="37"/>
  <c r="C470" i="41" s="1"/>
  <c r="B470" i="37"/>
  <c r="B470" i="41" s="1"/>
  <c r="A470" i="37"/>
  <c r="A470" i="41" s="1"/>
  <c r="G469" i="37"/>
  <c r="G469" i="41" s="1"/>
  <c r="F469" i="37"/>
  <c r="F469" i="41" s="1"/>
  <c r="E469" i="37"/>
  <c r="E469" i="41" s="1"/>
  <c r="D469" i="37"/>
  <c r="D469" i="41" s="1"/>
  <c r="C469" i="37"/>
  <c r="C469" i="41" s="1"/>
  <c r="B469" i="37"/>
  <c r="B469" i="41" s="1"/>
  <c r="A469" i="37"/>
  <c r="A469" i="41" s="1"/>
  <c r="G468" i="37"/>
  <c r="G468" i="41" s="1"/>
  <c r="F468" i="37"/>
  <c r="F468" i="41" s="1"/>
  <c r="E468" i="37"/>
  <c r="E468" i="41" s="1"/>
  <c r="D468" i="37"/>
  <c r="D468" i="41" s="1"/>
  <c r="C468" i="37"/>
  <c r="C468" i="41" s="1"/>
  <c r="B468" i="37"/>
  <c r="B468" i="41" s="1"/>
  <c r="A468" i="37"/>
  <c r="A468" i="41" s="1"/>
  <c r="G467" i="37"/>
  <c r="G467" i="41" s="1"/>
  <c r="F467" i="37"/>
  <c r="F467" i="41" s="1"/>
  <c r="E467" i="37"/>
  <c r="E467" i="41" s="1"/>
  <c r="D467" i="37"/>
  <c r="D467" i="41" s="1"/>
  <c r="C467" i="37"/>
  <c r="C467" i="41" s="1"/>
  <c r="B467" i="37"/>
  <c r="B467" i="41" s="1"/>
  <c r="A467" i="37"/>
  <c r="A467" i="41" s="1"/>
  <c r="G466" i="37"/>
  <c r="G466" i="41" s="1"/>
  <c r="F466" i="37"/>
  <c r="F466" i="41" s="1"/>
  <c r="E466" i="37"/>
  <c r="E466" i="41" s="1"/>
  <c r="D466" i="37"/>
  <c r="D466" i="41" s="1"/>
  <c r="C466" i="37"/>
  <c r="C466" i="41" s="1"/>
  <c r="B466" i="37"/>
  <c r="B466" i="41" s="1"/>
  <c r="A466" i="37"/>
  <c r="A466" i="41" s="1"/>
  <c r="G465" i="37"/>
  <c r="G465" i="41" s="1"/>
  <c r="F465" i="37"/>
  <c r="F465" i="41" s="1"/>
  <c r="E465" i="37"/>
  <c r="E465" i="41" s="1"/>
  <c r="D465" i="37"/>
  <c r="D465" i="41" s="1"/>
  <c r="C465" i="37"/>
  <c r="C465" i="41" s="1"/>
  <c r="B465" i="37"/>
  <c r="B465" i="41" s="1"/>
  <c r="A465" i="37"/>
  <c r="A465" i="41" s="1"/>
  <c r="G464" i="37"/>
  <c r="G464" i="41" s="1"/>
  <c r="F464" i="37"/>
  <c r="F464" i="41" s="1"/>
  <c r="E464" i="37"/>
  <c r="E464" i="41" s="1"/>
  <c r="D464" i="37"/>
  <c r="D464" i="41" s="1"/>
  <c r="C464" i="37"/>
  <c r="C464" i="41" s="1"/>
  <c r="B464" i="37"/>
  <c r="B464" i="41" s="1"/>
  <c r="A464" i="37"/>
  <c r="A464" i="41" s="1"/>
  <c r="G463" i="37"/>
  <c r="G463" i="41" s="1"/>
  <c r="F463" i="37"/>
  <c r="F463" i="41" s="1"/>
  <c r="E463" i="37"/>
  <c r="E463" i="41" s="1"/>
  <c r="D463" i="37"/>
  <c r="D463" i="41" s="1"/>
  <c r="C463" i="37"/>
  <c r="C463" i="41" s="1"/>
  <c r="B463" i="37"/>
  <c r="B463" i="41" s="1"/>
  <c r="A463" i="37"/>
  <c r="A463" i="41" s="1"/>
  <c r="G462" i="37"/>
  <c r="G462" i="41" s="1"/>
  <c r="F462" i="37"/>
  <c r="F462" i="41" s="1"/>
  <c r="E462" i="37"/>
  <c r="E462" i="41" s="1"/>
  <c r="D462" i="37"/>
  <c r="D462" i="41" s="1"/>
  <c r="C462" i="37"/>
  <c r="C462" i="41" s="1"/>
  <c r="B462" i="37"/>
  <c r="B462" i="41" s="1"/>
  <c r="A462" i="37"/>
  <c r="A462" i="41" s="1"/>
  <c r="G461" i="37"/>
  <c r="G461" i="41" s="1"/>
  <c r="F461" i="37"/>
  <c r="F461" i="41" s="1"/>
  <c r="E461" i="37"/>
  <c r="E461" i="41" s="1"/>
  <c r="D461" i="37"/>
  <c r="D461" i="41" s="1"/>
  <c r="C461" i="37"/>
  <c r="C461" i="41" s="1"/>
  <c r="B461" i="37"/>
  <c r="B461" i="41" s="1"/>
  <c r="A461" i="37"/>
  <c r="A461" i="41" s="1"/>
  <c r="G460" i="37"/>
  <c r="G460" i="41" s="1"/>
  <c r="F460" i="37"/>
  <c r="F460" i="41" s="1"/>
  <c r="E460" i="37"/>
  <c r="E460" i="41" s="1"/>
  <c r="D460" i="37"/>
  <c r="D460" i="41" s="1"/>
  <c r="C460" i="37"/>
  <c r="C460" i="41" s="1"/>
  <c r="B460" i="37"/>
  <c r="B460" i="41" s="1"/>
  <c r="A460" i="37"/>
  <c r="A460" i="41" s="1"/>
  <c r="G459" i="37"/>
  <c r="G459" i="41" s="1"/>
  <c r="F459" i="37"/>
  <c r="F459" i="41" s="1"/>
  <c r="E459" i="37"/>
  <c r="E459" i="41" s="1"/>
  <c r="D459" i="37"/>
  <c r="D459" i="41" s="1"/>
  <c r="C459" i="37"/>
  <c r="C459" i="41" s="1"/>
  <c r="B459" i="37"/>
  <c r="B459" i="41" s="1"/>
  <c r="A459" i="37"/>
  <c r="A459" i="41" s="1"/>
  <c r="G458" i="37"/>
  <c r="G458" i="41" s="1"/>
  <c r="F458" i="37"/>
  <c r="F458" i="41" s="1"/>
  <c r="E458" i="37"/>
  <c r="E458" i="41" s="1"/>
  <c r="D458" i="37"/>
  <c r="D458" i="41" s="1"/>
  <c r="C458" i="37"/>
  <c r="C458" i="41" s="1"/>
  <c r="B458" i="37"/>
  <c r="B458" i="41" s="1"/>
  <c r="A458" i="37"/>
  <c r="A458" i="41" s="1"/>
  <c r="G457" i="37"/>
  <c r="G457" i="41" s="1"/>
  <c r="F457" i="37"/>
  <c r="F457" i="41" s="1"/>
  <c r="E457" i="37"/>
  <c r="E457" i="41" s="1"/>
  <c r="D457" i="37"/>
  <c r="D457" i="41" s="1"/>
  <c r="C457" i="37"/>
  <c r="C457" i="41" s="1"/>
  <c r="B457" i="37"/>
  <c r="B457" i="41" s="1"/>
  <c r="A457" i="37"/>
  <c r="A457" i="41" s="1"/>
  <c r="G456" i="37"/>
  <c r="G456" i="41" s="1"/>
  <c r="F456" i="37"/>
  <c r="F456" i="41" s="1"/>
  <c r="E456" i="37"/>
  <c r="E456" i="41" s="1"/>
  <c r="D456" i="37"/>
  <c r="D456" i="41" s="1"/>
  <c r="C456" i="37"/>
  <c r="C456" i="41" s="1"/>
  <c r="B456" i="37"/>
  <c r="B456" i="41" s="1"/>
  <c r="A456" i="37"/>
  <c r="A456" i="41" s="1"/>
  <c r="G455" i="37"/>
  <c r="G455" i="41" s="1"/>
  <c r="F455" i="37"/>
  <c r="F455" i="41" s="1"/>
  <c r="E455" i="37"/>
  <c r="E455" i="41" s="1"/>
  <c r="D455" i="37"/>
  <c r="D455" i="41" s="1"/>
  <c r="C455" i="37"/>
  <c r="C455" i="41" s="1"/>
  <c r="B455" i="37"/>
  <c r="B455" i="41" s="1"/>
  <c r="A455" i="37"/>
  <c r="A455" i="41" s="1"/>
  <c r="G454" i="37"/>
  <c r="G454" i="41" s="1"/>
  <c r="F454" i="37"/>
  <c r="F454" i="41" s="1"/>
  <c r="E454" i="37"/>
  <c r="E454" i="41" s="1"/>
  <c r="D454" i="37"/>
  <c r="D454" i="41" s="1"/>
  <c r="C454" i="37"/>
  <c r="C454" i="41" s="1"/>
  <c r="B454" i="37"/>
  <c r="B454" i="41" s="1"/>
  <c r="A454" i="37"/>
  <c r="A454" i="41" s="1"/>
  <c r="G453" i="37"/>
  <c r="G453" i="41" s="1"/>
  <c r="F453" i="37"/>
  <c r="F453" i="41" s="1"/>
  <c r="E453" i="37"/>
  <c r="E453" i="41" s="1"/>
  <c r="D453" i="37"/>
  <c r="D453" i="41" s="1"/>
  <c r="C453" i="37"/>
  <c r="C453" i="41" s="1"/>
  <c r="B453" i="37"/>
  <c r="B453" i="41" s="1"/>
  <c r="A453" i="37"/>
  <c r="A453" i="41" s="1"/>
  <c r="G452" i="37"/>
  <c r="G452" i="41" s="1"/>
  <c r="F452" i="37"/>
  <c r="F452" i="41" s="1"/>
  <c r="E452" i="37"/>
  <c r="E452" i="41" s="1"/>
  <c r="D452" i="37"/>
  <c r="D452" i="41" s="1"/>
  <c r="C452" i="37"/>
  <c r="C452" i="41" s="1"/>
  <c r="B452" i="37"/>
  <c r="B452" i="41" s="1"/>
  <c r="A452" i="37"/>
  <c r="A452" i="41" s="1"/>
  <c r="G451" i="37"/>
  <c r="G451" i="41" s="1"/>
  <c r="F451" i="37"/>
  <c r="F451" i="41" s="1"/>
  <c r="E451" i="37"/>
  <c r="E451" i="41" s="1"/>
  <c r="D451" i="37"/>
  <c r="D451" i="41" s="1"/>
  <c r="C451" i="37"/>
  <c r="C451" i="41" s="1"/>
  <c r="B451" i="37"/>
  <c r="B451" i="41" s="1"/>
  <c r="A451" i="37"/>
  <c r="A451" i="41" s="1"/>
  <c r="G450" i="37"/>
  <c r="G450" i="41" s="1"/>
  <c r="F450" i="37"/>
  <c r="F450" i="41" s="1"/>
  <c r="E450" i="37"/>
  <c r="E450" i="41" s="1"/>
  <c r="D450" i="37"/>
  <c r="D450" i="41" s="1"/>
  <c r="C450" i="37"/>
  <c r="C450" i="41" s="1"/>
  <c r="B450" i="37"/>
  <c r="B450" i="41" s="1"/>
  <c r="A450" i="37"/>
  <c r="A450" i="41" s="1"/>
  <c r="G449" i="37"/>
  <c r="G449" i="41" s="1"/>
  <c r="F449" i="37"/>
  <c r="F449" i="41" s="1"/>
  <c r="E449" i="37"/>
  <c r="E449" i="41" s="1"/>
  <c r="D449" i="37"/>
  <c r="D449" i="41" s="1"/>
  <c r="C449" i="37"/>
  <c r="C449" i="41" s="1"/>
  <c r="B449" i="37"/>
  <c r="B449" i="41" s="1"/>
  <c r="A449" i="37"/>
  <c r="A449" i="41" s="1"/>
  <c r="G448" i="37"/>
  <c r="G448" i="41" s="1"/>
  <c r="F448" i="37"/>
  <c r="F448" i="41" s="1"/>
  <c r="E448" i="37"/>
  <c r="E448" i="41" s="1"/>
  <c r="D448" i="37"/>
  <c r="D448" i="41" s="1"/>
  <c r="C448" i="37"/>
  <c r="C448" i="41" s="1"/>
  <c r="B448" i="37"/>
  <c r="B448" i="41" s="1"/>
  <c r="A448" i="37"/>
  <c r="A448" i="41" s="1"/>
  <c r="G447" i="37"/>
  <c r="G447" i="41" s="1"/>
  <c r="F447" i="37"/>
  <c r="F447" i="41" s="1"/>
  <c r="E447" i="37"/>
  <c r="E447" i="41" s="1"/>
  <c r="D447" i="37"/>
  <c r="D447" i="41" s="1"/>
  <c r="C447" i="37"/>
  <c r="C447" i="41" s="1"/>
  <c r="B447" i="37"/>
  <c r="B447" i="41" s="1"/>
  <c r="A447" i="37"/>
  <c r="A447" i="41" s="1"/>
  <c r="G446" i="37"/>
  <c r="G446" i="41" s="1"/>
  <c r="F446" i="37"/>
  <c r="F446" i="41" s="1"/>
  <c r="E446" i="37"/>
  <c r="E446" i="41" s="1"/>
  <c r="D446" i="37"/>
  <c r="D446" i="41" s="1"/>
  <c r="C446" i="37"/>
  <c r="C446" i="41" s="1"/>
  <c r="B446" i="37"/>
  <c r="B446" i="41" s="1"/>
  <c r="A446" i="37"/>
  <c r="A446" i="41" s="1"/>
  <c r="G445" i="37"/>
  <c r="G445" i="41" s="1"/>
  <c r="F445" i="37"/>
  <c r="F445" i="41" s="1"/>
  <c r="E445" i="37"/>
  <c r="E445" i="41" s="1"/>
  <c r="D445" i="37"/>
  <c r="D445" i="41" s="1"/>
  <c r="C445" i="37"/>
  <c r="C445" i="41" s="1"/>
  <c r="B445" i="37"/>
  <c r="B445" i="41" s="1"/>
  <c r="A445" i="37"/>
  <c r="A445" i="41" s="1"/>
  <c r="G444" i="37"/>
  <c r="G444" i="41" s="1"/>
  <c r="F444" i="37"/>
  <c r="F444" i="41" s="1"/>
  <c r="E444" i="37"/>
  <c r="E444" i="41" s="1"/>
  <c r="D444" i="37"/>
  <c r="D444" i="41" s="1"/>
  <c r="C444" i="37"/>
  <c r="C444" i="41" s="1"/>
  <c r="B444" i="37"/>
  <c r="B444" i="41" s="1"/>
  <c r="A444" i="37"/>
  <c r="A444" i="41" s="1"/>
  <c r="G443" i="37"/>
  <c r="G443" i="41" s="1"/>
  <c r="F443" i="37"/>
  <c r="F443" i="41" s="1"/>
  <c r="E443" i="37"/>
  <c r="E443" i="41" s="1"/>
  <c r="D443" i="37"/>
  <c r="D443" i="41" s="1"/>
  <c r="C443" i="37"/>
  <c r="C443" i="41" s="1"/>
  <c r="B443" i="37"/>
  <c r="B443" i="41" s="1"/>
  <c r="A443" i="37"/>
  <c r="A443" i="41" s="1"/>
  <c r="G442" i="37"/>
  <c r="G442" i="41" s="1"/>
  <c r="F442" i="37"/>
  <c r="F442" i="41" s="1"/>
  <c r="E442" i="37"/>
  <c r="E442" i="41" s="1"/>
  <c r="D442" i="37"/>
  <c r="D442" i="41" s="1"/>
  <c r="C442" i="37"/>
  <c r="C442" i="41" s="1"/>
  <c r="B442" i="37"/>
  <c r="B442" i="41" s="1"/>
  <c r="A442" i="37"/>
  <c r="A442" i="41" s="1"/>
  <c r="G441" i="37"/>
  <c r="G441" i="41" s="1"/>
  <c r="F441" i="37"/>
  <c r="F441" i="41" s="1"/>
  <c r="E441" i="37"/>
  <c r="E441" i="41" s="1"/>
  <c r="D441" i="37"/>
  <c r="D441" i="41" s="1"/>
  <c r="C441" i="37"/>
  <c r="C441" i="41" s="1"/>
  <c r="B441" i="37"/>
  <c r="B441" i="41" s="1"/>
  <c r="A441" i="37"/>
  <c r="A441" i="41" s="1"/>
  <c r="G440" i="37"/>
  <c r="G440" i="41" s="1"/>
  <c r="F440" i="37"/>
  <c r="F440" i="41" s="1"/>
  <c r="E440" i="37"/>
  <c r="E440" i="41" s="1"/>
  <c r="D440" i="37"/>
  <c r="D440" i="41" s="1"/>
  <c r="C440" i="37"/>
  <c r="C440" i="41" s="1"/>
  <c r="B440" i="37"/>
  <c r="B440" i="41" s="1"/>
  <c r="A440" i="37"/>
  <c r="A440" i="41" s="1"/>
  <c r="G439" i="37"/>
  <c r="G439" i="41" s="1"/>
  <c r="F439" i="37"/>
  <c r="F439" i="41" s="1"/>
  <c r="E439" i="37"/>
  <c r="E439" i="41" s="1"/>
  <c r="D439" i="37"/>
  <c r="D439" i="41" s="1"/>
  <c r="C439" i="37"/>
  <c r="C439" i="41" s="1"/>
  <c r="B439" i="37"/>
  <c r="B439" i="41" s="1"/>
  <c r="A439" i="37"/>
  <c r="A439" i="41" s="1"/>
  <c r="G438" i="37"/>
  <c r="G438" i="41" s="1"/>
  <c r="F438" i="37"/>
  <c r="F438" i="41" s="1"/>
  <c r="E438" i="37"/>
  <c r="E438" i="41" s="1"/>
  <c r="D438" i="37"/>
  <c r="D438" i="41" s="1"/>
  <c r="C438" i="37"/>
  <c r="C438" i="41" s="1"/>
  <c r="B438" i="37"/>
  <c r="B438" i="41" s="1"/>
  <c r="A438" i="37"/>
  <c r="A438" i="41" s="1"/>
  <c r="G437" i="37"/>
  <c r="G437" i="41" s="1"/>
  <c r="F437" i="37"/>
  <c r="F437" i="41" s="1"/>
  <c r="E437" i="37"/>
  <c r="E437" i="41" s="1"/>
  <c r="D437" i="37"/>
  <c r="C437" i="37"/>
  <c r="C437" i="41" s="1"/>
  <c r="B437" i="37"/>
  <c r="B437" i="41" s="1"/>
  <c r="A437" i="37"/>
  <c r="A437" i="41" s="1"/>
  <c r="G436" i="37"/>
  <c r="G436" i="41" s="1"/>
  <c r="F436" i="37"/>
  <c r="F436" i="41" s="1"/>
  <c r="E436" i="37"/>
  <c r="E436" i="41" s="1"/>
  <c r="D436" i="37"/>
  <c r="D436" i="41" s="1"/>
  <c r="C436" i="37"/>
  <c r="C436" i="41" s="1"/>
  <c r="B436" i="37"/>
  <c r="B436" i="41" s="1"/>
  <c r="A436" i="37"/>
  <c r="G435" i="37"/>
  <c r="G435" i="41" s="1"/>
  <c r="F435" i="37"/>
  <c r="F435" i="41" s="1"/>
  <c r="E435" i="37"/>
  <c r="E435" i="41" s="1"/>
  <c r="D435" i="37"/>
  <c r="D435" i="41" s="1"/>
  <c r="C435" i="37"/>
  <c r="C435" i="41" s="1"/>
  <c r="B435" i="37"/>
  <c r="B435" i="41" s="1"/>
  <c r="A435" i="37"/>
  <c r="A435" i="41" s="1"/>
  <c r="G434" i="37"/>
  <c r="G434" i="41" s="1"/>
  <c r="F434" i="37"/>
  <c r="F434" i="41" s="1"/>
  <c r="E434" i="37"/>
  <c r="E434" i="41" s="1"/>
  <c r="D434" i="37"/>
  <c r="D434" i="41" s="1"/>
  <c r="C434" i="37"/>
  <c r="C434" i="41" s="1"/>
  <c r="B434" i="37"/>
  <c r="B434" i="41" s="1"/>
  <c r="A434" i="37"/>
  <c r="A434" i="41" s="1"/>
  <c r="G433" i="37"/>
  <c r="G433" i="41" s="1"/>
  <c r="F433" i="37"/>
  <c r="F433" i="41" s="1"/>
  <c r="E433" i="37"/>
  <c r="E433" i="41" s="1"/>
  <c r="D433" i="37"/>
  <c r="D433" i="41" s="1"/>
  <c r="C433" i="37"/>
  <c r="C433" i="41" s="1"/>
  <c r="B433" i="37"/>
  <c r="B433" i="41" s="1"/>
  <c r="A433" i="37"/>
  <c r="A433" i="41" s="1"/>
  <c r="G432" i="37"/>
  <c r="G432" i="41" s="1"/>
  <c r="F432" i="37"/>
  <c r="F432" i="41" s="1"/>
  <c r="E432" i="37"/>
  <c r="E432" i="41" s="1"/>
  <c r="D432" i="37"/>
  <c r="D432" i="41" s="1"/>
  <c r="C432" i="37"/>
  <c r="C432" i="41" s="1"/>
  <c r="B432" i="37"/>
  <c r="B432" i="41" s="1"/>
  <c r="A432" i="37"/>
  <c r="A432" i="41" s="1"/>
  <c r="G431" i="37"/>
  <c r="G431" i="41" s="1"/>
  <c r="F431" i="37"/>
  <c r="F431" i="41" s="1"/>
  <c r="E431" i="37"/>
  <c r="E431" i="41" s="1"/>
  <c r="D431" i="37"/>
  <c r="C431" i="37"/>
  <c r="C431" i="41" s="1"/>
  <c r="B431" i="37"/>
  <c r="B431" i="41" s="1"/>
  <c r="A431" i="37"/>
  <c r="A431" i="41" s="1"/>
  <c r="G430" i="37"/>
  <c r="G430" i="41" s="1"/>
  <c r="F430" i="37"/>
  <c r="F430" i="41" s="1"/>
  <c r="E430" i="37"/>
  <c r="E430" i="41" s="1"/>
  <c r="D430" i="37"/>
  <c r="D430" i="41" s="1"/>
  <c r="C430" i="37"/>
  <c r="C430" i="41" s="1"/>
  <c r="B430" i="37"/>
  <c r="B430" i="41" s="1"/>
  <c r="A430" i="37"/>
  <c r="G429" i="37"/>
  <c r="G429" i="41" s="1"/>
  <c r="F429" i="37"/>
  <c r="F429" i="41" s="1"/>
  <c r="E429" i="37"/>
  <c r="E429" i="41" s="1"/>
  <c r="D429" i="37"/>
  <c r="D429" i="41" s="1"/>
  <c r="C429" i="37"/>
  <c r="C429" i="41" s="1"/>
  <c r="B429" i="37"/>
  <c r="B429" i="41" s="1"/>
  <c r="A429" i="37"/>
  <c r="G428" i="37"/>
  <c r="G428" i="41" s="1"/>
  <c r="F428" i="37"/>
  <c r="F428" i="41" s="1"/>
  <c r="E428" i="37"/>
  <c r="E428" i="41" s="1"/>
  <c r="D428" i="37"/>
  <c r="D428" i="41" s="1"/>
  <c r="C428" i="37"/>
  <c r="C428" i="41" s="1"/>
  <c r="B428" i="37"/>
  <c r="B428" i="41" s="1"/>
  <c r="A428" i="37"/>
  <c r="A428" i="41" s="1"/>
  <c r="G427" i="37"/>
  <c r="G427" i="41" s="1"/>
  <c r="F427" i="37"/>
  <c r="F427" i="41" s="1"/>
  <c r="E427" i="37"/>
  <c r="E427" i="41" s="1"/>
  <c r="D427" i="37"/>
  <c r="D427" i="41" s="1"/>
  <c r="C427" i="37"/>
  <c r="C427" i="41" s="1"/>
  <c r="B427" i="37"/>
  <c r="B427" i="41" s="1"/>
  <c r="A427" i="37"/>
  <c r="A427" i="41" s="1"/>
  <c r="G426" i="37"/>
  <c r="G426" i="41" s="1"/>
  <c r="F426" i="37"/>
  <c r="F426" i="41" s="1"/>
  <c r="E426" i="37"/>
  <c r="E426" i="41" s="1"/>
  <c r="D426" i="37"/>
  <c r="D426" i="41" s="1"/>
  <c r="C426" i="37"/>
  <c r="C426" i="41" s="1"/>
  <c r="B426" i="37"/>
  <c r="B426" i="41" s="1"/>
  <c r="A426" i="37"/>
  <c r="A426" i="41" s="1"/>
  <c r="G425" i="37"/>
  <c r="G425" i="41" s="1"/>
  <c r="F425" i="37"/>
  <c r="F425" i="41" s="1"/>
  <c r="E425" i="37"/>
  <c r="E425" i="41" s="1"/>
  <c r="D425" i="37"/>
  <c r="D425" i="41" s="1"/>
  <c r="C425" i="37"/>
  <c r="C425" i="41" s="1"/>
  <c r="B425" i="37"/>
  <c r="B425" i="41" s="1"/>
  <c r="A425" i="37"/>
  <c r="A425" i="41" s="1"/>
  <c r="G424" i="37"/>
  <c r="G424" i="41" s="1"/>
  <c r="F424" i="37"/>
  <c r="F424" i="41" s="1"/>
  <c r="E424" i="37"/>
  <c r="E424" i="41" s="1"/>
  <c r="D424" i="37"/>
  <c r="D424" i="41" s="1"/>
  <c r="C424" i="37"/>
  <c r="C424" i="41" s="1"/>
  <c r="B424" i="37"/>
  <c r="B424" i="41" s="1"/>
  <c r="A424" i="37"/>
  <c r="A424" i="41" s="1"/>
  <c r="G423" i="37"/>
  <c r="G423" i="41" s="1"/>
  <c r="F423" i="37"/>
  <c r="F423" i="41" s="1"/>
  <c r="E423" i="37"/>
  <c r="E423" i="41" s="1"/>
  <c r="D423" i="37"/>
  <c r="D423" i="41" s="1"/>
  <c r="C423" i="37"/>
  <c r="C423" i="41" s="1"/>
  <c r="B423" i="37"/>
  <c r="B423" i="41" s="1"/>
  <c r="A423" i="37"/>
  <c r="A423" i="41" s="1"/>
  <c r="G422" i="37"/>
  <c r="G422" i="41" s="1"/>
  <c r="F422" i="37"/>
  <c r="F422" i="41" s="1"/>
  <c r="E422" i="37"/>
  <c r="E422" i="41" s="1"/>
  <c r="D422" i="37"/>
  <c r="D422" i="41" s="1"/>
  <c r="C422" i="37"/>
  <c r="C422" i="41" s="1"/>
  <c r="B422" i="37"/>
  <c r="B422" i="41" s="1"/>
  <c r="A422" i="37"/>
  <c r="A422" i="41" s="1"/>
  <c r="G421" i="37"/>
  <c r="G421" i="41" s="1"/>
  <c r="F421" i="37"/>
  <c r="F421" i="41" s="1"/>
  <c r="E421" i="37"/>
  <c r="E421" i="41" s="1"/>
  <c r="D421" i="37"/>
  <c r="D421" i="41" s="1"/>
  <c r="C421" i="37"/>
  <c r="C421" i="41" s="1"/>
  <c r="B421" i="37"/>
  <c r="B421" i="41" s="1"/>
  <c r="A421" i="37"/>
  <c r="A421" i="41" s="1"/>
  <c r="G420" i="37"/>
  <c r="G420" i="41" s="1"/>
  <c r="F420" i="37"/>
  <c r="F420" i="41" s="1"/>
  <c r="E420" i="37"/>
  <c r="E420" i="41" s="1"/>
  <c r="D420" i="37"/>
  <c r="D420" i="41" s="1"/>
  <c r="C420" i="37"/>
  <c r="C420" i="41" s="1"/>
  <c r="B420" i="37"/>
  <c r="B420" i="41" s="1"/>
  <c r="A420" i="37"/>
  <c r="A420" i="41" s="1"/>
  <c r="G419" i="37"/>
  <c r="G419" i="41" s="1"/>
  <c r="F419" i="37"/>
  <c r="F419" i="41" s="1"/>
  <c r="E419" i="37"/>
  <c r="E419" i="41" s="1"/>
  <c r="D419" i="37"/>
  <c r="D419" i="41" s="1"/>
  <c r="C419" i="37"/>
  <c r="C419" i="41" s="1"/>
  <c r="B419" i="37"/>
  <c r="B419" i="41" s="1"/>
  <c r="A419" i="37"/>
  <c r="A419" i="41" s="1"/>
  <c r="G418" i="37"/>
  <c r="G418" i="41" s="1"/>
  <c r="F418" i="37"/>
  <c r="F418" i="41" s="1"/>
  <c r="E418" i="37"/>
  <c r="E418" i="41" s="1"/>
  <c r="D418" i="37"/>
  <c r="D418" i="41" s="1"/>
  <c r="C418" i="37"/>
  <c r="C418" i="41" s="1"/>
  <c r="B418" i="37"/>
  <c r="B418" i="41" s="1"/>
  <c r="A418" i="37"/>
  <c r="A418" i="41" s="1"/>
  <c r="G417" i="37"/>
  <c r="G417" i="41" s="1"/>
  <c r="F417" i="37"/>
  <c r="F417" i="41" s="1"/>
  <c r="E417" i="37"/>
  <c r="E417" i="41" s="1"/>
  <c r="D417" i="37"/>
  <c r="D417" i="41" s="1"/>
  <c r="C417" i="37"/>
  <c r="C417" i="41" s="1"/>
  <c r="B417" i="37"/>
  <c r="B417" i="41" s="1"/>
  <c r="A417" i="37"/>
  <c r="A417" i="41" s="1"/>
  <c r="G416" i="37"/>
  <c r="G416" i="41" s="1"/>
  <c r="F416" i="37"/>
  <c r="F416" i="41" s="1"/>
  <c r="E416" i="37"/>
  <c r="E416" i="41" s="1"/>
  <c r="D416" i="37"/>
  <c r="D416" i="41" s="1"/>
  <c r="C416" i="37"/>
  <c r="C416" i="41" s="1"/>
  <c r="B416" i="37"/>
  <c r="B416" i="41" s="1"/>
  <c r="A416" i="37"/>
  <c r="A416" i="41" s="1"/>
  <c r="G415" i="37"/>
  <c r="G415" i="41" s="1"/>
  <c r="F415" i="37"/>
  <c r="F415" i="41" s="1"/>
  <c r="E415" i="37"/>
  <c r="E415" i="41" s="1"/>
  <c r="D415" i="37"/>
  <c r="D415" i="41" s="1"/>
  <c r="C415" i="37"/>
  <c r="C415" i="41" s="1"/>
  <c r="B415" i="37"/>
  <c r="B415" i="41" s="1"/>
  <c r="A415" i="37"/>
  <c r="A415" i="41" s="1"/>
  <c r="G414" i="37"/>
  <c r="G414" i="41" s="1"/>
  <c r="F414" i="37"/>
  <c r="F414" i="41" s="1"/>
  <c r="E414" i="37"/>
  <c r="E414" i="41" s="1"/>
  <c r="D414" i="37"/>
  <c r="D414" i="41" s="1"/>
  <c r="C414" i="37"/>
  <c r="C414" i="41" s="1"/>
  <c r="B414" i="37"/>
  <c r="B414" i="41" s="1"/>
  <c r="A414" i="37"/>
  <c r="A414" i="41" s="1"/>
  <c r="G413" i="37"/>
  <c r="G413" i="41" s="1"/>
  <c r="F413" i="37"/>
  <c r="F413" i="41" s="1"/>
  <c r="E413" i="37"/>
  <c r="E413" i="41" s="1"/>
  <c r="D413" i="37"/>
  <c r="D413" i="41" s="1"/>
  <c r="C413" i="37"/>
  <c r="C413" i="41" s="1"/>
  <c r="B413" i="37"/>
  <c r="B413" i="41" s="1"/>
  <c r="A413" i="37"/>
  <c r="A413" i="41" s="1"/>
  <c r="G412" i="37"/>
  <c r="G412" i="41" s="1"/>
  <c r="F412" i="37"/>
  <c r="F412" i="41" s="1"/>
  <c r="E412" i="37"/>
  <c r="E412" i="41" s="1"/>
  <c r="D412" i="37"/>
  <c r="D412" i="41" s="1"/>
  <c r="C412" i="37"/>
  <c r="C412" i="41" s="1"/>
  <c r="B412" i="37"/>
  <c r="B412" i="41" s="1"/>
  <c r="A412" i="37"/>
  <c r="A412" i="41" s="1"/>
  <c r="G411" i="37"/>
  <c r="G411" i="41" s="1"/>
  <c r="F411" i="37"/>
  <c r="F411" i="41" s="1"/>
  <c r="E411" i="37"/>
  <c r="E411" i="41" s="1"/>
  <c r="D411" i="37"/>
  <c r="D411" i="41" s="1"/>
  <c r="C411" i="37"/>
  <c r="C411" i="41" s="1"/>
  <c r="B411" i="37"/>
  <c r="B411" i="41" s="1"/>
  <c r="A411" i="37"/>
  <c r="A411" i="41" s="1"/>
  <c r="G410" i="37"/>
  <c r="G410" i="41" s="1"/>
  <c r="F410" i="37"/>
  <c r="F410" i="41" s="1"/>
  <c r="E410" i="37"/>
  <c r="E410" i="41" s="1"/>
  <c r="D410" i="37"/>
  <c r="D410" i="41" s="1"/>
  <c r="C410" i="37"/>
  <c r="C410" i="41" s="1"/>
  <c r="B410" i="37"/>
  <c r="B410" i="41" s="1"/>
  <c r="A410" i="37"/>
  <c r="A410" i="41" s="1"/>
  <c r="G409" i="37"/>
  <c r="G409" i="41" s="1"/>
  <c r="F409" i="37"/>
  <c r="F409" i="41" s="1"/>
  <c r="E409" i="37"/>
  <c r="E409" i="41" s="1"/>
  <c r="D409" i="37"/>
  <c r="D409" i="41" s="1"/>
  <c r="C409" i="37"/>
  <c r="C409" i="41" s="1"/>
  <c r="B409" i="37"/>
  <c r="B409" i="41" s="1"/>
  <c r="A409" i="37"/>
  <c r="A409" i="41" s="1"/>
  <c r="G408" i="37"/>
  <c r="G408" i="41" s="1"/>
  <c r="F408" i="37"/>
  <c r="F408" i="41" s="1"/>
  <c r="E408" i="37"/>
  <c r="E408" i="41" s="1"/>
  <c r="D408" i="37"/>
  <c r="D408" i="41" s="1"/>
  <c r="C408" i="37"/>
  <c r="C408" i="41" s="1"/>
  <c r="B408" i="37"/>
  <c r="B408" i="41" s="1"/>
  <c r="A408" i="37"/>
  <c r="A408" i="41" s="1"/>
  <c r="G407" i="37"/>
  <c r="G407" i="41" s="1"/>
  <c r="F407" i="37"/>
  <c r="F407" i="41" s="1"/>
  <c r="E407" i="37"/>
  <c r="E407" i="41" s="1"/>
  <c r="D407" i="37"/>
  <c r="D407" i="41" s="1"/>
  <c r="C407" i="37"/>
  <c r="C407" i="41" s="1"/>
  <c r="B407" i="37"/>
  <c r="B407" i="41" s="1"/>
  <c r="A407" i="37"/>
  <c r="A407" i="41" s="1"/>
  <c r="G406" i="37"/>
  <c r="G406" i="41" s="1"/>
  <c r="F406" i="37"/>
  <c r="F406" i="41" s="1"/>
  <c r="E406" i="37"/>
  <c r="E406" i="41" s="1"/>
  <c r="D406" i="37"/>
  <c r="D406" i="41" s="1"/>
  <c r="C406" i="37"/>
  <c r="C406" i="41" s="1"/>
  <c r="B406" i="37"/>
  <c r="B406" i="41" s="1"/>
  <c r="A406" i="37"/>
  <c r="A406" i="41" s="1"/>
  <c r="G405" i="37"/>
  <c r="G405" i="41" s="1"/>
  <c r="F405" i="37"/>
  <c r="F405" i="41" s="1"/>
  <c r="E405" i="37"/>
  <c r="E405" i="41" s="1"/>
  <c r="D405" i="37"/>
  <c r="D405" i="41" s="1"/>
  <c r="C405" i="37"/>
  <c r="C405" i="41" s="1"/>
  <c r="B405" i="37"/>
  <c r="B405" i="41" s="1"/>
  <c r="A405" i="37"/>
  <c r="A405" i="41" s="1"/>
  <c r="G404" i="37"/>
  <c r="G404" i="41" s="1"/>
  <c r="F404" i="37"/>
  <c r="F404" i="41" s="1"/>
  <c r="E404" i="37"/>
  <c r="E404" i="41" s="1"/>
  <c r="D404" i="37"/>
  <c r="D404" i="41" s="1"/>
  <c r="C404" i="37"/>
  <c r="C404" i="41" s="1"/>
  <c r="B404" i="37"/>
  <c r="B404" i="41" s="1"/>
  <c r="A404" i="37"/>
  <c r="A404" i="41" s="1"/>
  <c r="G403" i="37"/>
  <c r="G403" i="41" s="1"/>
  <c r="F403" i="37"/>
  <c r="F403" i="41" s="1"/>
  <c r="E403" i="37"/>
  <c r="E403" i="41" s="1"/>
  <c r="D403" i="37"/>
  <c r="D403" i="41" s="1"/>
  <c r="C403" i="37"/>
  <c r="C403" i="41" s="1"/>
  <c r="B403" i="37"/>
  <c r="B403" i="41" s="1"/>
  <c r="A403" i="37"/>
  <c r="A403" i="41" s="1"/>
  <c r="G402" i="37"/>
  <c r="G402" i="41" s="1"/>
  <c r="F402" i="37"/>
  <c r="F402" i="41" s="1"/>
  <c r="E402" i="37"/>
  <c r="E402" i="41" s="1"/>
  <c r="D402" i="37"/>
  <c r="D402" i="41" s="1"/>
  <c r="C402" i="37"/>
  <c r="C402" i="41" s="1"/>
  <c r="B402" i="37"/>
  <c r="B402" i="41" s="1"/>
  <c r="A402" i="37"/>
  <c r="A402" i="41" s="1"/>
  <c r="G401" i="37"/>
  <c r="G401" i="41" s="1"/>
  <c r="F401" i="37"/>
  <c r="F401" i="41" s="1"/>
  <c r="E401" i="37"/>
  <c r="E401" i="41" s="1"/>
  <c r="D401" i="37"/>
  <c r="D401" i="41" s="1"/>
  <c r="C401" i="37"/>
  <c r="C401" i="41" s="1"/>
  <c r="B401" i="37"/>
  <c r="B401" i="41" s="1"/>
  <c r="A401" i="37"/>
  <c r="A401" i="41" s="1"/>
  <c r="G400" i="37"/>
  <c r="G400" i="41" s="1"/>
  <c r="F400" i="37"/>
  <c r="F400" i="41" s="1"/>
  <c r="E400" i="37"/>
  <c r="E400" i="41" s="1"/>
  <c r="D400" i="37"/>
  <c r="D400" i="41" s="1"/>
  <c r="C400" i="37"/>
  <c r="C400" i="41" s="1"/>
  <c r="B400" i="37"/>
  <c r="B400" i="41" s="1"/>
  <c r="A400" i="37"/>
  <c r="A400" i="41" s="1"/>
  <c r="G399" i="37"/>
  <c r="G399" i="41" s="1"/>
  <c r="F399" i="37"/>
  <c r="F399" i="41" s="1"/>
  <c r="E399" i="37"/>
  <c r="E399" i="41" s="1"/>
  <c r="D399" i="37"/>
  <c r="D399" i="41" s="1"/>
  <c r="C399" i="37"/>
  <c r="C399" i="41" s="1"/>
  <c r="B399" i="37"/>
  <c r="B399" i="41" s="1"/>
  <c r="A399" i="37"/>
  <c r="A399" i="41" s="1"/>
  <c r="G398" i="37"/>
  <c r="G398" i="41" s="1"/>
  <c r="F398" i="37"/>
  <c r="F398" i="41" s="1"/>
  <c r="E398" i="37"/>
  <c r="E398" i="41" s="1"/>
  <c r="D398" i="37"/>
  <c r="D398" i="41" s="1"/>
  <c r="C398" i="37"/>
  <c r="C398" i="41" s="1"/>
  <c r="B398" i="37"/>
  <c r="B398" i="41" s="1"/>
  <c r="A398" i="37"/>
  <c r="A398" i="41" s="1"/>
  <c r="G397" i="37"/>
  <c r="G397" i="41" s="1"/>
  <c r="F397" i="37"/>
  <c r="F397" i="41" s="1"/>
  <c r="E397" i="37"/>
  <c r="E397" i="41" s="1"/>
  <c r="D397" i="37"/>
  <c r="D397" i="41" s="1"/>
  <c r="C397" i="37"/>
  <c r="C397" i="41" s="1"/>
  <c r="B397" i="37"/>
  <c r="B397" i="41" s="1"/>
  <c r="A397" i="37"/>
  <c r="A397" i="41" s="1"/>
  <c r="G396" i="37"/>
  <c r="G396" i="41" s="1"/>
  <c r="F396" i="37"/>
  <c r="F396" i="41" s="1"/>
  <c r="E396" i="37"/>
  <c r="E396" i="41" s="1"/>
  <c r="D396" i="37"/>
  <c r="D396" i="41" s="1"/>
  <c r="C396" i="37"/>
  <c r="C396" i="41" s="1"/>
  <c r="B396" i="37"/>
  <c r="B396" i="41" s="1"/>
  <c r="A396" i="37"/>
  <c r="A396" i="41" s="1"/>
  <c r="G395" i="37"/>
  <c r="G395" i="41" s="1"/>
  <c r="F395" i="37"/>
  <c r="F395" i="41" s="1"/>
  <c r="E395" i="37"/>
  <c r="E395" i="41" s="1"/>
  <c r="D395" i="37"/>
  <c r="D395" i="41" s="1"/>
  <c r="C395" i="37"/>
  <c r="C395" i="41" s="1"/>
  <c r="B395" i="37"/>
  <c r="B395" i="41" s="1"/>
  <c r="A395" i="37"/>
  <c r="A395" i="41" s="1"/>
  <c r="G394" i="37"/>
  <c r="G394" i="41" s="1"/>
  <c r="F394" i="37"/>
  <c r="F394" i="41" s="1"/>
  <c r="E394" i="37"/>
  <c r="E394" i="41" s="1"/>
  <c r="D394" i="37"/>
  <c r="D394" i="41" s="1"/>
  <c r="C394" i="37"/>
  <c r="C394" i="41" s="1"/>
  <c r="B394" i="37"/>
  <c r="B394" i="41" s="1"/>
  <c r="A394" i="37"/>
  <c r="A394" i="41" s="1"/>
  <c r="G393" i="37"/>
  <c r="G393" i="41" s="1"/>
  <c r="F393" i="37"/>
  <c r="F393" i="41" s="1"/>
  <c r="E393" i="37"/>
  <c r="E393" i="41" s="1"/>
  <c r="D393" i="37"/>
  <c r="D393" i="41" s="1"/>
  <c r="C393" i="37"/>
  <c r="C393" i="41" s="1"/>
  <c r="B393" i="37"/>
  <c r="B393" i="41" s="1"/>
  <c r="A393" i="37"/>
  <c r="A393" i="41" s="1"/>
  <c r="G392" i="37"/>
  <c r="G392" i="41" s="1"/>
  <c r="F392" i="37"/>
  <c r="F392" i="41" s="1"/>
  <c r="E392" i="37"/>
  <c r="E392" i="41" s="1"/>
  <c r="D392" i="37"/>
  <c r="D392" i="41" s="1"/>
  <c r="C392" i="37"/>
  <c r="C392" i="41" s="1"/>
  <c r="B392" i="37"/>
  <c r="B392" i="41" s="1"/>
  <c r="A392" i="37"/>
  <c r="A392" i="41" s="1"/>
  <c r="G391" i="37"/>
  <c r="G391" i="41" s="1"/>
  <c r="F391" i="37"/>
  <c r="F391" i="41" s="1"/>
  <c r="E391" i="37"/>
  <c r="E391" i="41" s="1"/>
  <c r="D391" i="37"/>
  <c r="D391" i="41" s="1"/>
  <c r="C391" i="37"/>
  <c r="C391" i="41" s="1"/>
  <c r="B391" i="37"/>
  <c r="B391" i="41" s="1"/>
  <c r="A391" i="37"/>
  <c r="A391" i="41" s="1"/>
  <c r="G390" i="37"/>
  <c r="G390" i="41" s="1"/>
  <c r="F390" i="37"/>
  <c r="F390" i="41" s="1"/>
  <c r="E390" i="37"/>
  <c r="E390" i="41" s="1"/>
  <c r="D390" i="37"/>
  <c r="D390" i="41" s="1"/>
  <c r="C390" i="37"/>
  <c r="C390" i="41" s="1"/>
  <c r="B390" i="37"/>
  <c r="B390" i="41" s="1"/>
  <c r="A390" i="37"/>
  <c r="A390" i="41" s="1"/>
  <c r="G389" i="37"/>
  <c r="G389" i="41" s="1"/>
  <c r="F389" i="37"/>
  <c r="F389" i="41" s="1"/>
  <c r="E389" i="37"/>
  <c r="E389" i="41" s="1"/>
  <c r="D389" i="37"/>
  <c r="D389" i="41" s="1"/>
  <c r="C389" i="37"/>
  <c r="C389" i="41" s="1"/>
  <c r="B389" i="37"/>
  <c r="B389" i="41" s="1"/>
  <c r="A389" i="37"/>
  <c r="A389" i="41" s="1"/>
  <c r="G388" i="37"/>
  <c r="G388" i="41" s="1"/>
  <c r="F388" i="37"/>
  <c r="F388" i="41" s="1"/>
  <c r="E388" i="37"/>
  <c r="E388" i="41" s="1"/>
  <c r="D388" i="37"/>
  <c r="D388" i="41" s="1"/>
  <c r="C388" i="37"/>
  <c r="C388" i="41" s="1"/>
  <c r="B388" i="37"/>
  <c r="B388" i="41" s="1"/>
  <c r="A388" i="37"/>
  <c r="A388" i="41" s="1"/>
  <c r="G387" i="37"/>
  <c r="G387" i="41" s="1"/>
  <c r="F387" i="37"/>
  <c r="F387" i="41" s="1"/>
  <c r="E387" i="37"/>
  <c r="E387" i="41" s="1"/>
  <c r="D387" i="37"/>
  <c r="D387" i="41" s="1"/>
  <c r="C387" i="37"/>
  <c r="C387" i="41" s="1"/>
  <c r="B387" i="37"/>
  <c r="B387" i="41" s="1"/>
  <c r="A387" i="37"/>
  <c r="A387" i="41" s="1"/>
  <c r="G386" i="37"/>
  <c r="G386" i="41" s="1"/>
  <c r="F386" i="37"/>
  <c r="F386" i="41" s="1"/>
  <c r="E386" i="37"/>
  <c r="E386" i="41" s="1"/>
  <c r="D386" i="37"/>
  <c r="D386" i="41" s="1"/>
  <c r="C386" i="37"/>
  <c r="C386" i="41" s="1"/>
  <c r="B386" i="37"/>
  <c r="B386" i="41" s="1"/>
  <c r="A386" i="37"/>
  <c r="A386" i="41" s="1"/>
  <c r="G385" i="37"/>
  <c r="G385" i="41" s="1"/>
  <c r="F385" i="37"/>
  <c r="F385" i="41" s="1"/>
  <c r="E385" i="37"/>
  <c r="E385" i="41" s="1"/>
  <c r="D385" i="37"/>
  <c r="D385" i="41" s="1"/>
  <c r="C385" i="37"/>
  <c r="C385" i="41" s="1"/>
  <c r="B385" i="37"/>
  <c r="B385" i="41" s="1"/>
  <c r="A385" i="37"/>
  <c r="A385" i="41" s="1"/>
  <c r="G384" i="37"/>
  <c r="G384" i="41" s="1"/>
  <c r="F384" i="37"/>
  <c r="F384" i="41" s="1"/>
  <c r="E384" i="37"/>
  <c r="E384" i="41" s="1"/>
  <c r="D384" i="37"/>
  <c r="D384" i="41" s="1"/>
  <c r="C384" i="37"/>
  <c r="C384" i="41" s="1"/>
  <c r="B384" i="37"/>
  <c r="B384" i="41" s="1"/>
  <c r="A384" i="37"/>
  <c r="A384" i="41" s="1"/>
  <c r="G383" i="37"/>
  <c r="G383" i="41" s="1"/>
  <c r="F383" i="37"/>
  <c r="F383" i="41" s="1"/>
  <c r="E383" i="37"/>
  <c r="E383" i="41" s="1"/>
  <c r="D383" i="37"/>
  <c r="D383" i="41" s="1"/>
  <c r="C383" i="37"/>
  <c r="C383" i="41" s="1"/>
  <c r="B383" i="37"/>
  <c r="B383" i="41" s="1"/>
  <c r="A383" i="37"/>
  <c r="A383" i="41" s="1"/>
  <c r="G382" i="37"/>
  <c r="G382" i="41" s="1"/>
  <c r="F382" i="37"/>
  <c r="F382" i="41" s="1"/>
  <c r="E382" i="37"/>
  <c r="E382" i="41" s="1"/>
  <c r="D382" i="37"/>
  <c r="D382" i="41" s="1"/>
  <c r="C382" i="37"/>
  <c r="C382" i="41" s="1"/>
  <c r="B382" i="37"/>
  <c r="B382" i="41" s="1"/>
  <c r="A382" i="37"/>
  <c r="A382" i="41" s="1"/>
  <c r="G381" i="37"/>
  <c r="G381" i="41" s="1"/>
  <c r="F381" i="37"/>
  <c r="F381" i="41" s="1"/>
  <c r="E381" i="37"/>
  <c r="E381" i="41" s="1"/>
  <c r="D381" i="37"/>
  <c r="D381" i="41" s="1"/>
  <c r="C381" i="37"/>
  <c r="C381" i="41" s="1"/>
  <c r="B381" i="37"/>
  <c r="B381" i="41" s="1"/>
  <c r="A381" i="37"/>
  <c r="A381" i="41" s="1"/>
  <c r="G380" i="37"/>
  <c r="G380" i="41" s="1"/>
  <c r="F380" i="37"/>
  <c r="F380" i="41" s="1"/>
  <c r="E380" i="37"/>
  <c r="E380" i="41" s="1"/>
  <c r="D380" i="37"/>
  <c r="D380" i="41" s="1"/>
  <c r="C380" i="37"/>
  <c r="C380" i="41" s="1"/>
  <c r="B380" i="37"/>
  <c r="B380" i="41" s="1"/>
  <c r="A380" i="37"/>
  <c r="A380" i="41" s="1"/>
  <c r="G379" i="37"/>
  <c r="G379" i="41" s="1"/>
  <c r="F379" i="37"/>
  <c r="F379" i="41" s="1"/>
  <c r="E379" i="37"/>
  <c r="E379" i="41" s="1"/>
  <c r="D379" i="37"/>
  <c r="D379" i="41" s="1"/>
  <c r="C379" i="37"/>
  <c r="C379" i="41" s="1"/>
  <c r="B379" i="37"/>
  <c r="B379" i="41" s="1"/>
  <c r="A379" i="37"/>
  <c r="A379" i="41" s="1"/>
  <c r="G378" i="37"/>
  <c r="G378" i="41" s="1"/>
  <c r="F378" i="37"/>
  <c r="F378" i="41" s="1"/>
  <c r="E378" i="37"/>
  <c r="E378" i="41" s="1"/>
  <c r="D378" i="37"/>
  <c r="D378" i="41" s="1"/>
  <c r="C378" i="37"/>
  <c r="C378" i="41" s="1"/>
  <c r="B378" i="37"/>
  <c r="B378" i="41" s="1"/>
  <c r="A378" i="37"/>
  <c r="A378" i="41" s="1"/>
  <c r="G377" i="37"/>
  <c r="G377" i="41" s="1"/>
  <c r="F377" i="37"/>
  <c r="F377" i="41" s="1"/>
  <c r="E377" i="37"/>
  <c r="E377" i="41" s="1"/>
  <c r="D377" i="37"/>
  <c r="D377" i="41" s="1"/>
  <c r="C377" i="37"/>
  <c r="C377" i="41" s="1"/>
  <c r="B377" i="37"/>
  <c r="B377" i="41" s="1"/>
  <c r="A377" i="37"/>
  <c r="A377" i="41" s="1"/>
  <c r="G376" i="37"/>
  <c r="G376" i="41" s="1"/>
  <c r="F376" i="37"/>
  <c r="F376" i="41" s="1"/>
  <c r="E376" i="37"/>
  <c r="E376" i="41" s="1"/>
  <c r="D376" i="37"/>
  <c r="D376" i="41" s="1"/>
  <c r="C376" i="37"/>
  <c r="C376" i="41" s="1"/>
  <c r="B376" i="37"/>
  <c r="B376" i="41" s="1"/>
  <c r="A376" i="37"/>
  <c r="A376" i="41" s="1"/>
  <c r="G375" i="37"/>
  <c r="G375" i="41" s="1"/>
  <c r="F375" i="37"/>
  <c r="F375" i="41" s="1"/>
  <c r="E375" i="37"/>
  <c r="E375" i="41" s="1"/>
  <c r="D375" i="37"/>
  <c r="D375" i="41" s="1"/>
  <c r="C375" i="37"/>
  <c r="C375" i="41" s="1"/>
  <c r="B375" i="37"/>
  <c r="B375" i="41" s="1"/>
  <c r="A375" i="37"/>
  <c r="A375" i="41" s="1"/>
  <c r="G374" i="37"/>
  <c r="G374" i="41" s="1"/>
  <c r="F374" i="37"/>
  <c r="F374" i="41" s="1"/>
  <c r="E374" i="37"/>
  <c r="E374" i="41" s="1"/>
  <c r="D374" i="37"/>
  <c r="D374" i="41" s="1"/>
  <c r="C374" i="37"/>
  <c r="C374" i="41" s="1"/>
  <c r="B374" i="37"/>
  <c r="B374" i="41" s="1"/>
  <c r="A374" i="37"/>
  <c r="A374" i="41" s="1"/>
  <c r="G373" i="37"/>
  <c r="G373" i="41" s="1"/>
  <c r="F373" i="37"/>
  <c r="F373" i="41" s="1"/>
  <c r="E373" i="37"/>
  <c r="E373" i="41" s="1"/>
  <c r="D373" i="37"/>
  <c r="D373" i="41" s="1"/>
  <c r="C373" i="37"/>
  <c r="C373" i="41" s="1"/>
  <c r="B373" i="37"/>
  <c r="B373" i="41" s="1"/>
  <c r="A373" i="37"/>
  <c r="A373" i="41" s="1"/>
  <c r="G372" i="37"/>
  <c r="G372" i="41" s="1"/>
  <c r="F372" i="37"/>
  <c r="F372" i="41" s="1"/>
  <c r="E372" i="37"/>
  <c r="E372" i="41" s="1"/>
  <c r="D372" i="37"/>
  <c r="D372" i="41" s="1"/>
  <c r="C372" i="37"/>
  <c r="C372" i="41" s="1"/>
  <c r="B372" i="37"/>
  <c r="B372" i="41" s="1"/>
  <c r="A372" i="37"/>
  <c r="A372" i="41" s="1"/>
  <c r="G371" i="37"/>
  <c r="G371" i="41" s="1"/>
  <c r="F371" i="37"/>
  <c r="F371" i="41" s="1"/>
  <c r="E371" i="37"/>
  <c r="E371" i="41" s="1"/>
  <c r="D371" i="37"/>
  <c r="D371" i="41" s="1"/>
  <c r="C371" i="37"/>
  <c r="C371" i="41" s="1"/>
  <c r="B371" i="37"/>
  <c r="B371" i="41" s="1"/>
  <c r="A371" i="37"/>
  <c r="A371" i="41" s="1"/>
  <c r="G370" i="37"/>
  <c r="G370" i="41" s="1"/>
  <c r="F370" i="37"/>
  <c r="F370" i="41" s="1"/>
  <c r="E370" i="37"/>
  <c r="E370" i="41" s="1"/>
  <c r="D370" i="37"/>
  <c r="D370" i="41" s="1"/>
  <c r="C370" i="37"/>
  <c r="C370" i="41" s="1"/>
  <c r="B370" i="37"/>
  <c r="B370" i="41" s="1"/>
  <c r="A370" i="37"/>
  <c r="A370" i="41" s="1"/>
  <c r="G369" i="37"/>
  <c r="G369" i="41" s="1"/>
  <c r="F369" i="37"/>
  <c r="F369" i="41" s="1"/>
  <c r="E369" i="37"/>
  <c r="E369" i="41" s="1"/>
  <c r="D369" i="37"/>
  <c r="D369" i="41" s="1"/>
  <c r="C369" i="37"/>
  <c r="C369" i="41" s="1"/>
  <c r="B369" i="37"/>
  <c r="B369" i="41" s="1"/>
  <c r="A369" i="37"/>
  <c r="A369" i="41" s="1"/>
  <c r="G368" i="37"/>
  <c r="G368" i="41" s="1"/>
  <c r="F368" i="37"/>
  <c r="F368" i="41" s="1"/>
  <c r="E368" i="37"/>
  <c r="E368" i="41" s="1"/>
  <c r="D368" i="37"/>
  <c r="D368" i="41" s="1"/>
  <c r="C368" i="37"/>
  <c r="C368" i="41" s="1"/>
  <c r="B368" i="37"/>
  <c r="B368" i="41" s="1"/>
  <c r="A368" i="37"/>
  <c r="A368" i="41" s="1"/>
  <c r="G367" i="37"/>
  <c r="G367" i="41" s="1"/>
  <c r="F367" i="37"/>
  <c r="F367" i="41" s="1"/>
  <c r="E367" i="37"/>
  <c r="E367" i="41" s="1"/>
  <c r="D367" i="37"/>
  <c r="D367" i="41" s="1"/>
  <c r="C367" i="37"/>
  <c r="C367" i="41" s="1"/>
  <c r="B367" i="37"/>
  <c r="B367" i="41" s="1"/>
  <c r="A367" i="37"/>
  <c r="A367" i="41" s="1"/>
  <c r="G366" i="37"/>
  <c r="G366" i="41" s="1"/>
  <c r="F366" i="37"/>
  <c r="F366" i="41" s="1"/>
  <c r="E366" i="37"/>
  <c r="E366" i="41" s="1"/>
  <c r="D366" i="37"/>
  <c r="D366" i="41" s="1"/>
  <c r="C366" i="37"/>
  <c r="C366" i="41" s="1"/>
  <c r="B366" i="37"/>
  <c r="B366" i="41" s="1"/>
  <c r="A366" i="37"/>
  <c r="A366" i="41" s="1"/>
  <c r="G365" i="37"/>
  <c r="G365" i="41" s="1"/>
  <c r="F365" i="37"/>
  <c r="F365" i="41" s="1"/>
  <c r="E365" i="37"/>
  <c r="E365" i="41" s="1"/>
  <c r="D365" i="37"/>
  <c r="D365" i="41" s="1"/>
  <c r="C365" i="37"/>
  <c r="C365" i="41" s="1"/>
  <c r="B365" i="37"/>
  <c r="B365" i="41" s="1"/>
  <c r="A365" i="37"/>
  <c r="A365" i="41" s="1"/>
  <c r="G364" i="37"/>
  <c r="G364" i="41" s="1"/>
  <c r="F364" i="37"/>
  <c r="F364" i="41" s="1"/>
  <c r="E364" i="37"/>
  <c r="E364" i="41" s="1"/>
  <c r="D364" i="37"/>
  <c r="D364" i="41" s="1"/>
  <c r="C364" i="37"/>
  <c r="C364" i="41" s="1"/>
  <c r="B364" i="37"/>
  <c r="B364" i="41" s="1"/>
  <c r="A364" i="37"/>
  <c r="A364" i="41" s="1"/>
  <c r="G363" i="37"/>
  <c r="G363" i="41" s="1"/>
  <c r="F363" i="37"/>
  <c r="F363" i="41" s="1"/>
  <c r="E363" i="37"/>
  <c r="E363" i="41" s="1"/>
  <c r="D363" i="37"/>
  <c r="D363" i="41" s="1"/>
  <c r="C363" i="37"/>
  <c r="C363" i="41" s="1"/>
  <c r="B363" i="37"/>
  <c r="B363" i="41" s="1"/>
  <c r="A363" i="37"/>
  <c r="A363" i="41" s="1"/>
  <c r="G362" i="37"/>
  <c r="G362" i="41" s="1"/>
  <c r="F362" i="37"/>
  <c r="F362" i="41" s="1"/>
  <c r="E362" i="37"/>
  <c r="E362" i="41" s="1"/>
  <c r="D362" i="37"/>
  <c r="D362" i="41" s="1"/>
  <c r="C362" i="37"/>
  <c r="C362" i="41" s="1"/>
  <c r="B362" i="37"/>
  <c r="B362" i="41" s="1"/>
  <c r="A362" i="37"/>
  <c r="A362" i="41" s="1"/>
  <c r="G361" i="37"/>
  <c r="G361" i="41" s="1"/>
  <c r="F361" i="37"/>
  <c r="F361" i="41" s="1"/>
  <c r="E361" i="37"/>
  <c r="E361" i="41" s="1"/>
  <c r="D361" i="37"/>
  <c r="D361" i="41" s="1"/>
  <c r="C361" i="37"/>
  <c r="C361" i="41" s="1"/>
  <c r="B361" i="37"/>
  <c r="B361" i="41" s="1"/>
  <c r="A361" i="37"/>
  <c r="A361" i="41" s="1"/>
  <c r="G360" i="37"/>
  <c r="G360" i="41" s="1"/>
  <c r="F360" i="37"/>
  <c r="F360" i="41" s="1"/>
  <c r="E360" i="37"/>
  <c r="E360" i="41" s="1"/>
  <c r="D360" i="37"/>
  <c r="D360" i="41" s="1"/>
  <c r="C360" i="37"/>
  <c r="C360" i="41" s="1"/>
  <c r="B360" i="37"/>
  <c r="B360" i="41" s="1"/>
  <c r="A360" i="37"/>
  <c r="A360" i="41" s="1"/>
  <c r="G359" i="37"/>
  <c r="G359" i="41" s="1"/>
  <c r="F359" i="37"/>
  <c r="F359" i="41" s="1"/>
  <c r="E359" i="37"/>
  <c r="E359" i="41" s="1"/>
  <c r="D359" i="37"/>
  <c r="D359" i="41" s="1"/>
  <c r="C359" i="37"/>
  <c r="C359" i="41" s="1"/>
  <c r="B359" i="37"/>
  <c r="B359" i="41" s="1"/>
  <c r="A359" i="37"/>
  <c r="A359" i="41" s="1"/>
  <c r="G358" i="37"/>
  <c r="G358" i="41" s="1"/>
  <c r="F358" i="37"/>
  <c r="F358" i="41" s="1"/>
  <c r="E358" i="37"/>
  <c r="E358" i="41" s="1"/>
  <c r="D358" i="37"/>
  <c r="D358" i="41" s="1"/>
  <c r="C358" i="37"/>
  <c r="C358" i="41" s="1"/>
  <c r="B358" i="37"/>
  <c r="B358" i="41" s="1"/>
  <c r="A358" i="37"/>
  <c r="A358" i="41" s="1"/>
  <c r="G357" i="37"/>
  <c r="G357" i="41" s="1"/>
  <c r="F357" i="37"/>
  <c r="F357" i="41" s="1"/>
  <c r="E357" i="37"/>
  <c r="E357" i="41" s="1"/>
  <c r="D357" i="37"/>
  <c r="D357" i="41" s="1"/>
  <c r="C357" i="37"/>
  <c r="C357" i="41" s="1"/>
  <c r="B357" i="37"/>
  <c r="B357" i="41" s="1"/>
  <c r="A357" i="37"/>
  <c r="A357" i="41" s="1"/>
  <c r="G356" i="37"/>
  <c r="G356" i="41" s="1"/>
  <c r="F356" i="37"/>
  <c r="F356" i="41" s="1"/>
  <c r="E356" i="37"/>
  <c r="E356" i="41" s="1"/>
  <c r="D356" i="37"/>
  <c r="D356" i="41" s="1"/>
  <c r="C356" i="37"/>
  <c r="C356" i="41" s="1"/>
  <c r="B356" i="37"/>
  <c r="B356" i="41" s="1"/>
  <c r="A356" i="37"/>
  <c r="A356" i="41" s="1"/>
  <c r="G355" i="37"/>
  <c r="G355" i="41" s="1"/>
  <c r="F355" i="37"/>
  <c r="F355" i="41" s="1"/>
  <c r="E355" i="37"/>
  <c r="E355" i="41" s="1"/>
  <c r="D355" i="37"/>
  <c r="D355" i="41" s="1"/>
  <c r="C355" i="37"/>
  <c r="C355" i="41" s="1"/>
  <c r="B355" i="37"/>
  <c r="B355" i="41" s="1"/>
  <c r="A355" i="37"/>
  <c r="A355" i="41" s="1"/>
  <c r="G354" i="37"/>
  <c r="G354" i="41" s="1"/>
  <c r="F354" i="37"/>
  <c r="F354" i="41" s="1"/>
  <c r="E354" i="37"/>
  <c r="E354" i="41" s="1"/>
  <c r="D354" i="37"/>
  <c r="D354" i="41" s="1"/>
  <c r="C354" i="37"/>
  <c r="C354" i="41" s="1"/>
  <c r="B354" i="37"/>
  <c r="B354" i="41" s="1"/>
  <c r="A354" i="37"/>
  <c r="A354" i="41" s="1"/>
  <c r="G353" i="37"/>
  <c r="G353" i="41" s="1"/>
  <c r="F353" i="37"/>
  <c r="F353" i="41" s="1"/>
  <c r="E353" i="37"/>
  <c r="E353" i="41" s="1"/>
  <c r="D353" i="37"/>
  <c r="D353" i="41" s="1"/>
  <c r="C353" i="37"/>
  <c r="C353" i="41" s="1"/>
  <c r="B353" i="37"/>
  <c r="B353" i="41" s="1"/>
  <c r="A353" i="37"/>
  <c r="A353" i="41" s="1"/>
  <c r="G352" i="37"/>
  <c r="G352" i="41" s="1"/>
  <c r="F352" i="37"/>
  <c r="F352" i="41" s="1"/>
  <c r="E352" i="37"/>
  <c r="E352" i="41" s="1"/>
  <c r="D352" i="37"/>
  <c r="D352" i="41" s="1"/>
  <c r="C352" i="37"/>
  <c r="C352" i="41" s="1"/>
  <c r="B352" i="37"/>
  <c r="B352" i="41" s="1"/>
  <c r="A352" i="37"/>
  <c r="A352" i="41" s="1"/>
  <c r="G351" i="37"/>
  <c r="G351" i="41" s="1"/>
  <c r="F351" i="37"/>
  <c r="F351" i="41" s="1"/>
  <c r="E351" i="37"/>
  <c r="E351" i="41" s="1"/>
  <c r="D351" i="37"/>
  <c r="D351" i="41" s="1"/>
  <c r="C351" i="37"/>
  <c r="C351" i="41" s="1"/>
  <c r="B351" i="37"/>
  <c r="B351" i="41" s="1"/>
  <c r="A351" i="37"/>
  <c r="A351" i="41" s="1"/>
  <c r="G350" i="37"/>
  <c r="G350" i="41" s="1"/>
  <c r="F350" i="37"/>
  <c r="F350" i="41" s="1"/>
  <c r="E350" i="37"/>
  <c r="E350" i="41" s="1"/>
  <c r="D350" i="37"/>
  <c r="D350" i="41" s="1"/>
  <c r="C350" i="37"/>
  <c r="C350" i="41" s="1"/>
  <c r="B350" i="37"/>
  <c r="B350" i="41" s="1"/>
  <c r="A350" i="37"/>
  <c r="A350" i="41" s="1"/>
  <c r="G349" i="37"/>
  <c r="G349" i="41" s="1"/>
  <c r="F349" i="37"/>
  <c r="F349" i="41" s="1"/>
  <c r="E349" i="37"/>
  <c r="E349" i="41" s="1"/>
  <c r="D349" i="37"/>
  <c r="D349" i="41" s="1"/>
  <c r="C349" i="37"/>
  <c r="C349" i="41" s="1"/>
  <c r="B349" i="37"/>
  <c r="B349" i="41" s="1"/>
  <c r="A349" i="37"/>
  <c r="A349" i="41" s="1"/>
  <c r="G348" i="37"/>
  <c r="G348" i="41" s="1"/>
  <c r="F348" i="37"/>
  <c r="F348" i="41" s="1"/>
  <c r="E348" i="37"/>
  <c r="E348" i="41" s="1"/>
  <c r="D348" i="37"/>
  <c r="D348" i="41" s="1"/>
  <c r="C348" i="37"/>
  <c r="C348" i="41" s="1"/>
  <c r="B348" i="37"/>
  <c r="B348" i="41" s="1"/>
  <c r="A348" i="37"/>
  <c r="A348" i="41" s="1"/>
  <c r="G347" i="37"/>
  <c r="G347" i="41" s="1"/>
  <c r="F347" i="37"/>
  <c r="F347" i="41" s="1"/>
  <c r="E347" i="37"/>
  <c r="E347" i="41" s="1"/>
  <c r="D347" i="37"/>
  <c r="D347" i="41" s="1"/>
  <c r="C347" i="37"/>
  <c r="C347" i="41" s="1"/>
  <c r="B347" i="37"/>
  <c r="B347" i="41" s="1"/>
  <c r="A347" i="37"/>
  <c r="A347" i="41" s="1"/>
  <c r="G346" i="37"/>
  <c r="G346" i="41" s="1"/>
  <c r="F346" i="37"/>
  <c r="F346" i="41" s="1"/>
  <c r="E346" i="37"/>
  <c r="E346" i="41" s="1"/>
  <c r="D346" i="37"/>
  <c r="D346" i="41" s="1"/>
  <c r="C346" i="37"/>
  <c r="C346" i="41" s="1"/>
  <c r="B346" i="37"/>
  <c r="B346" i="41" s="1"/>
  <c r="A346" i="37"/>
  <c r="A346" i="41" s="1"/>
  <c r="G345" i="37"/>
  <c r="G345" i="41" s="1"/>
  <c r="F345" i="37"/>
  <c r="F345" i="41" s="1"/>
  <c r="E345" i="37"/>
  <c r="E345" i="41" s="1"/>
  <c r="D345" i="37"/>
  <c r="D345" i="41" s="1"/>
  <c r="C345" i="37"/>
  <c r="C345" i="41" s="1"/>
  <c r="B345" i="37"/>
  <c r="B345" i="41" s="1"/>
  <c r="A345" i="37"/>
  <c r="A345" i="41" s="1"/>
  <c r="G344" i="37"/>
  <c r="G344" i="41" s="1"/>
  <c r="F344" i="37"/>
  <c r="F344" i="41" s="1"/>
  <c r="E344" i="37"/>
  <c r="E344" i="41" s="1"/>
  <c r="D344" i="37"/>
  <c r="D344" i="41" s="1"/>
  <c r="C344" i="37"/>
  <c r="C344" i="41" s="1"/>
  <c r="B344" i="37"/>
  <c r="B344" i="41" s="1"/>
  <c r="A344" i="37"/>
  <c r="A344" i="41" s="1"/>
  <c r="G343" i="37"/>
  <c r="G343" i="41" s="1"/>
  <c r="F343" i="37"/>
  <c r="F343" i="41" s="1"/>
  <c r="E343" i="37"/>
  <c r="E343" i="41" s="1"/>
  <c r="D343" i="37"/>
  <c r="D343" i="41" s="1"/>
  <c r="C343" i="37"/>
  <c r="C343" i="41" s="1"/>
  <c r="B343" i="37"/>
  <c r="B343" i="41" s="1"/>
  <c r="A343" i="37"/>
  <c r="A343" i="41" s="1"/>
  <c r="G342" i="37"/>
  <c r="G342" i="41" s="1"/>
  <c r="F342" i="37"/>
  <c r="F342" i="41" s="1"/>
  <c r="E342" i="37"/>
  <c r="E342" i="41" s="1"/>
  <c r="D342" i="37"/>
  <c r="D342" i="41" s="1"/>
  <c r="C342" i="37"/>
  <c r="C342" i="41" s="1"/>
  <c r="B342" i="37"/>
  <c r="B342" i="41" s="1"/>
  <c r="A342" i="37"/>
  <c r="A342" i="41" s="1"/>
  <c r="G341" i="37"/>
  <c r="G341" i="41" s="1"/>
  <c r="F341" i="37"/>
  <c r="F341" i="41" s="1"/>
  <c r="E341" i="37"/>
  <c r="E341" i="41" s="1"/>
  <c r="D341" i="37"/>
  <c r="D341" i="41" s="1"/>
  <c r="C341" i="37"/>
  <c r="C341" i="41" s="1"/>
  <c r="B341" i="37"/>
  <c r="B341" i="41" s="1"/>
  <c r="A341" i="37"/>
  <c r="A341" i="41" s="1"/>
  <c r="G340" i="37"/>
  <c r="G340" i="41" s="1"/>
  <c r="F340" i="37"/>
  <c r="F340" i="41" s="1"/>
  <c r="E340" i="37"/>
  <c r="E340" i="41" s="1"/>
  <c r="D340" i="37"/>
  <c r="D340" i="41" s="1"/>
  <c r="C340" i="37"/>
  <c r="C340" i="41" s="1"/>
  <c r="B340" i="37"/>
  <c r="B340" i="41" s="1"/>
  <c r="A340" i="37"/>
  <c r="A340" i="41" s="1"/>
  <c r="G339" i="37"/>
  <c r="G339" i="41" s="1"/>
  <c r="F339" i="37"/>
  <c r="F339" i="41" s="1"/>
  <c r="E339" i="37"/>
  <c r="E339" i="41" s="1"/>
  <c r="D339" i="37"/>
  <c r="D339" i="41" s="1"/>
  <c r="C339" i="37"/>
  <c r="C339" i="41" s="1"/>
  <c r="B339" i="37"/>
  <c r="B339" i="41" s="1"/>
  <c r="A339" i="37"/>
  <c r="A339" i="41" s="1"/>
  <c r="G338" i="37"/>
  <c r="G338" i="41" s="1"/>
  <c r="F338" i="37"/>
  <c r="F338" i="41" s="1"/>
  <c r="E338" i="37"/>
  <c r="E338" i="41" s="1"/>
  <c r="D338" i="37"/>
  <c r="D338" i="41" s="1"/>
  <c r="C338" i="37"/>
  <c r="C338" i="41" s="1"/>
  <c r="B338" i="37"/>
  <c r="B338" i="41" s="1"/>
  <c r="A338" i="37"/>
  <c r="A338" i="41" s="1"/>
  <c r="G337" i="37"/>
  <c r="G337" i="41" s="1"/>
  <c r="F337" i="37"/>
  <c r="F337" i="41" s="1"/>
  <c r="E337" i="37"/>
  <c r="E337" i="41" s="1"/>
  <c r="D337" i="37"/>
  <c r="D337" i="41" s="1"/>
  <c r="C337" i="37"/>
  <c r="C337" i="41" s="1"/>
  <c r="B337" i="37"/>
  <c r="B337" i="41" s="1"/>
  <c r="A337" i="37"/>
  <c r="A337" i="41" s="1"/>
  <c r="G336" i="37"/>
  <c r="G336" i="41" s="1"/>
  <c r="F336" i="37"/>
  <c r="F336" i="41" s="1"/>
  <c r="E336" i="37"/>
  <c r="E336" i="41" s="1"/>
  <c r="D336" i="37"/>
  <c r="D336" i="41" s="1"/>
  <c r="C336" i="37"/>
  <c r="C336" i="41" s="1"/>
  <c r="B336" i="37"/>
  <c r="B336" i="41" s="1"/>
  <c r="A336" i="37"/>
  <c r="A336" i="41" s="1"/>
  <c r="G335" i="37"/>
  <c r="G335" i="41" s="1"/>
  <c r="F335" i="37"/>
  <c r="F335" i="41" s="1"/>
  <c r="E335" i="37"/>
  <c r="E335" i="41" s="1"/>
  <c r="D335" i="37"/>
  <c r="D335" i="41" s="1"/>
  <c r="C335" i="37"/>
  <c r="C335" i="41" s="1"/>
  <c r="B335" i="37"/>
  <c r="B335" i="41" s="1"/>
  <c r="A335" i="37"/>
  <c r="A335" i="41" s="1"/>
  <c r="G334" i="37"/>
  <c r="G334" i="41" s="1"/>
  <c r="F334" i="37"/>
  <c r="F334" i="41" s="1"/>
  <c r="E334" i="37"/>
  <c r="E334" i="41" s="1"/>
  <c r="D334" i="37"/>
  <c r="D334" i="41" s="1"/>
  <c r="C334" i="37"/>
  <c r="C334" i="41" s="1"/>
  <c r="B334" i="37"/>
  <c r="B334" i="41" s="1"/>
  <c r="A334" i="37"/>
  <c r="A334" i="41" s="1"/>
  <c r="G333" i="37"/>
  <c r="G333" i="41" s="1"/>
  <c r="F333" i="37"/>
  <c r="F333" i="41" s="1"/>
  <c r="E333" i="37"/>
  <c r="E333" i="41" s="1"/>
  <c r="D333" i="37"/>
  <c r="D333" i="41" s="1"/>
  <c r="C333" i="37"/>
  <c r="C333" i="41" s="1"/>
  <c r="B333" i="37"/>
  <c r="B333" i="41" s="1"/>
  <c r="A333" i="37"/>
  <c r="A333" i="41" s="1"/>
  <c r="G332" i="37"/>
  <c r="G332" i="41" s="1"/>
  <c r="F332" i="37"/>
  <c r="F332" i="41" s="1"/>
  <c r="E332" i="37"/>
  <c r="E332" i="41" s="1"/>
  <c r="D332" i="37"/>
  <c r="D332" i="41" s="1"/>
  <c r="C332" i="37"/>
  <c r="C332" i="41" s="1"/>
  <c r="B332" i="37"/>
  <c r="B332" i="41" s="1"/>
  <c r="A332" i="37"/>
  <c r="A332" i="41" s="1"/>
  <c r="G331" i="37"/>
  <c r="G331" i="41" s="1"/>
  <c r="F331" i="37"/>
  <c r="F331" i="41" s="1"/>
  <c r="E331" i="37"/>
  <c r="E331" i="41" s="1"/>
  <c r="D331" i="37"/>
  <c r="D331" i="41" s="1"/>
  <c r="C331" i="37"/>
  <c r="C331" i="41" s="1"/>
  <c r="B331" i="37"/>
  <c r="B331" i="41" s="1"/>
  <c r="A331" i="37"/>
  <c r="A331" i="41" s="1"/>
  <c r="G330" i="37"/>
  <c r="G330" i="41" s="1"/>
  <c r="F330" i="37"/>
  <c r="F330" i="41" s="1"/>
  <c r="E330" i="37"/>
  <c r="E330" i="41" s="1"/>
  <c r="D330" i="37"/>
  <c r="D330" i="41" s="1"/>
  <c r="C330" i="37"/>
  <c r="C330" i="41" s="1"/>
  <c r="B330" i="37"/>
  <c r="B330" i="41" s="1"/>
  <c r="A330" i="37"/>
  <c r="A330" i="41" s="1"/>
  <c r="G329" i="37"/>
  <c r="G329" i="41" s="1"/>
  <c r="F329" i="37"/>
  <c r="F329" i="41" s="1"/>
  <c r="E329" i="37"/>
  <c r="E329" i="41" s="1"/>
  <c r="D329" i="37"/>
  <c r="D329" i="41" s="1"/>
  <c r="C329" i="37"/>
  <c r="C329" i="41" s="1"/>
  <c r="B329" i="37"/>
  <c r="B329" i="41" s="1"/>
  <c r="A329" i="37"/>
  <c r="A329" i="41" s="1"/>
  <c r="G328" i="37"/>
  <c r="G328" i="41" s="1"/>
  <c r="F328" i="37"/>
  <c r="F328" i="41" s="1"/>
  <c r="E328" i="37"/>
  <c r="E328" i="41" s="1"/>
  <c r="D328" i="37"/>
  <c r="D328" i="41" s="1"/>
  <c r="C328" i="37"/>
  <c r="C328" i="41" s="1"/>
  <c r="B328" i="37"/>
  <c r="B328" i="41" s="1"/>
  <c r="A328" i="37"/>
  <c r="A328" i="41" s="1"/>
  <c r="G327" i="37"/>
  <c r="G327" i="41" s="1"/>
  <c r="F327" i="37"/>
  <c r="F327" i="41" s="1"/>
  <c r="E327" i="37"/>
  <c r="E327" i="41" s="1"/>
  <c r="D327" i="37"/>
  <c r="D327" i="41" s="1"/>
  <c r="C327" i="37"/>
  <c r="C327" i="41" s="1"/>
  <c r="B327" i="37"/>
  <c r="B327" i="41" s="1"/>
  <c r="A327" i="37"/>
  <c r="A327" i="41" s="1"/>
  <c r="G326" i="37"/>
  <c r="G326" i="41" s="1"/>
  <c r="F326" i="37"/>
  <c r="F326" i="41" s="1"/>
  <c r="E326" i="37"/>
  <c r="E326" i="41" s="1"/>
  <c r="D326" i="37"/>
  <c r="D326" i="41" s="1"/>
  <c r="C326" i="37"/>
  <c r="C326" i="41" s="1"/>
  <c r="B326" i="37"/>
  <c r="B326" i="41" s="1"/>
  <c r="A326" i="37"/>
  <c r="A326" i="41" s="1"/>
  <c r="G325" i="37"/>
  <c r="G325" i="41" s="1"/>
  <c r="F325" i="37"/>
  <c r="F325" i="41" s="1"/>
  <c r="E325" i="37"/>
  <c r="E325" i="41" s="1"/>
  <c r="D325" i="37"/>
  <c r="D325" i="41" s="1"/>
  <c r="C325" i="37"/>
  <c r="C325" i="41" s="1"/>
  <c r="B325" i="37"/>
  <c r="B325" i="41" s="1"/>
  <c r="A325" i="37"/>
  <c r="A325" i="41" s="1"/>
  <c r="G324" i="37"/>
  <c r="G324" i="41" s="1"/>
  <c r="F324" i="37"/>
  <c r="F324" i="41" s="1"/>
  <c r="E324" i="37"/>
  <c r="E324" i="41" s="1"/>
  <c r="D324" i="37"/>
  <c r="D324" i="41" s="1"/>
  <c r="C324" i="37"/>
  <c r="C324" i="41" s="1"/>
  <c r="B324" i="37"/>
  <c r="B324" i="41" s="1"/>
  <c r="A324" i="37"/>
  <c r="A324" i="41" s="1"/>
  <c r="G323" i="37"/>
  <c r="G323" i="41" s="1"/>
  <c r="F323" i="37"/>
  <c r="F323" i="41" s="1"/>
  <c r="E323" i="37"/>
  <c r="E323" i="41" s="1"/>
  <c r="D323" i="37"/>
  <c r="D323" i="41" s="1"/>
  <c r="C323" i="37"/>
  <c r="C323" i="41" s="1"/>
  <c r="B323" i="37"/>
  <c r="B323" i="41" s="1"/>
  <c r="A323" i="37"/>
  <c r="A323" i="41" s="1"/>
  <c r="G322" i="37"/>
  <c r="G322" i="41" s="1"/>
  <c r="F322" i="37"/>
  <c r="F322" i="41" s="1"/>
  <c r="E322" i="37"/>
  <c r="E322" i="41" s="1"/>
  <c r="D322" i="37"/>
  <c r="D322" i="41" s="1"/>
  <c r="C322" i="37"/>
  <c r="C322" i="41" s="1"/>
  <c r="B322" i="37"/>
  <c r="B322" i="41" s="1"/>
  <c r="A322" i="37"/>
  <c r="A322" i="41" s="1"/>
  <c r="G321" i="37"/>
  <c r="G321" i="41" s="1"/>
  <c r="F321" i="37"/>
  <c r="F321" i="41" s="1"/>
  <c r="E321" i="37"/>
  <c r="E321" i="41" s="1"/>
  <c r="D321" i="37"/>
  <c r="D321" i="41" s="1"/>
  <c r="C321" i="37"/>
  <c r="C321" i="41" s="1"/>
  <c r="B321" i="37"/>
  <c r="B321" i="41" s="1"/>
  <c r="A321" i="37"/>
  <c r="A321" i="41" s="1"/>
  <c r="G320" i="37"/>
  <c r="G320" i="41" s="1"/>
  <c r="F320" i="37"/>
  <c r="F320" i="41" s="1"/>
  <c r="E320" i="37"/>
  <c r="E320" i="41" s="1"/>
  <c r="D320" i="37"/>
  <c r="D320" i="41" s="1"/>
  <c r="C320" i="37"/>
  <c r="C320" i="41" s="1"/>
  <c r="B320" i="37"/>
  <c r="B320" i="41" s="1"/>
  <c r="A320" i="37"/>
  <c r="A320" i="41" s="1"/>
  <c r="G319" i="37"/>
  <c r="G319" i="41" s="1"/>
  <c r="F319" i="37"/>
  <c r="F319" i="41" s="1"/>
  <c r="E319" i="37"/>
  <c r="E319" i="41" s="1"/>
  <c r="D319" i="37"/>
  <c r="D319" i="41" s="1"/>
  <c r="C319" i="37"/>
  <c r="C319" i="41" s="1"/>
  <c r="B319" i="37"/>
  <c r="B319" i="41" s="1"/>
  <c r="A319" i="37"/>
  <c r="A319" i="41" s="1"/>
  <c r="G318" i="37"/>
  <c r="G318" i="41" s="1"/>
  <c r="F318" i="37"/>
  <c r="F318" i="41" s="1"/>
  <c r="E318" i="37"/>
  <c r="E318" i="41" s="1"/>
  <c r="D318" i="37"/>
  <c r="D318" i="41" s="1"/>
  <c r="C318" i="37"/>
  <c r="C318" i="41" s="1"/>
  <c r="B318" i="37"/>
  <c r="B318" i="41" s="1"/>
  <c r="A318" i="37"/>
  <c r="A318" i="41" s="1"/>
  <c r="G317" i="37"/>
  <c r="G317" i="41" s="1"/>
  <c r="F317" i="37"/>
  <c r="F317" i="41" s="1"/>
  <c r="E317" i="37"/>
  <c r="E317" i="41" s="1"/>
  <c r="D317" i="37"/>
  <c r="D317" i="41" s="1"/>
  <c r="C317" i="37"/>
  <c r="C317" i="41" s="1"/>
  <c r="B317" i="37"/>
  <c r="B317" i="41" s="1"/>
  <c r="A317" i="37"/>
  <c r="A317" i="41" s="1"/>
  <c r="G316" i="37"/>
  <c r="G316" i="41" s="1"/>
  <c r="F316" i="37"/>
  <c r="F316" i="41" s="1"/>
  <c r="E316" i="37"/>
  <c r="E316" i="41" s="1"/>
  <c r="D316" i="37"/>
  <c r="D316" i="41" s="1"/>
  <c r="C316" i="37"/>
  <c r="C316" i="41" s="1"/>
  <c r="B316" i="37"/>
  <c r="B316" i="41" s="1"/>
  <c r="A316" i="37"/>
  <c r="A316" i="41" s="1"/>
  <c r="G315" i="37"/>
  <c r="G315" i="41" s="1"/>
  <c r="F315" i="37"/>
  <c r="F315" i="41" s="1"/>
  <c r="E315" i="37"/>
  <c r="E315" i="41" s="1"/>
  <c r="D315" i="37"/>
  <c r="D315" i="41" s="1"/>
  <c r="C315" i="37"/>
  <c r="C315" i="41" s="1"/>
  <c r="B315" i="37"/>
  <c r="B315" i="41" s="1"/>
  <c r="A315" i="37"/>
  <c r="A315" i="41" s="1"/>
  <c r="G314" i="37"/>
  <c r="G314" i="41" s="1"/>
  <c r="F314" i="37"/>
  <c r="F314" i="41" s="1"/>
  <c r="E314" i="37"/>
  <c r="E314" i="41" s="1"/>
  <c r="D314" i="37"/>
  <c r="D314" i="41" s="1"/>
  <c r="C314" i="37"/>
  <c r="C314" i="41" s="1"/>
  <c r="B314" i="37"/>
  <c r="B314" i="41" s="1"/>
  <c r="A314" i="37"/>
  <c r="A314" i="41" s="1"/>
  <c r="G313" i="37"/>
  <c r="G313" i="41" s="1"/>
  <c r="F313" i="37"/>
  <c r="F313" i="41" s="1"/>
  <c r="E313" i="37"/>
  <c r="E313" i="41" s="1"/>
  <c r="D313" i="37"/>
  <c r="D313" i="41" s="1"/>
  <c r="C313" i="37"/>
  <c r="C313" i="41" s="1"/>
  <c r="B313" i="37"/>
  <c r="B313" i="41" s="1"/>
  <c r="A313" i="37"/>
  <c r="A313" i="41" s="1"/>
  <c r="G312" i="37"/>
  <c r="G312" i="41" s="1"/>
  <c r="F312" i="37"/>
  <c r="F312" i="41" s="1"/>
  <c r="E312" i="37"/>
  <c r="E312" i="41" s="1"/>
  <c r="D312" i="37"/>
  <c r="D312" i="41" s="1"/>
  <c r="C312" i="37"/>
  <c r="C312" i="41" s="1"/>
  <c r="B312" i="37"/>
  <c r="B312" i="41" s="1"/>
  <c r="A312" i="37"/>
  <c r="A312" i="41" s="1"/>
  <c r="G311" i="37"/>
  <c r="G311" i="41" s="1"/>
  <c r="F311" i="37"/>
  <c r="F311" i="41" s="1"/>
  <c r="E311" i="37"/>
  <c r="E311" i="41" s="1"/>
  <c r="D311" i="37"/>
  <c r="D311" i="41" s="1"/>
  <c r="C311" i="37"/>
  <c r="C311" i="41" s="1"/>
  <c r="B311" i="37"/>
  <c r="B311" i="41" s="1"/>
  <c r="A311" i="37"/>
  <c r="A311" i="41" s="1"/>
  <c r="G310" i="37"/>
  <c r="G310" i="41" s="1"/>
  <c r="F310" i="37"/>
  <c r="F310" i="41" s="1"/>
  <c r="E310" i="37"/>
  <c r="E310" i="41" s="1"/>
  <c r="D310" i="37"/>
  <c r="D310" i="41" s="1"/>
  <c r="C310" i="37"/>
  <c r="C310" i="41" s="1"/>
  <c r="B310" i="37"/>
  <c r="B310" i="41" s="1"/>
  <c r="A310" i="37"/>
  <c r="A310" i="41" s="1"/>
  <c r="G309" i="37"/>
  <c r="G309" i="41" s="1"/>
  <c r="F309" i="37"/>
  <c r="F309" i="41" s="1"/>
  <c r="E309" i="37"/>
  <c r="E309" i="41" s="1"/>
  <c r="D309" i="37"/>
  <c r="D309" i="41" s="1"/>
  <c r="C309" i="37"/>
  <c r="C309" i="41" s="1"/>
  <c r="B309" i="37"/>
  <c r="B309" i="41" s="1"/>
  <c r="A309" i="37"/>
  <c r="A309" i="41" s="1"/>
  <c r="G308" i="37"/>
  <c r="G308" i="41" s="1"/>
  <c r="F308" i="37"/>
  <c r="F308" i="41" s="1"/>
  <c r="E308" i="37"/>
  <c r="E308" i="41" s="1"/>
  <c r="D308" i="37"/>
  <c r="D308" i="41" s="1"/>
  <c r="C308" i="37"/>
  <c r="C308" i="41" s="1"/>
  <c r="B308" i="37"/>
  <c r="B308" i="41" s="1"/>
  <c r="A308" i="37"/>
  <c r="A308" i="41" s="1"/>
  <c r="G307" i="37"/>
  <c r="G307" i="41" s="1"/>
  <c r="F307" i="37"/>
  <c r="F307" i="41" s="1"/>
  <c r="E307" i="37"/>
  <c r="E307" i="41" s="1"/>
  <c r="D307" i="37"/>
  <c r="D307" i="41" s="1"/>
  <c r="C307" i="37"/>
  <c r="C307" i="41" s="1"/>
  <c r="B307" i="37"/>
  <c r="B307" i="41" s="1"/>
  <c r="A307" i="37"/>
  <c r="A307" i="41" s="1"/>
  <c r="G306" i="37"/>
  <c r="G306" i="41" s="1"/>
  <c r="F306" i="37"/>
  <c r="F306" i="41" s="1"/>
  <c r="E306" i="37"/>
  <c r="E306" i="41" s="1"/>
  <c r="D306" i="37"/>
  <c r="D306" i="41" s="1"/>
  <c r="C306" i="37"/>
  <c r="C306" i="41" s="1"/>
  <c r="B306" i="37"/>
  <c r="B306" i="41" s="1"/>
  <c r="A306" i="37"/>
  <c r="A306" i="41" s="1"/>
  <c r="G305" i="37"/>
  <c r="G305" i="41" s="1"/>
  <c r="F305" i="37"/>
  <c r="F305" i="41" s="1"/>
  <c r="E305" i="37"/>
  <c r="E305" i="41" s="1"/>
  <c r="D305" i="37"/>
  <c r="D305" i="41" s="1"/>
  <c r="C305" i="37"/>
  <c r="C305" i="41" s="1"/>
  <c r="B305" i="37"/>
  <c r="B305" i="41" s="1"/>
  <c r="A305" i="37"/>
  <c r="A305" i="41" s="1"/>
  <c r="G304" i="37"/>
  <c r="G304" i="41" s="1"/>
  <c r="F304" i="37"/>
  <c r="F304" i="41" s="1"/>
  <c r="E304" i="37"/>
  <c r="E304" i="41" s="1"/>
  <c r="D304" i="37"/>
  <c r="D304" i="41" s="1"/>
  <c r="C304" i="37"/>
  <c r="C304" i="41" s="1"/>
  <c r="B304" i="37"/>
  <c r="B304" i="41" s="1"/>
  <c r="A304" i="37"/>
  <c r="A304" i="41" s="1"/>
  <c r="G303" i="37"/>
  <c r="G303" i="41" s="1"/>
  <c r="F303" i="37"/>
  <c r="F303" i="41" s="1"/>
  <c r="E303" i="37"/>
  <c r="E303" i="41" s="1"/>
  <c r="D303" i="37"/>
  <c r="D303" i="41" s="1"/>
  <c r="C303" i="37"/>
  <c r="C303" i="41" s="1"/>
  <c r="B303" i="37"/>
  <c r="B303" i="41" s="1"/>
  <c r="A303" i="37"/>
  <c r="A303" i="41" s="1"/>
  <c r="G302" i="37"/>
  <c r="G302" i="41" s="1"/>
  <c r="F302" i="37"/>
  <c r="F302" i="41" s="1"/>
  <c r="E302" i="37"/>
  <c r="E302" i="41" s="1"/>
  <c r="D302" i="37"/>
  <c r="D302" i="41" s="1"/>
  <c r="C302" i="37"/>
  <c r="C302" i="41" s="1"/>
  <c r="B302" i="37"/>
  <c r="B302" i="41" s="1"/>
  <c r="A302" i="37"/>
  <c r="A302" i="41" s="1"/>
  <c r="G301" i="37"/>
  <c r="G301" i="41" s="1"/>
  <c r="F301" i="37"/>
  <c r="F301" i="41" s="1"/>
  <c r="E301" i="37"/>
  <c r="E301" i="41" s="1"/>
  <c r="D301" i="37"/>
  <c r="D301" i="41" s="1"/>
  <c r="C301" i="37"/>
  <c r="C301" i="41" s="1"/>
  <c r="B301" i="37"/>
  <c r="B301" i="41" s="1"/>
  <c r="A301" i="37"/>
  <c r="A301" i="41" s="1"/>
  <c r="G300" i="37"/>
  <c r="G300" i="41" s="1"/>
  <c r="F300" i="37"/>
  <c r="F300" i="41" s="1"/>
  <c r="E300" i="37"/>
  <c r="E300" i="41" s="1"/>
  <c r="D300" i="37"/>
  <c r="D300" i="41" s="1"/>
  <c r="C300" i="37"/>
  <c r="C300" i="41" s="1"/>
  <c r="B300" i="37"/>
  <c r="B300" i="41" s="1"/>
  <c r="A300" i="37"/>
  <c r="A300" i="41" s="1"/>
  <c r="G299" i="37"/>
  <c r="G299" i="41" s="1"/>
  <c r="F299" i="37"/>
  <c r="F299" i="41" s="1"/>
  <c r="E299" i="37"/>
  <c r="E299" i="41" s="1"/>
  <c r="D299" i="37"/>
  <c r="D299" i="41" s="1"/>
  <c r="C299" i="37"/>
  <c r="C299" i="41" s="1"/>
  <c r="B299" i="37"/>
  <c r="B299" i="41" s="1"/>
  <c r="A299" i="37"/>
  <c r="A299" i="41" s="1"/>
  <c r="G298" i="37"/>
  <c r="G298" i="41" s="1"/>
  <c r="F298" i="37"/>
  <c r="F298" i="41" s="1"/>
  <c r="E298" i="37"/>
  <c r="E298" i="41" s="1"/>
  <c r="D298" i="37"/>
  <c r="D298" i="41" s="1"/>
  <c r="C298" i="37"/>
  <c r="C298" i="41" s="1"/>
  <c r="B298" i="37"/>
  <c r="B298" i="41" s="1"/>
  <c r="A298" i="37"/>
  <c r="A298" i="41" s="1"/>
  <c r="G297" i="37"/>
  <c r="G297" i="41" s="1"/>
  <c r="F297" i="37"/>
  <c r="F297" i="41" s="1"/>
  <c r="E297" i="37"/>
  <c r="E297" i="41" s="1"/>
  <c r="D297" i="37"/>
  <c r="D297" i="41" s="1"/>
  <c r="C297" i="37"/>
  <c r="C297" i="41" s="1"/>
  <c r="B297" i="37"/>
  <c r="B297" i="41" s="1"/>
  <c r="A297" i="37"/>
  <c r="A297" i="41" s="1"/>
  <c r="G296" i="37"/>
  <c r="G296" i="41" s="1"/>
  <c r="F296" i="37"/>
  <c r="F296" i="41" s="1"/>
  <c r="E296" i="37"/>
  <c r="E296" i="41" s="1"/>
  <c r="D296" i="37"/>
  <c r="D296" i="41" s="1"/>
  <c r="C296" i="37"/>
  <c r="C296" i="41" s="1"/>
  <c r="B296" i="37"/>
  <c r="B296" i="41" s="1"/>
  <c r="A296" i="37"/>
  <c r="A296" i="41" s="1"/>
  <c r="G295" i="37"/>
  <c r="G295" i="41" s="1"/>
  <c r="F295" i="37"/>
  <c r="F295" i="41" s="1"/>
  <c r="E295" i="37"/>
  <c r="E295" i="41" s="1"/>
  <c r="D295" i="37"/>
  <c r="D295" i="41" s="1"/>
  <c r="C295" i="37"/>
  <c r="C295" i="41" s="1"/>
  <c r="B295" i="37"/>
  <c r="B295" i="41" s="1"/>
  <c r="A295" i="37"/>
  <c r="A295" i="41" s="1"/>
  <c r="G294" i="37"/>
  <c r="G294" i="41" s="1"/>
  <c r="F294" i="37"/>
  <c r="F294" i="41" s="1"/>
  <c r="E294" i="37"/>
  <c r="E294" i="41" s="1"/>
  <c r="D294" i="37"/>
  <c r="D294" i="41" s="1"/>
  <c r="C294" i="37"/>
  <c r="C294" i="41" s="1"/>
  <c r="B294" i="37"/>
  <c r="B294" i="41" s="1"/>
  <c r="A294" i="37"/>
  <c r="A294" i="41" s="1"/>
  <c r="G293" i="37"/>
  <c r="G293" i="41" s="1"/>
  <c r="F293" i="37"/>
  <c r="F293" i="41" s="1"/>
  <c r="E293" i="37"/>
  <c r="E293" i="41" s="1"/>
  <c r="D293" i="37"/>
  <c r="D293" i="41" s="1"/>
  <c r="C293" i="37"/>
  <c r="C293" i="41" s="1"/>
  <c r="B293" i="37"/>
  <c r="B293" i="41" s="1"/>
  <c r="A293" i="37"/>
  <c r="A293" i="41" s="1"/>
  <c r="G292" i="37"/>
  <c r="G292" i="41" s="1"/>
  <c r="F292" i="37"/>
  <c r="F292" i="41" s="1"/>
  <c r="E292" i="37"/>
  <c r="E292" i="41" s="1"/>
  <c r="D292" i="37"/>
  <c r="D292" i="41" s="1"/>
  <c r="C292" i="37"/>
  <c r="C292" i="41" s="1"/>
  <c r="B292" i="37"/>
  <c r="B292" i="41" s="1"/>
  <c r="A292" i="37"/>
  <c r="A292" i="41" s="1"/>
  <c r="G291" i="37"/>
  <c r="G291" i="41" s="1"/>
  <c r="F291" i="37"/>
  <c r="F291" i="41" s="1"/>
  <c r="E291" i="37"/>
  <c r="E291" i="41" s="1"/>
  <c r="D291" i="37"/>
  <c r="D291" i="41" s="1"/>
  <c r="C291" i="37"/>
  <c r="C291" i="41" s="1"/>
  <c r="B291" i="37"/>
  <c r="B291" i="41" s="1"/>
  <c r="A291" i="37"/>
  <c r="A291" i="41" s="1"/>
  <c r="G290" i="37"/>
  <c r="G290" i="41" s="1"/>
  <c r="F290" i="37"/>
  <c r="F290" i="41" s="1"/>
  <c r="E290" i="37"/>
  <c r="E290" i="41" s="1"/>
  <c r="D290" i="37"/>
  <c r="D290" i="41" s="1"/>
  <c r="C290" i="37"/>
  <c r="C290" i="41" s="1"/>
  <c r="B290" i="37"/>
  <c r="B290" i="41" s="1"/>
  <c r="A290" i="37"/>
  <c r="A290" i="41" s="1"/>
  <c r="G289" i="37"/>
  <c r="G289" i="41" s="1"/>
  <c r="F289" i="37"/>
  <c r="F289" i="41" s="1"/>
  <c r="E289" i="37"/>
  <c r="E289" i="41" s="1"/>
  <c r="D289" i="37"/>
  <c r="D289" i="41" s="1"/>
  <c r="C289" i="37"/>
  <c r="C289" i="41" s="1"/>
  <c r="B289" i="37"/>
  <c r="B289" i="41" s="1"/>
  <c r="A289" i="37"/>
  <c r="A289" i="41" s="1"/>
  <c r="G288" i="37"/>
  <c r="G288" i="41" s="1"/>
  <c r="F288" i="37"/>
  <c r="F288" i="41" s="1"/>
  <c r="E288" i="37"/>
  <c r="E288" i="41" s="1"/>
  <c r="D288" i="37"/>
  <c r="D288" i="41" s="1"/>
  <c r="C288" i="37"/>
  <c r="C288" i="41" s="1"/>
  <c r="B288" i="37"/>
  <c r="B288" i="41" s="1"/>
  <c r="A288" i="37"/>
  <c r="A288" i="41" s="1"/>
  <c r="G287" i="37"/>
  <c r="G287" i="41" s="1"/>
  <c r="F287" i="37"/>
  <c r="F287" i="41" s="1"/>
  <c r="E287" i="37"/>
  <c r="E287" i="41" s="1"/>
  <c r="D287" i="37"/>
  <c r="D287" i="41" s="1"/>
  <c r="C287" i="37"/>
  <c r="C287" i="41" s="1"/>
  <c r="B287" i="37"/>
  <c r="B287" i="41" s="1"/>
  <c r="A287" i="37"/>
  <c r="A287" i="41" s="1"/>
  <c r="G286" i="37"/>
  <c r="G286" i="41" s="1"/>
  <c r="F286" i="37"/>
  <c r="F286" i="41" s="1"/>
  <c r="E286" i="37"/>
  <c r="E286" i="41" s="1"/>
  <c r="D286" i="37"/>
  <c r="D286" i="41" s="1"/>
  <c r="C286" i="37"/>
  <c r="C286" i="41" s="1"/>
  <c r="B286" i="37"/>
  <c r="B286" i="41" s="1"/>
  <c r="A286" i="37"/>
  <c r="A286" i="41" s="1"/>
  <c r="G285" i="37"/>
  <c r="G285" i="41" s="1"/>
  <c r="F285" i="37"/>
  <c r="F285" i="41" s="1"/>
  <c r="E285" i="37"/>
  <c r="E285" i="41" s="1"/>
  <c r="D285" i="37"/>
  <c r="D285" i="41" s="1"/>
  <c r="C285" i="37"/>
  <c r="C285" i="41" s="1"/>
  <c r="B285" i="37"/>
  <c r="B285" i="41" s="1"/>
  <c r="A285" i="37"/>
  <c r="A285" i="41" s="1"/>
  <c r="G284" i="37"/>
  <c r="G284" i="41" s="1"/>
  <c r="F284" i="37"/>
  <c r="F284" i="41" s="1"/>
  <c r="E284" i="37"/>
  <c r="E284" i="41" s="1"/>
  <c r="D284" i="37"/>
  <c r="D284" i="41" s="1"/>
  <c r="C284" i="37"/>
  <c r="C284" i="41" s="1"/>
  <c r="B284" i="37"/>
  <c r="B284" i="41" s="1"/>
  <c r="A284" i="37"/>
  <c r="A284" i="41" s="1"/>
  <c r="G283" i="37"/>
  <c r="G283" i="41" s="1"/>
  <c r="F283" i="37"/>
  <c r="F283" i="41" s="1"/>
  <c r="E283" i="37"/>
  <c r="E283" i="41" s="1"/>
  <c r="D283" i="37"/>
  <c r="D283" i="41" s="1"/>
  <c r="C283" i="37"/>
  <c r="C283" i="41" s="1"/>
  <c r="B283" i="37"/>
  <c r="B283" i="41" s="1"/>
  <c r="A283" i="37"/>
  <c r="A283" i="41" s="1"/>
  <c r="G282" i="37"/>
  <c r="G282" i="41" s="1"/>
  <c r="F282" i="37"/>
  <c r="F282" i="41" s="1"/>
  <c r="E282" i="37"/>
  <c r="E282" i="41" s="1"/>
  <c r="D282" i="37"/>
  <c r="D282" i="41" s="1"/>
  <c r="C282" i="37"/>
  <c r="C282" i="41" s="1"/>
  <c r="B282" i="37"/>
  <c r="B282" i="41" s="1"/>
  <c r="A282" i="37"/>
  <c r="A282" i="41" s="1"/>
  <c r="G281" i="37"/>
  <c r="G281" i="41" s="1"/>
  <c r="F281" i="37"/>
  <c r="F281" i="41" s="1"/>
  <c r="E281" i="37"/>
  <c r="E281" i="41" s="1"/>
  <c r="D281" i="37"/>
  <c r="D281" i="41" s="1"/>
  <c r="C281" i="37"/>
  <c r="C281" i="41" s="1"/>
  <c r="B281" i="37"/>
  <c r="B281" i="41" s="1"/>
  <c r="A281" i="37"/>
  <c r="A281" i="41" s="1"/>
  <c r="G280" i="37"/>
  <c r="G280" i="41" s="1"/>
  <c r="F280" i="37"/>
  <c r="F280" i="41" s="1"/>
  <c r="E280" i="37"/>
  <c r="E280" i="41" s="1"/>
  <c r="D280" i="37"/>
  <c r="D280" i="41" s="1"/>
  <c r="C280" i="37"/>
  <c r="C280" i="41" s="1"/>
  <c r="B280" i="37"/>
  <c r="B280" i="41" s="1"/>
  <c r="A280" i="37"/>
  <c r="A280" i="41" s="1"/>
  <c r="G279" i="37"/>
  <c r="G279" i="41" s="1"/>
  <c r="F279" i="37"/>
  <c r="F279" i="41" s="1"/>
  <c r="E279" i="37"/>
  <c r="E279" i="41" s="1"/>
  <c r="D279" i="37"/>
  <c r="D279" i="41" s="1"/>
  <c r="C279" i="37"/>
  <c r="C279" i="41" s="1"/>
  <c r="B279" i="37"/>
  <c r="B279" i="41" s="1"/>
  <c r="A279" i="37"/>
  <c r="A279" i="41" s="1"/>
  <c r="G278" i="37"/>
  <c r="G278" i="41" s="1"/>
  <c r="F278" i="37"/>
  <c r="F278" i="41" s="1"/>
  <c r="E278" i="37"/>
  <c r="E278" i="41" s="1"/>
  <c r="D278" i="37"/>
  <c r="D278" i="41" s="1"/>
  <c r="C278" i="37"/>
  <c r="C278" i="41" s="1"/>
  <c r="B278" i="37"/>
  <c r="B278" i="41" s="1"/>
  <c r="A278" i="37"/>
  <c r="A278" i="41" s="1"/>
  <c r="G277" i="37"/>
  <c r="G277" i="41" s="1"/>
  <c r="F277" i="37"/>
  <c r="F277" i="41" s="1"/>
  <c r="E277" i="37"/>
  <c r="E277" i="41" s="1"/>
  <c r="D277" i="37"/>
  <c r="D277" i="41" s="1"/>
  <c r="C277" i="37"/>
  <c r="C277" i="41" s="1"/>
  <c r="B277" i="37"/>
  <c r="B277" i="41" s="1"/>
  <c r="A277" i="37"/>
  <c r="A277" i="41" s="1"/>
  <c r="G276" i="37"/>
  <c r="G276" i="41" s="1"/>
  <c r="F276" i="37"/>
  <c r="F276" i="41" s="1"/>
  <c r="E276" i="37"/>
  <c r="E276" i="41" s="1"/>
  <c r="D276" i="37"/>
  <c r="D276" i="41" s="1"/>
  <c r="C276" i="37"/>
  <c r="C276" i="41" s="1"/>
  <c r="B276" i="37"/>
  <c r="B276" i="41" s="1"/>
  <c r="A276" i="37"/>
  <c r="A276" i="41" s="1"/>
  <c r="G275" i="37"/>
  <c r="G275" i="41" s="1"/>
  <c r="F275" i="37"/>
  <c r="F275" i="41" s="1"/>
  <c r="E275" i="37"/>
  <c r="E275" i="41" s="1"/>
  <c r="D275" i="37"/>
  <c r="D275" i="41" s="1"/>
  <c r="C275" i="37"/>
  <c r="C275" i="41" s="1"/>
  <c r="B275" i="37"/>
  <c r="B275" i="41" s="1"/>
  <c r="A275" i="37"/>
  <c r="A275" i="41" s="1"/>
  <c r="G274" i="37"/>
  <c r="G274" i="41" s="1"/>
  <c r="F274" i="37"/>
  <c r="F274" i="41" s="1"/>
  <c r="E274" i="37"/>
  <c r="E274" i="41" s="1"/>
  <c r="D274" i="37"/>
  <c r="D274" i="41" s="1"/>
  <c r="C274" i="37"/>
  <c r="C274" i="41" s="1"/>
  <c r="B274" i="37"/>
  <c r="B274" i="41" s="1"/>
  <c r="A274" i="37"/>
  <c r="A274" i="41" s="1"/>
  <c r="G273" i="37"/>
  <c r="G273" i="41" s="1"/>
  <c r="F273" i="37"/>
  <c r="F273" i="41" s="1"/>
  <c r="E273" i="37"/>
  <c r="E273" i="41" s="1"/>
  <c r="D273" i="37"/>
  <c r="D273" i="41" s="1"/>
  <c r="C273" i="37"/>
  <c r="C273" i="41" s="1"/>
  <c r="B273" i="37"/>
  <c r="B273" i="41" s="1"/>
  <c r="A273" i="37"/>
  <c r="A273" i="41" s="1"/>
  <c r="G272" i="37"/>
  <c r="G272" i="41" s="1"/>
  <c r="F272" i="37"/>
  <c r="F272" i="41" s="1"/>
  <c r="E272" i="37"/>
  <c r="E272" i="41" s="1"/>
  <c r="D272" i="37"/>
  <c r="D272" i="41" s="1"/>
  <c r="C272" i="37"/>
  <c r="C272" i="41" s="1"/>
  <c r="B272" i="37"/>
  <c r="B272" i="41" s="1"/>
  <c r="A272" i="37"/>
  <c r="A272" i="41" s="1"/>
  <c r="G271" i="37"/>
  <c r="G271" i="41" s="1"/>
  <c r="F271" i="37"/>
  <c r="F271" i="41" s="1"/>
  <c r="E271" i="37"/>
  <c r="E271" i="41" s="1"/>
  <c r="D271" i="37"/>
  <c r="D271" i="41" s="1"/>
  <c r="C271" i="37"/>
  <c r="C271" i="41" s="1"/>
  <c r="B271" i="37"/>
  <c r="B271" i="41" s="1"/>
  <c r="A271" i="37"/>
  <c r="A271" i="41" s="1"/>
  <c r="G270" i="37"/>
  <c r="G270" i="41" s="1"/>
  <c r="F270" i="37"/>
  <c r="F270" i="41" s="1"/>
  <c r="E270" i="37"/>
  <c r="E270" i="41" s="1"/>
  <c r="D270" i="37"/>
  <c r="D270" i="41" s="1"/>
  <c r="C270" i="37"/>
  <c r="C270" i="41" s="1"/>
  <c r="B270" i="37"/>
  <c r="B270" i="41" s="1"/>
  <c r="A270" i="37"/>
  <c r="A270" i="41" s="1"/>
  <c r="G269" i="37"/>
  <c r="G269" i="41" s="1"/>
  <c r="F269" i="37"/>
  <c r="F269" i="41" s="1"/>
  <c r="E269" i="37"/>
  <c r="E269" i="41" s="1"/>
  <c r="D269" i="37"/>
  <c r="D269" i="41" s="1"/>
  <c r="C269" i="37"/>
  <c r="C269" i="41" s="1"/>
  <c r="B269" i="37"/>
  <c r="B269" i="41" s="1"/>
  <c r="A269" i="37"/>
  <c r="A269" i="41" s="1"/>
  <c r="G268" i="37"/>
  <c r="G268" i="41" s="1"/>
  <c r="F268" i="37"/>
  <c r="F268" i="41" s="1"/>
  <c r="E268" i="37"/>
  <c r="E268" i="41" s="1"/>
  <c r="D268" i="37"/>
  <c r="D268" i="41" s="1"/>
  <c r="C268" i="37"/>
  <c r="C268" i="41" s="1"/>
  <c r="B268" i="37"/>
  <c r="B268" i="41" s="1"/>
  <c r="A268" i="37"/>
  <c r="A268" i="41" s="1"/>
  <c r="G267" i="37"/>
  <c r="G267" i="41" s="1"/>
  <c r="F267" i="37"/>
  <c r="F267" i="41" s="1"/>
  <c r="E267" i="37"/>
  <c r="E267" i="41" s="1"/>
  <c r="D267" i="37"/>
  <c r="D267" i="41" s="1"/>
  <c r="C267" i="37"/>
  <c r="C267" i="41" s="1"/>
  <c r="B267" i="37"/>
  <c r="B267" i="41" s="1"/>
  <c r="A267" i="37"/>
  <c r="A267" i="41" s="1"/>
  <c r="G266" i="37"/>
  <c r="G266" i="41" s="1"/>
  <c r="F266" i="37"/>
  <c r="F266" i="41" s="1"/>
  <c r="E266" i="37"/>
  <c r="E266" i="41" s="1"/>
  <c r="D266" i="37"/>
  <c r="D266" i="41" s="1"/>
  <c r="C266" i="37"/>
  <c r="C266" i="41" s="1"/>
  <c r="B266" i="37"/>
  <c r="B266" i="41" s="1"/>
  <c r="A266" i="37"/>
  <c r="A266" i="41" s="1"/>
  <c r="G265" i="37"/>
  <c r="G265" i="41" s="1"/>
  <c r="F265" i="37"/>
  <c r="F265" i="41" s="1"/>
  <c r="E265" i="37"/>
  <c r="E265" i="41" s="1"/>
  <c r="D265" i="37"/>
  <c r="D265" i="41" s="1"/>
  <c r="C265" i="37"/>
  <c r="C265" i="41" s="1"/>
  <c r="B265" i="37"/>
  <c r="B265" i="41" s="1"/>
  <c r="A265" i="37"/>
  <c r="A265" i="41" s="1"/>
  <c r="G264" i="37"/>
  <c r="G264" i="41" s="1"/>
  <c r="F264" i="37"/>
  <c r="F264" i="41" s="1"/>
  <c r="E264" i="37"/>
  <c r="E264" i="41" s="1"/>
  <c r="D264" i="37"/>
  <c r="D264" i="41" s="1"/>
  <c r="C264" i="37"/>
  <c r="C264" i="41" s="1"/>
  <c r="B264" i="37"/>
  <c r="B264" i="41" s="1"/>
  <c r="A264" i="37"/>
  <c r="A264" i="41" s="1"/>
  <c r="G263" i="37"/>
  <c r="G263" i="41" s="1"/>
  <c r="F263" i="37"/>
  <c r="F263" i="41" s="1"/>
  <c r="E263" i="37"/>
  <c r="E263" i="41" s="1"/>
  <c r="D263" i="37"/>
  <c r="D263" i="41" s="1"/>
  <c r="C263" i="37"/>
  <c r="C263" i="41" s="1"/>
  <c r="B263" i="37"/>
  <c r="B263" i="41" s="1"/>
  <c r="A263" i="37"/>
  <c r="A263" i="41" s="1"/>
  <c r="G262" i="37"/>
  <c r="G262" i="41" s="1"/>
  <c r="F262" i="37"/>
  <c r="F262" i="41" s="1"/>
  <c r="E262" i="37"/>
  <c r="E262" i="41" s="1"/>
  <c r="D262" i="37"/>
  <c r="D262" i="41" s="1"/>
  <c r="C262" i="37"/>
  <c r="C262" i="41" s="1"/>
  <c r="B262" i="37"/>
  <c r="B262" i="41" s="1"/>
  <c r="A262" i="37"/>
  <c r="A262" i="41" s="1"/>
  <c r="G261" i="37"/>
  <c r="G261" i="41" s="1"/>
  <c r="F261" i="37"/>
  <c r="F261" i="41" s="1"/>
  <c r="E261" i="37"/>
  <c r="E261" i="41" s="1"/>
  <c r="D261" i="37"/>
  <c r="D261" i="41" s="1"/>
  <c r="C261" i="37"/>
  <c r="C261" i="41" s="1"/>
  <c r="B261" i="37"/>
  <c r="B261" i="41" s="1"/>
  <c r="A261" i="37"/>
  <c r="A261" i="41" s="1"/>
  <c r="G260" i="37"/>
  <c r="G260" i="41" s="1"/>
  <c r="F260" i="37"/>
  <c r="F260" i="41" s="1"/>
  <c r="E260" i="37"/>
  <c r="E260" i="41" s="1"/>
  <c r="D260" i="37"/>
  <c r="D260" i="41" s="1"/>
  <c r="C260" i="37"/>
  <c r="C260" i="41" s="1"/>
  <c r="B260" i="37"/>
  <c r="B260" i="41" s="1"/>
  <c r="A260" i="37"/>
  <c r="A260" i="41" s="1"/>
  <c r="G259" i="37"/>
  <c r="G259" i="41" s="1"/>
  <c r="F259" i="37"/>
  <c r="F259" i="41" s="1"/>
  <c r="E259" i="37"/>
  <c r="E259" i="41" s="1"/>
  <c r="D259" i="37"/>
  <c r="D259" i="41" s="1"/>
  <c r="C259" i="37"/>
  <c r="C259" i="41" s="1"/>
  <c r="B259" i="37"/>
  <c r="B259" i="41" s="1"/>
  <c r="A259" i="37"/>
  <c r="A259" i="41" s="1"/>
  <c r="G258" i="37"/>
  <c r="G258" i="41" s="1"/>
  <c r="F258" i="37"/>
  <c r="F258" i="41" s="1"/>
  <c r="E258" i="37"/>
  <c r="E258" i="41" s="1"/>
  <c r="D258" i="37"/>
  <c r="D258" i="41" s="1"/>
  <c r="C258" i="37"/>
  <c r="C258" i="41" s="1"/>
  <c r="B258" i="37"/>
  <c r="B258" i="41" s="1"/>
  <c r="A258" i="37"/>
  <c r="A258" i="41" s="1"/>
  <c r="G257" i="37"/>
  <c r="G257" i="41" s="1"/>
  <c r="F257" i="37"/>
  <c r="F257" i="41" s="1"/>
  <c r="E257" i="37"/>
  <c r="E257" i="41" s="1"/>
  <c r="D257" i="37"/>
  <c r="D257" i="41" s="1"/>
  <c r="C257" i="37"/>
  <c r="C257" i="41" s="1"/>
  <c r="B257" i="37"/>
  <c r="B257" i="41" s="1"/>
  <c r="A257" i="37"/>
  <c r="A257" i="41" s="1"/>
  <c r="G256" i="37"/>
  <c r="G256" i="41" s="1"/>
  <c r="F256" i="37"/>
  <c r="F256" i="41" s="1"/>
  <c r="E256" i="37"/>
  <c r="E256" i="41" s="1"/>
  <c r="D256" i="37"/>
  <c r="D256" i="41" s="1"/>
  <c r="C256" i="37"/>
  <c r="C256" i="41" s="1"/>
  <c r="B256" i="37"/>
  <c r="B256" i="41" s="1"/>
  <c r="A256" i="37"/>
  <c r="A256" i="41" s="1"/>
  <c r="G255" i="37"/>
  <c r="G255" i="41" s="1"/>
  <c r="F255" i="37"/>
  <c r="F255" i="41" s="1"/>
  <c r="E255" i="37"/>
  <c r="E255" i="41" s="1"/>
  <c r="D255" i="37"/>
  <c r="D255" i="41" s="1"/>
  <c r="C255" i="37"/>
  <c r="C255" i="41" s="1"/>
  <c r="B255" i="37"/>
  <c r="B255" i="41" s="1"/>
  <c r="A255" i="37"/>
  <c r="A255" i="41" s="1"/>
  <c r="G254" i="37"/>
  <c r="G254" i="41" s="1"/>
  <c r="F254" i="37"/>
  <c r="F254" i="41" s="1"/>
  <c r="E254" i="37"/>
  <c r="E254" i="41" s="1"/>
  <c r="D254" i="37"/>
  <c r="D254" i="41" s="1"/>
  <c r="C254" i="37"/>
  <c r="C254" i="41" s="1"/>
  <c r="B254" i="37"/>
  <c r="B254" i="41" s="1"/>
  <c r="A254" i="37"/>
  <c r="A254" i="41" s="1"/>
  <c r="G253" i="37"/>
  <c r="G253" i="41" s="1"/>
  <c r="F253" i="37"/>
  <c r="F253" i="41" s="1"/>
  <c r="E253" i="37"/>
  <c r="E253" i="41" s="1"/>
  <c r="D253" i="37"/>
  <c r="D253" i="41" s="1"/>
  <c r="C253" i="37"/>
  <c r="C253" i="41" s="1"/>
  <c r="B253" i="37"/>
  <c r="B253" i="41" s="1"/>
  <c r="A253" i="37"/>
  <c r="A253" i="41" s="1"/>
  <c r="G252" i="37"/>
  <c r="G252" i="41" s="1"/>
  <c r="F252" i="37"/>
  <c r="F252" i="41" s="1"/>
  <c r="E252" i="37"/>
  <c r="E252" i="41" s="1"/>
  <c r="D252" i="37"/>
  <c r="D252" i="41" s="1"/>
  <c r="C252" i="37"/>
  <c r="C252" i="41" s="1"/>
  <c r="B252" i="37"/>
  <c r="B252" i="41" s="1"/>
  <c r="A252" i="37"/>
  <c r="A252" i="41" s="1"/>
  <c r="G251" i="37"/>
  <c r="G251" i="41" s="1"/>
  <c r="F251" i="37"/>
  <c r="F251" i="41" s="1"/>
  <c r="E251" i="37"/>
  <c r="E251" i="41" s="1"/>
  <c r="D251" i="37"/>
  <c r="D251" i="41" s="1"/>
  <c r="C251" i="37"/>
  <c r="C251" i="41" s="1"/>
  <c r="B251" i="37"/>
  <c r="B251" i="41" s="1"/>
  <c r="A251" i="37"/>
  <c r="A251" i="41" s="1"/>
  <c r="G250" i="37"/>
  <c r="G250" i="41" s="1"/>
  <c r="F250" i="37"/>
  <c r="F250" i="41" s="1"/>
  <c r="E250" i="37"/>
  <c r="E250" i="41" s="1"/>
  <c r="D250" i="37"/>
  <c r="D250" i="41" s="1"/>
  <c r="C250" i="37"/>
  <c r="C250" i="41" s="1"/>
  <c r="B250" i="37"/>
  <c r="B250" i="41" s="1"/>
  <c r="A250" i="37"/>
  <c r="A250" i="41" s="1"/>
  <c r="G249" i="37"/>
  <c r="G249" i="41" s="1"/>
  <c r="F249" i="37"/>
  <c r="F249" i="41" s="1"/>
  <c r="E249" i="37"/>
  <c r="E249" i="41" s="1"/>
  <c r="D249" i="37"/>
  <c r="D249" i="41" s="1"/>
  <c r="C249" i="37"/>
  <c r="C249" i="41" s="1"/>
  <c r="B249" i="37"/>
  <c r="B249" i="41" s="1"/>
  <c r="A249" i="37"/>
  <c r="A249" i="41" s="1"/>
  <c r="G248" i="37"/>
  <c r="G248" i="41" s="1"/>
  <c r="F248" i="37"/>
  <c r="F248" i="41" s="1"/>
  <c r="E248" i="37"/>
  <c r="E248" i="41" s="1"/>
  <c r="D248" i="37"/>
  <c r="D248" i="41" s="1"/>
  <c r="C248" i="37"/>
  <c r="C248" i="41" s="1"/>
  <c r="B248" i="37"/>
  <c r="B248" i="41" s="1"/>
  <c r="A248" i="37"/>
  <c r="A248" i="41" s="1"/>
  <c r="G247" i="37"/>
  <c r="G247" i="41" s="1"/>
  <c r="F247" i="37"/>
  <c r="F247" i="41" s="1"/>
  <c r="E247" i="37"/>
  <c r="E247" i="41" s="1"/>
  <c r="D247" i="37"/>
  <c r="D247" i="41" s="1"/>
  <c r="C247" i="37"/>
  <c r="C247" i="41" s="1"/>
  <c r="B247" i="37"/>
  <c r="B247" i="41" s="1"/>
  <c r="A247" i="37"/>
  <c r="A247" i="41" s="1"/>
  <c r="G246" i="37"/>
  <c r="G246" i="41" s="1"/>
  <c r="F246" i="37"/>
  <c r="F246" i="41" s="1"/>
  <c r="E246" i="37"/>
  <c r="E246" i="41" s="1"/>
  <c r="D246" i="37"/>
  <c r="D246" i="41" s="1"/>
  <c r="C246" i="37"/>
  <c r="C246" i="41" s="1"/>
  <c r="B246" i="37"/>
  <c r="B246" i="41" s="1"/>
  <c r="A246" i="37"/>
  <c r="A246" i="41" s="1"/>
  <c r="G245" i="37"/>
  <c r="G245" i="41" s="1"/>
  <c r="F245" i="37"/>
  <c r="F245" i="41" s="1"/>
  <c r="E245" i="37"/>
  <c r="E245" i="41" s="1"/>
  <c r="D245" i="37"/>
  <c r="D245" i="41" s="1"/>
  <c r="C245" i="37"/>
  <c r="C245" i="41" s="1"/>
  <c r="B245" i="37"/>
  <c r="B245" i="41" s="1"/>
  <c r="A245" i="37"/>
  <c r="A245" i="41" s="1"/>
  <c r="G244" i="37"/>
  <c r="G244" i="41" s="1"/>
  <c r="F244" i="37"/>
  <c r="F244" i="41" s="1"/>
  <c r="E244" i="37"/>
  <c r="E244" i="41" s="1"/>
  <c r="D244" i="37"/>
  <c r="D244" i="41" s="1"/>
  <c r="C244" i="37"/>
  <c r="C244" i="41" s="1"/>
  <c r="B244" i="37"/>
  <c r="B244" i="41" s="1"/>
  <c r="A244" i="37"/>
  <c r="A244" i="41" s="1"/>
  <c r="G243" i="37"/>
  <c r="G243" i="41" s="1"/>
  <c r="F243" i="37"/>
  <c r="F243" i="41" s="1"/>
  <c r="E243" i="37"/>
  <c r="E243" i="41" s="1"/>
  <c r="D243" i="37"/>
  <c r="D243" i="41" s="1"/>
  <c r="C243" i="37"/>
  <c r="C243" i="41" s="1"/>
  <c r="B243" i="37"/>
  <c r="B243" i="41" s="1"/>
  <c r="A243" i="37"/>
  <c r="A243" i="41" s="1"/>
  <c r="G242" i="37"/>
  <c r="G242" i="41" s="1"/>
  <c r="F242" i="37"/>
  <c r="F242" i="41" s="1"/>
  <c r="E242" i="37"/>
  <c r="E242" i="41" s="1"/>
  <c r="D242" i="37"/>
  <c r="D242" i="41" s="1"/>
  <c r="C242" i="37"/>
  <c r="C242" i="41" s="1"/>
  <c r="B242" i="37"/>
  <c r="B242" i="41" s="1"/>
  <c r="A242" i="37"/>
  <c r="A242" i="41" s="1"/>
  <c r="G241" i="37"/>
  <c r="G241" i="41" s="1"/>
  <c r="F241" i="37"/>
  <c r="F241" i="41" s="1"/>
  <c r="E241" i="37"/>
  <c r="E241" i="41" s="1"/>
  <c r="D241" i="37"/>
  <c r="D241" i="41" s="1"/>
  <c r="C241" i="37"/>
  <c r="C241" i="41" s="1"/>
  <c r="B241" i="37"/>
  <c r="B241" i="41" s="1"/>
  <c r="A241" i="37"/>
  <c r="A241" i="41" s="1"/>
  <c r="G240" i="37"/>
  <c r="G240" i="41" s="1"/>
  <c r="F240" i="37"/>
  <c r="F240" i="41" s="1"/>
  <c r="E240" i="37"/>
  <c r="E240" i="41" s="1"/>
  <c r="D240" i="37"/>
  <c r="D240" i="41" s="1"/>
  <c r="C240" i="37"/>
  <c r="C240" i="41" s="1"/>
  <c r="B240" i="37"/>
  <c r="B240" i="41" s="1"/>
  <c r="A240" i="37"/>
  <c r="A240" i="41" s="1"/>
  <c r="G239" i="37"/>
  <c r="G239" i="41" s="1"/>
  <c r="F239" i="37"/>
  <c r="F239" i="41" s="1"/>
  <c r="E239" i="37"/>
  <c r="E239" i="41" s="1"/>
  <c r="D239" i="37"/>
  <c r="D239" i="41" s="1"/>
  <c r="C239" i="37"/>
  <c r="C239" i="41" s="1"/>
  <c r="B239" i="37"/>
  <c r="B239" i="41" s="1"/>
  <c r="A239" i="37"/>
  <c r="A239" i="41" s="1"/>
  <c r="G238" i="37"/>
  <c r="G238" i="41" s="1"/>
  <c r="F238" i="37"/>
  <c r="F238" i="41" s="1"/>
  <c r="E238" i="37"/>
  <c r="E238" i="41" s="1"/>
  <c r="D238" i="37"/>
  <c r="D238" i="41" s="1"/>
  <c r="C238" i="37"/>
  <c r="C238" i="41" s="1"/>
  <c r="B238" i="37"/>
  <c r="B238" i="41" s="1"/>
  <c r="A238" i="37"/>
  <c r="A238" i="41" s="1"/>
  <c r="G237" i="37"/>
  <c r="G237" i="41" s="1"/>
  <c r="F237" i="37"/>
  <c r="F237" i="41" s="1"/>
  <c r="E237" i="37"/>
  <c r="E237" i="41" s="1"/>
  <c r="D237" i="37"/>
  <c r="D237" i="41" s="1"/>
  <c r="C237" i="37"/>
  <c r="C237" i="41" s="1"/>
  <c r="B237" i="37"/>
  <c r="B237" i="41" s="1"/>
  <c r="A237" i="37"/>
  <c r="A237" i="41" s="1"/>
  <c r="G236" i="37"/>
  <c r="G236" i="41" s="1"/>
  <c r="F236" i="37"/>
  <c r="F236" i="41" s="1"/>
  <c r="E236" i="37"/>
  <c r="E236" i="41" s="1"/>
  <c r="D236" i="37"/>
  <c r="D236" i="41" s="1"/>
  <c r="C236" i="37"/>
  <c r="C236" i="41" s="1"/>
  <c r="B236" i="37"/>
  <c r="B236" i="41" s="1"/>
  <c r="A236" i="37"/>
  <c r="A236" i="41" s="1"/>
  <c r="G235" i="37"/>
  <c r="G235" i="41" s="1"/>
  <c r="F235" i="37"/>
  <c r="F235" i="41" s="1"/>
  <c r="E235" i="37"/>
  <c r="E235" i="41" s="1"/>
  <c r="D235" i="37"/>
  <c r="D235" i="41" s="1"/>
  <c r="C235" i="37"/>
  <c r="C235" i="41" s="1"/>
  <c r="B235" i="37"/>
  <c r="B235" i="41" s="1"/>
  <c r="A235" i="37"/>
  <c r="A235" i="41" s="1"/>
  <c r="G234" i="37"/>
  <c r="G234" i="41" s="1"/>
  <c r="F234" i="37"/>
  <c r="F234" i="41" s="1"/>
  <c r="E234" i="37"/>
  <c r="E234" i="41" s="1"/>
  <c r="D234" i="37"/>
  <c r="D234" i="41" s="1"/>
  <c r="C234" i="37"/>
  <c r="C234" i="41" s="1"/>
  <c r="B234" i="37"/>
  <c r="B234" i="41" s="1"/>
  <c r="A234" i="37"/>
  <c r="A234" i="41" s="1"/>
  <c r="G233" i="37"/>
  <c r="G233" i="41" s="1"/>
  <c r="F233" i="37"/>
  <c r="F233" i="41" s="1"/>
  <c r="E233" i="37"/>
  <c r="E233" i="41" s="1"/>
  <c r="D233" i="37"/>
  <c r="D233" i="41" s="1"/>
  <c r="C233" i="37"/>
  <c r="C233" i="41" s="1"/>
  <c r="B233" i="37"/>
  <c r="B233" i="41" s="1"/>
  <c r="A233" i="37"/>
  <c r="A233" i="41" s="1"/>
  <c r="G232" i="37"/>
  <c r="G232" i="41" s="1"/>
  <c r="F232" i="37"/>
  <c r="F232" i="41" s="1"/>
  <c r="E232" i="37"/>
  <c r="E232" i="41" s="1"/>
  <c r="D232" i="37"/>
  <c r="D232" i="41" s="1"/>
  <c r="C232" i="37"/>
  <c r="C232" i="41" s="1"/>
  <c r="B232" i="37"/>
  <c r="B232" i="41" s="1"/>
  <c r="A232" i="37"/>
  <c r="A232" i="41" s="1"/>
  <c r="G231" i="37"/>
  <c r="G231" i="41" s="1"/>
  <c r="F231" i="37"/>
  <c r="F231" i="41" s="1"/>
  <c r="E231" i="37"/>
  <c r="E231" i="41" s="1"/>
  <c r="D231" i="37"/>
  <c r="D231" i="41" s="1"/>
  <c r="C231" i="37"/>
  <c r="C231" i="41" s="1"/>
  <c r="B231" i="37"/>
  <c r="B231" i="41" s="1"/>
  <c r="A231" i="37"/>
  <c r="A231" i="41" s="1"/>
  <c r="G230" i="37"/>
  <c r="G230" i="41" s="1"/>
  <c r="F230" i="37"/>
  <c r="F230" i="41" s="1"/>
  <c r="E230" i="37"/>
  <c r="E230" i="41" s="1"/>
  <c r="D230" i="37"/>
  <c r="D230" i="41" s="1"/>
  <c r="C230" i="37"/>
  <c r="C230" i="41" s="1"/>
  <c r="B230" i="37"/>
  <c r="B230" i="41" s="1"/>
  <c r="A230" i="37"/>
  <c r="A230" i="41" s="1"/>
  <c r="G229" i="37"/>
  <c r="G229" i="41" s="1"/>
  <c r="F229" i="37"/>
  <c r="F229" i="41" s="1"/>
  <c r="E229" i="37"/>
  <c r="E229" i="41" s="1"/>
  <c r="D229" i="37"/>
  <c r="D229" i="41" s="1"/>
  <c r="C229" i="37"/>
  <c r="C229" i="41" s="1"/>
  <c r="B229" i="37"/>
  <c r="B229" i="41" s="1"/>
  <c r="A229" i="37"/>
  <c r="A229" i="41" s="1"/>
  <c r="G228" i="37"/>
  <c r="G228" i="41" s="1"/>
  <c r="F228" i="37"/>
  <c r="F228" i="41" s="1"/>
  <c r="E228" i="37"/>
  <c r="E228" i="41" s="1"/>
  <c r="D228" i="37"/>
  <c r="D228" i="41" s="1"/>
  <c r="C228" i="37"/>
  <c r="C228" i="41" s="1"/>
  <c r="B228" i="37"/>
  <c r="B228" i="41" s="1"/>
  <c r="A228" i="37"/>
  <c r="A228" i="41" s="1"/>
  <c r="G227" i="37"/>
  <c r="G227" i="41" s="1"/>
  <c r="F227" i="37"/>
  <c r="F227" i="41" s="1"/>
  <c r="E227" i="37"/>
  <c r="E227" i="41" s="1"/>
  <c r="D227" i="37"/>
  <c r="D227" i="41" s="1"/>
  <c r="C227" i="37"/>
  <c r="C227" i="41" s="1"/>
  <c r="B227" i="37"/>
  <c r="B227" i="41" s="1"/>
  <c r="A227" i="37"/>
  <c r="A227" i="41" s="1"/>
  <c r="G226" i="37"/>
  <c r="G226" i="41" s="1"/>
  <c r="F226" i="37"/>
  <c r="F226" i="41" s="1"/>
  <c r="E226" i="37"/>
  <c r="E226" i="41" s="1"/>
  <c r="D226" i="37"/>
  <c r="D226" i="41" s="1"/>
  <c r="C226" i="37"/>
  <c r="C226" i="41" s="1"/>
  <c r="B226" i="37"/>
  <c r="B226" i="41" s="1"/>
  <c r="A226" i="37"/>
  <c r="A226" i="41" s="1"/>
  <c r="G225" i="37"/>
  <c r="G225" i="41" s="1"/>
  <c r="F225" i="37"/>
  <c r="F225" i="41" s="1"/>
  <c r="E225" i="37"/>
  <c r="E225" i="41" s="1"/>
  <c r="D225" i="37"/>
  <c r="D225" i="41" s="1"/>
  <c r="C225" i="37"/>
  <c r="C225" i="41" s="1"/>
  <c r="B225" i="37"/>
  <c r="B225" i="41" s="1"/>
  <c r="A225" i="37"/>
  <c r="A225" i="41" s="1"/>
  <c r="G224" i="37"/>
  <c r="G224" i="41" s="1"/>
  <c r="F224" i="37"/>
  <c r="F224" i="41" s="1"/>
  <c r="E224" i="37"/>
  <c r="E224" i="41" s="1"/>
  <c r="D224" i="37"/>
  <c r="D224" i="41" s="1"/>
  <c r="C224" i="37"/>
  <c r="C224" i="41" s="1"/>
  <c r="B224" i="37"/>
  <c r="B224" i="41" s="1"/>
  <c r="A224" i="37"/>
  <c r="A224" i="41" s="1"/>
  <c r="G223" i="37"/>
  <c r="G223" i="41" s="1"/>
  <c r="F223" i="37"/>
  <c r="F223" i="41" s="1"/>
  <c r="E223" i="37"/>
  <c r="E223" i="41" s="1"/>
  <c r="D223" i="37"/>
  <c r="D223" i="41" s="1"/>
  <c r="C223" i="37"/>
  <c r="C223" i="41" s="1"/>
  <c r="B223" i="37"/>
  <c r="B223" i="41" s="1"/>
  <c r="A223" i="37"/>
  <c r="A223" i="41" s="1"/>
  <c r="G222" i="37"/>
  <c r="G222" i="41" s="1"/>
  <c r="F222" i="37"/>
  <c r="F222" i="41" s="1"/>
  <c r="E222" i="37"/>
  <c r="E222" i="41" s="1"/>
  <c r="D222" i="37"/>
  <c r="D222" i="41" s="1"/>
  <c r="C222" i="37"/>
  <c r="C222" i="41" s="1"/>
  <c r="B222" i="37"/>
  <c r="B222" i="41" s="1"/>
  <c r="A222" i="37"/>
  <c r="A222" i="41" s="1"/>
  <c r="G221" i="37"/>
  <c r="G221" i="41" s="1"/>
  <c r="F221" i="37"/>
  <c r="F221" i="41" s="1"/>
  <c r="E221" i="37"/>
  <c r="E221" i="41" s="1"/>
  <c r="D221" i="37"/>
  <c r="D221" i="41" s="1"/>
  <c r="C221" i="37"/>
  <c r="C221" i="41" s="1"/>
  <c r="B221" i="37"/>
  <c r="B221" i="41" s="1"/>
  <c r="A221" i="37"/>
  <c r="A221" i="41" s="1"/>
  <c r="G220" i="37"/>
  <c r="G220" i="41" s="1"/>
  <c r="F220" i="37"/>
  <c r="F220" i="41" s="1"/>
  <c r="E220" i="37"/>
  <c r="E220" i="41" s="1"/>
  <c r="D220" i="37"/>
  <c r="D220" i="41" s="1"/>
  <c r="C220" i="37"/>
  <c r="C220" i="41" s="1"/>
  <c r="B220" i="37"/>
  <c r="B220" i="41" s="1"/>
  <c r="A220" i="37"/>
  <c r="A220" i="41" s="1"/>
  <c r="G219" i="37"/>
  <c r="G219" i="41" s="1"/>
  <c r="F219" i="37"/>
  <c r="F219" i="41" s="1"/>
  <c r="E219" i="37"/>
  <c r="E219" i="41" s="1"/>
  <c r="D219" i="37"/>
  <c r="D219" i="41" s="1"/>
  <c r="C219" i="37"/>
  <c r="C219" i="41" s="1"/>
  <c r="B219" i="37"/>
  <c r="B219" i="41" s="1"/>
  <c r="A219" i="37"/>
  <c r="A219" i="41" s="1"/>
  <c r="G218" i="37"/>
  <c r="G218" i="41" s="1"/>
  <c r="F218" i="37"/>
  <c r="F218" i="41" s="1"/>
  <c r="E218" i="37"/>
  <c r="E218" i="41" s="1"/>
  <c r="D218" i="37"/>
  <c r="D218" i="41" s="1"/>
  <c r="C218" i="37"/>
  <c r="C218" i="41" s="1"/>
  <c r="B218" i="37"/>
  <c r="B218" i="41" s="1"/>
  <c r="A218" i="37"/>
  <c r="A218" i="41" s="1"/>
  <c r="G217" i="37"/>
  <c r="G217" i="41" s="1"/>
  <c r="F217" i="37"/>
  <c r="F217" i="41" s="1"/>
  <c r="E217" i="37"/>
  <c r="E217" i="41" s="1"/>
  <c r="D217" i="37"/>
  <c r="D217" i="41" s="1"/>
  <c r="C217" i="37"/>
  <c r="C217" i="41" s="1"/>
  <c r="B217" i="37"/>
  <c r="B217" i="41" s="1"/>
  <c r="A217" i="37"/>
  <c r="A217" i="41" s="1"/>
  <c r="G216" i="37"/>
  <c r="G216" i="41" s="1"/>
  <c r="F216" i="37"/>
  <c r="F216" i="41" s="1"/>
  <c r="E216" i="37"/>
  <c r="E216" i="41" s="1"/>
  <c r="D216" i="37"/>
  <c r="D216" i="41" s="1"/>
  <c r="C216" i="37"/>
  <c r="C216" i="41" s="1"/>
  <c r="B216" i="37"/>
  <c r="B216" i="41" s="1"/>
  <c r="A216" i="37"/>
  <c r="A216" i="41" s="1"/>
  <c r="G215" i="37"/>
  <c r="G215" i="41" s="1"/>
  <c r="F215" i="37"/>
  <c r="F215" i="41" s="1"/>
  <c r="E215" i="37"/>
  <c r="E215" i="41" s="1"/>
  <c r="D215" i="37"/>
  <c r="D215" i="41" s="1"/>
  <c r="C215" i="37"/>
  <c r="C215" i="41" s="1"/>
  <c r="B215" i="37"/>
  <c r="B215" i="41" s="1"/>
  <c r="A215" i="37"/>
  <c r="A215" i="41" s="1"/>
  <c r="G214" i="37"/>
  <c r="G214" i="41" s="1"/>
  <c r="F214" i="37"/>
  <c r="F214" i="41" s="1"/>
  <c r="E214" i="37"/>
  <c r="E214" i="41" s="1"/>
  <c r="D214" i="37"/>
  <c r="D214" i="41" s="1"/>
  <c r="C214" i="37"/>
  <c r="C214" i="41" s="1"/>
  <c r="B214" i="37"/>
  <c r="B214" i="41" s="1"/>
  <c r="A214" i="37"/>
  <c r="A214" i="41" s="1"/>
  <c r="G213" i="37"/>
  <c r="G213" i="41" s="1"/>
  <c r="F213" i="37"/>
  <c r="F213" i="41" s="1"/>
  <c r="E213" i="37"/>
  <c r="E213" i="41" s="1"/>
  <c r="D213" i="37"/>
  <c r="D213" i="41" s="1"/>
  <c r="C213" i="37"/>
  <c r="C213" i="41" s="1"/>
  <c r="B213" i="37"/>
  <c r="B213" i="41" s="1"/>
  <c r="A213" i="37"/>
  <c r="A213" i="41" s="1"/>
  <c r="G212" i="37"/>
  <c r="G212" i="41" s="1"/>
  <c r="F212" i="37"/>
  <c r="F212" i="41" s="1"/>
  <c r="E212" i="37"/>
  <c r="E212" i="41" s="1"/>
  <c r="D212" i="37"/>
  <c r="D212" i="41" s="1"/>
  <c r="C212" i="37"/>
  <c r="C212" i="41" s="1"/>
  <c r="B212" i="37"/>
  <c r="B212" i="41" s="1"/>
  <c r="A212" i="37"/>
  <c r="A212" i="41" s="1"/>
  <c r="G211" i="37"/>
  <c r="G211" i="41" s="1"/>
  <c r="F211" i="37"/>
  <c r="F211" i="41" s="1"/>
  <c r="E211" i="37"/>
  <c r="E211" i="41" s="1"/>
  <c r="D211" i="37"/>
  <c r="D211" i="41" s="1"/>
  <c r="C211" i="37"/>
  <c r="C211" i="41" s="1"/>
  <c r="B211" i="37"/>
  <c r="B211" i="41" s="1"/>
  <c r="A211" i="37"/>
  <c r="A211" i="41" s="1"/>
  <c r="G210" i="37"/>
  <c r="G210" i="41" s="1"/>
  <c r="F210" i="37"/>
  <c r="F210" i="41" s="1"/>
  <c r="E210" i="37"/>
  <c r="E210" i="41" s="1"/>
  <c r="D210" i="37"/>
  <c r="D210" i="41" s="1"/>
  <c r="C210" i="37"/>
  <c r="C210" i="41" s="1"/>
  <c r="B210" i="37"/>
  <c r="B210" i="41" s="1"/>
  <c r="A210" i="37"/>
  <c r="A210" i="41" s="1"/>
  <c r="G209" i="37"/>
  <c r="G209" i="41" s="1"/>
  <c r="F209" i="37"/>
  <c r="F209" i="41" s="1"/>
  <c r="E209" i="37"/>
  <c r="E209" i="41" s="1"/>
  <c r="D209" i="37"/>
  <c r="D209" i="41" s="1"/>
  <c r="C209" i="37"/>
  <c r="C209" i="41" s="1"/>
  <c r="B209" i="37"/>
  <c r="B209" i="41" s="1"/>
  <c r="A209" i="37"/>
  <c r="A209" i="41" s="1"/>
  <c r="G208" i="37"/>
  <c r="G208" i="41" s="1"/>
  <c r="F208" i="37"/>
  <c r="F208" i="41" s="1"/>
  <c r="E208" i="37"/>
  <c r="E208" i="41" s="1"/>
  <c r="D208" i="37"/>
  <c r="D208" i="41" s="1"/>
  <c r="C208" i="37"/>
  <c r="C208" i="41" s="1"/>
  <c r="B208" i="37"/>
  <c r="B208" i="41" s="1"/>
  <c r="A208" i="37"/>
  <c r="A208" i="41" s="1"/>
  <c r="G207" i="37"/>
  <c r="G207" i="41" s="1"/>
  <c r="F207" i="37"/>
  <c r="F207" i="41" s="1"/>
  <c r="E207" i="37"/>
  <c r="E207" i="41" s="1"/>
  <c r="D207" i="37"/>
  <c r="D207" i="41" s="1"/>
  <c r="C207" i="37"/>
  <c r="C207" i="41" s="1"/>
  <c r="B207" i="37"/>
  <c r="B207" i="41" s="1"/>
  <c r="A207" i="37"/>
  <c r="A207" i="41" s="1"/>
  <c r="G206" i="37"/>
  <c r="G206" i="41" s="1"/>
  <c r="F206" i="37"/>
  <c r="F206" i="41" s="1"/>
  <c r="E206" i="37"/>
  <c r="E206" i="41" s="1"/>
  <c r="D206" i="37"/>
  <c r="D206" i="41" s="1"/>
  <c r="C206" i="37"/>
  <c r="C206" i="41" s="1"/>
  <c r="B206" i="37"/>
  <c r="B206" i="41" s="1"/>
  <c r="A206" i="37"/>
  <c r="A206" i="41" s="1"/>
  <c r="G205" i="37"/>
  <c r="G205" i="41" s="1"/>
  <c r="F205" i="37"/>
  <c r="F205" i="41" s="1"/>
  <c r="E205" i="37"/>
  <c r="E205" i="41" s="1"/>
  <c r="D205" i="37"/>
  <c r="D205" i="41" s="1"/>
  <c r="C205" i="37"/>
  <c r="C205" i="41" s="1"/>
  <c r="B205" i="37"/>
  <c r="B205" i="41" s="1"/>
  <c r="A205" i="37"/>
  <c r="A205" i="41" s="1"/>
  <c r="G204" i="37"/>
  <c r="G204" i="41" s="1"/>
  <c r="F204" i="37"/>
  <c r="F204" i="41" s="1"/>
  <c r="E204" i="37"/>
  <c r="E204" i="41" s="1"/>
  <c r="D204" i="37"/>
  <c r="D204" i="41" s="1"/>
  <c r="C204" i="37"/>
  <c r="C204" i="41" s="1"/>
  <c r="B204" i="37"/>
  <c r="B204" i="41" s="1"/>
  <c r="A204" i="37"/>
  <c r="A204" i="41" s="1"/>
  <c r="G203" i="37"/>
  <c r="G203" i="41" s="1"/>
  <c r="F203" i="37"/>
  <c r="F203" i="41" s="1"/>
  <c r="E203" i="37"/>
  <c r="E203" i="41" s="1"/>
  <c r="D203" i="37"/>
  <c r="D203" i="41" s="1"/>
  <c r="C203" i="37"/>
  <c r="C203" i="41" s="1"/>
  <c r="B203" i="37"/>
  <c r="B203" i="41" s="1"/>
  <c r="A203" i="37"/>
  <c r="A203" i="41" s="1"/>
  <c r="G202" i="37"/>
  <c r="G202" i="41" s="1"/>
  <c r="F202" i="37"/>
  <c r="F202" i="41" s="1"/>
  <c r="E202" i="37"/>
  <c r="E202" i="41" s="1"/>
  <c r="D202" i="37"/>
  <c r="D202" i="41" s="1"/>
  <c r="C202" i="37"/>
  <c r="C202" i="41" s="1"/>
  <c r="B202" i="37"/>
  <c r="B202" i="41" s="1"/>
  <c r="A202" i="37"/>
  <c r="A202" i="41" s="1"/>
  <c r="G201" i="37"/>
  <c r="G201" i="41" s="1"/>
  <c r="F201" i="37"/>
  <c r="F201" i="41" s="1"/>
  <c r="E201" i="37"/>
  <c r="E201" i="41" s="1"/>
  <c r="D201" i="37"/>
  <c r="D201" i="41" s="1"/>
  <c r="C201" i="37"/>
  <c r="C201" i="41" s="1"/>
  <c r="B201" i="37"/>
  <c r="B201" i="41" s="1"/>
  <c r="A201" i="37"/>
  <c r="A201" i="41" s="1"/>
  <c r="G200" i="37"/>
  <c r="G200" i="41" s="1"/>
  <c r="F200" i="37"/>
  <c r="F200" i="41" s="1"/>
  <c r="E200" i="37"/>
  <c r="E200" i="41" s="1"/>
  <c r="D200" i="37"/>
  <c r="D200" i="41" s="1"/>
  <c r="C200" i="37"/>
  <c r="C200" i="41" s="1"/>
  <c r="B200" i="37"/>
  <c r="B200" i="41" s="1"/>
  <c r="A200" i="37"/>
  <c r="A200" i="41" s="1"/>
  <c r="G199" i="37"/>
  <c r="G199" i="41" s="1"/>
  <c r="F199" i="37"/>
  <c r="F199" i="41" s="1"/>
  <c r="E199" i="37"/>
  <c r="E199" i="41" s="1"/>
  <c r="D199" i="37"/>
  <c r="D199" i="41" s="1"/>
  <c r="C199" i="37"/>
  <c r="C199" i="41" s="1"/>
  <c r="B199" i="37"/>
  <c r="B199" i="41" s="1"/>
  <c r="A199" i="37"/>
  <c r="A199" i="41" s="1"/>
  <c r="G198" i="37"/>
  <c r="G198" i="41" s="1"/>
  <c r="F198" i="37"/>
  <c r="F198" i="41" s="1"/>
  <c r="E198" i="37"/>
  <c r="E198" i="41" s="1"/>
  <c r="D198" i="37"/>
  <c r="D198" i="41" s="1"/>
  <c r="C198" i="37"/>
  <c r="C198" i="41" s="1"/>
  <c r="B198" i="37"/>
  <c r="B198" i="41" s="1"/>
  <c r="A198" i="37"/>
  <c r="A198" i="41" s="1"/>
  <c r="G197" i="37"/>
  <c r="G197" i="41" s="1"/>
  <c r="F197" i="37"/>
  <c r="F197" i="41" s="1"/>
  <c r="E197" i="37"/>
  <c r="E197" i="41" s="1"/>
  <c r="D197" i="37"/>
  <c r="D197" i="41" s="1"/>
  <c r="C197" i="37"/>
  <c r="C197" i="41" s="1"/>
  <c r="B197" i="37"/>
  <c r="B197" i="41" s="1"/>
  <c r="A197" i="37"/>
  <c r="A197" i="41" s="1"/>
  <c r="G196" i="37"/>
  <c r="G196" i="41" s="1"/>
  <c r="F196" i="37"/>
  <c r="F196" i="41" s="1"/>
  <c r="E196" i="37"/>
  <c r="E196" i="41" s="1"/>
  <c r="D196" i="37"/>
  <c r="D196" i="41" s="1"/>
  <c r="C196" i="37"/>
  <c r="C196" i="41" s="1"/>
  <c r="B196" i="37"/>
  <c r="B196" i="41" s="1"/>
  <c r="A196" i="37"/>
  <c r="A196" i="41" s="1"/>
  <c r="G195" i="37"/>
  <c r="G195" i="41" s="1"/>
  <c r="F195" i="37"/>
  <c r="F195" i="41" s="1"/>
  <c r="E195" i="37"/>
  <c r="E195" i="41" s="1"/>
  <c r="D195" i="37"/>
  <c r="D195" i="41" s="1"/>
  <c r="C195" i="37"/>
  <c r="C195" i="41" s="1"/>
  <c r="B195" i="37"/>
  <c r="B195" i="41" s="1"/>
  <c r="A195" i="37"/>
  <c r="A195" i="41" s="1"/>
  <c r="G194" i="37"/>
  <c r="G194" i="41" s="1"/>
  <c r="F194" i="37"/>
  <c r="F194" i="41" s="1"/>
  <c r="E194" i="37"/>
  <c r="E194" i="41" s="1"/>
  <c r="D194" i="37"/>
  <c r="D194" i="41" s="1"/>
  <c r="C194" i="37"/>
  <c r="C194" i="41" s="1"/>
  <c r="B194" i="37"/>
  <c r="B194" i="41" s="1"/>
  <c r="A194" i="37"/>
  <c r="A194" i="41" s="1"/>
  <c r="G193" i="37"/>
  <c r="G193" i="41" s="1"/>
  <c r="F193" i="37"/>
  <c r="F193" i="41" s="1"/>
  <c r="E193" i="37"/>
  <c r="E193" i="41" s="1"/>
  <c r="D193" i="37"/>
  <c r="D193" i="41" s="1"/>
  <c r="C193" i="37"/>
  <c r="C193" i="41" s="1"/>
  <c r="B193" i="37"/>
  <c r="B193" i="41" s="1"/>
  <c r="A193" i="37"/>
  <c r="A193" i="41" s="1"/>
  <c r="G192" i="37"/>
  <c r="G192" i="41" s="1"/>
  <c r="F192" i="37"/>
  <c r="F192" i="41" s="1"/>
  <c r="E192" i="37"/>
  <c r="E192" i="41" s="1"/>
  <c r="D192" i="37"/>
  <c r="D192" i="41" s="1"/>
  <c r="C192" i="37"/>
  <c r="C192" i="41" s="1"/>
  <c r="B192" i="37"/>
  <c r="B192" i="41" s="1"/>
  <c r="A192" i="37"/>
  <c r="A192" i="41" s="1"/>
  <c r="G191" i="37"/>
  <c r="G191" i="41" s="1"/>
  <c r="F191" i="37"/>
  <c r="F191" i="41" s="1"/>
  <c r="E191" i="37"/>
  <c r="E191" i="41" s="1"/>
  <c r="D191" i="37"/>
  <c r="D191" i="41" s="1"/>
  <c r="C191" i="37"/>
  <c r="C191" i="41" s="1"/>
  <c r="B191" i="37"/>
  <c r="B191" i="41" s="1"/>
  <c r="A191" i="37"/>
  <c r="A191" i="41" s="1"/>
  <c r="G190" i="37"/>
  <c r="G190" i="41" s="1"/>
  <c r="F190" i="37"/>
  <c r="F190" i="41" s="1"/>
  <c r="E190" i="37"/>
  <c r="E190" i="41" s="1"/>
  <c r="D190" i="37"/>
  <c r="D190" i="41" s="1"/>
  <c r="C190" i="37"/>
  <c r="C190" i="41" s="1"/>
  <c r="B190" i="37"/>
  <c r="B190" i="41" s="1"/>
  <c r="A190" i="37"/>
  <c r="A190" i="41" s="1"/>
  <c r="G189" i="37"/>
  <c r="G189" i="41" s="1"/>
  <c r="F189" i="37"/>
  <c r="F189" i="41" s="1"/>
  <c r="E189" i="37"/>
  <c r="E189" i="41" s="1"/>
  <c r="D189" i="37"/>
  <c r="D189" i="41" s="1"/>
  <c r="C189" i="37"/>
  <c r="C189" i="41" s="1"/>
  <c r="B189" i="37"/>
  <c r="B189" i="41" s="1"/>
  <c r="A189" i="37"/>
  <c r="A189" i="41" s="1"/>
  <c r="G188" i="37"/>
  <c r="G188" i="41" s="1"/>
  <c r="F188" i="37"/>
  <c r="F188" i="41" s="1"/>
  <c r="E188" i="37"/>
  <c r="E188" i="41" s="1"/>
  <c r="D188" i="37"/>
  <c r="D188" i="41" s="1"/>
  <c r="C188" i="37"/>
  <c r="C188" i="41" s="1"/>
  <c r="B188" i="37"/>
  <c r="B188" i="41" s="1"/>
  <c r="A188" i="37"/>
  <c r="A188" i="41" s="1"/>
  <c r="G187" i="37"/>
  <c r="G187" i="41" s="1"/>
  <c r="F187" i="37"/>
  <c r="F187" i="41" s="1"/>
  <c r="E187" i="37"/>
  <c r="E187" i="41" s="1"/>
  <c r="D187" i="37"/>
  <c r="D187" i="41" s="1"/>
  <c r="C187" i="37"/>
  <c r="C187" i="41" s="1"/>
  <c r="B187" i="37"/>
  <c r="B187" i="41" s="1"/>
  <c r="A187" i="37"/>
  <c r="A187" i="41" s="1"/>
  <c r="G186" i="37"/>
  <c r="G186" i="41" s="1"/>
  <c r="F186" i="37"/>
  <c r="F186" i="41" s="1"/>
  <c r="E186" i="37"/>
  <c r="E186" i="41" s="1"/>
  <c r="D186" i="37"/>
  <c r="D186" i="41" s="1"/>
  <c r="C186" i="37"/>
  <c r="C186" i="41" s="1"/>
  <c r="B186" i="37"/>
  <c r="B186" i="41" s="1"/>
  <c r="A186" i="37"/>
  <c r="A186" i="41" s="1"/>
  <c r="G185" i="37"/>
  <c r="G185" i="41" s="1"/>
  <c r="F185" i="37"/>
  <c r="F185" i="41" s="1"/>
  <c r="E185" i="37"/>
  <c r="E185" i="41" s="1"/>
  <c r="D185" i="37"/>
  <c r="D185" i="41" s="1"/>
  <c r="C185" i="37"/>
  <c r="C185" i="41" s="1"/>
  <c r="B185" i="37"/>
  <c r="B185" i="41" s="1"/>
  <c r="A185" i="37"/>
  <c r="A185" i="41" s="1"/>
  <c r="G184" i="37"/>
  <c r="G184" i="41" s="1"/>
  <c r="F184" i="37"/>
  <c r="F184" i="41" s="1"/>
  <c r="E184" i="37"/>
  <c r="E184" i="41" s="1"/>
  <c r="D184" i="37"/>
  <c r="D184" i="41" s="1"/>
  <c r="C184" i="37"/>
  <c r="C184" i="41" s="1"/>
  <c r="B184" i="37"/>
  <c r="B184" i="41" s="1"/>
  <c r="A184" i="37"/>
  <c r="A184" i="41" s="1"/>
  <c r="G183" i="37"/>
  <c r="G183" i="41" s="1"/>
  <c r="F183" i="37"/>
  <c r="F183" i="41" s="1"/>
  <c r="E183" i="37"/>
  <c r="E183" i="41" s="1"/>
  <c r="D183" i="37"/>
  <c r="D183" i="41" s="1"/>
  <c r="C183" i="37"/>
  <c r="C183" i="41" s="1"/>
  <c r="B183" i="37"/>
  <c r="B183" i="41" s="1"/>
  <c r="A183" i="37"/>
  <c r="A183" i="41" s="1"/>
  <c r="G182" i="37"/>
  <c r="G182" i="41" s="1"/>
  <c r="F182" i="37"/>
  <c r="F182" i="41" s="1"/>
  <c r="E182" i="37"/>
  <c r="E182" i="41" s="1"/>
  <c r="D182" i="37"/>
  <c r="D182" i="41" s="1"/>
  <c r="C182" i="37"/>
  <c r="C182" i="41" s="1"/>
  <c r="B182" i="37"/>
  <c r="B182" i="41" s="1"/>
  <c r="A182" i="37"/>
  <c r="A182" i="41" s="1"/>
  <c r="G181" i="37"/>
  <c r="G181" i="41" s="1"/>
  <c r="F181" i="37"/>
  <c r="F181" i="41" s="1"/>
  <c r="E181" i="37"/>
  <c r="E181" i="41" s="1"/>
  <c r="D181" i="37"/>
  <c r="D181" i="41" s="1"/>
  <c r="C181" i="37"/>
  <c r="C181" i="41" s="1"/>
  <c r="B181" i="37"/>
  <c r="B181" i="41" s="1"/>
  <c r="A181" i="37"/>
  <c r="A181" i="41" s="1"/>
  <c r="G180" i="37"/>
  <c r="G180" i="41" s="1"/>
  <c r="F180" i="37"/>
  <c r="F180" i="41" s="1"/>
  <c r="E180" i="37"/>
  <c r="E180" i="41" s="1"/>
  <c r="D180" i="37"/>
  <c r="D180" i="41" s="1"/>
  <c r="C180" i="37"/>
  <c r="C180" i="41" s="1"/>
  <c r="B180" i="37"/>
  <c r="B180" i="41" s="1"/>
  <c r="A180" i="37"/>
  <c r="A180" i="41" s="1"/>
  <c r="G179" i="37"/>
  <c r="G179" i="41" s="1"/>
  <c r="F179" i="37"/>
  <c r="F179" i="41" s="1"/>
  <c r="E179" i="37"/>
  <c r="E179" i="41" s="1"/>
  <c r="D179" i="37"/>
  <c r="D179" i="41" s="1"/>
  <c r="C179" i="37"/>
  <c r="C179" i="41" s="1"/>
  <c r="B179" i="37"/>
  <c r="B179" i="41" s="1"/>
  <c r="A179" i="37"/>
  <c r="A179" i="41" s="1"/>
  <c r="G178" i="37"/>
  <c r="G178" i="41" s="1"/>
  <c r="F178" i="37"/>
  <c r="F178" i="41" s="1"/>
  <c r="E178" i="37"/>
  <c r="E178" i="41" s="1"/>
  <c r="D178" i="37"/>
  <c r="D178" i="41" s="1"/>
  <c r="C178" i="37"/>
  <c r="C178" i="41" s="1"/>
  <c r="B178" i="37"/>
  <c r="B178" i="41" s="1"/>
  <c r="A178" i="37"/>
  <c r="A178" i="41" s="1"/>
  <c r="G177" i="37"/>
  <c r="G177" i="41" s="1"/>
  <c r="F177" i="37"/>
  <c r="F177" i="41" s="1"/>
  <c r="E177" i="37"/>
  <c r="E177" i="41" s="1"/>
  <c r="D177" i="37"/>
  <c r="D177" i="41" s="1"/>
  <c r="C177" i="37"/>
  <c r="C177" i="41" s="1"/>
  <c r="B177" i="37"/>
  <c r="B177" i="41" s="1"/>
  <c r="A177" i="37"/>
  <c r="A177" i="41" s="1"/>
  <c r="G176" i="37"/>
  <c r="G176" i="41" s="1"/>
  <c r="F176" i="37"/>
  <c r="F176" i="41" s="1"/>
  <c r="E176" i="37"/>
  <c r="E176" i="41" s="1"/>
  <c r="D176" i="37"/>
  <c r="D176" i="41" s="1"/>
  <c r="C176" i="37"/>
  <c r="C176" i="41" s="1"/>
  <c r="B176" i="37"/>
  <c r="B176" i="41" s="1"/>
  <c r="A176" i="37"/>
  <c r="A176" i="41" s="1"/>
  <c r="G175" i="37"/>
  <c r="G175" i="41" s="1"/>
  <c r="F175" i="37"/>
  <c r="F175" i="41" s="1"/>
  <c r="E175" i="37"/>
  <c r="E175" i="41" s="1"/>
  <c r="D175" i="37"/>
  <c r="D175" i="41" s="1"/>
  <c r="C175" i="37"/>
  <c r="C175" i="41" s="1"/>
  <c r="B175" i="37"/>
  <c r="B175" i="41" s="1"/>
  <c r="A175" i="37"/>
  <c r="A175" i="41" s="1"/>
  <c r="G174" i="37"/>
  <c r="G174" i="41" s="1"/>
  <c r="F174" i="37"/>
  <c r="F174" i="41" s="1"/>
  <c r="E174" i="37"/>
  <c r="E174" i="41" s="1"/>
  <c r="D174" i="37"/>
  <c r="D174" i="41" s="1"/>
  <c r="C174" i="37"/>
  <c r="C174" i="41" s="1"/>
  <c r="B174" i="37"/>
  <c r="B174" i="41" s="1"/>
  <c r="A174" i="37"/>
  <c r="A174" i="41" s="1"/>
  <c r="G173" i="37"/>
  <c r="G173" i="41" s="1"/>
  <c r="F173" i="37"/>
  <c r="F173" i="41" s="1"/>
  <c r="E173" i="37"/>
  <c r="E173" i="41" s="1"/>
  <c r="D173" i="37"/>
  <c r="D173" i="41" s="1"/>
  <c r="C173" i="37"/>
  <c r="C173" i="41" s="1"/>
  <c r="B173" i="37"/>
  <c r="B173" i="41" s="1"/>
  <c r="A173" i="37"/>
  <c r="A173" i="41" s="1"/>
  <c r="G172" i="37"/>
  <c r="G172" i="41" s="1"/>
  <c r="F172" i="37"/>
  <c r="F172" i="41" s="1"/>
  <c r="E172" i="37"/>
  <c r="E172" i="41" s="1"/>
  <c r="D172" i="37"/>
  <c r="D172" i="41" s="1"/>
  <c r="C172" i="37"/>
  <c r="C172" i="41" s="1"/>
  <c r="B172" i="37"/>
  <c r="B172" i="41" s="1"/>
  <c r="A172" i="37"/>
  <c r="A172" i="41" s="1"/>
  <c r="G171" i="37"/>
  <c r="G171" i="41" s="1"/>
  <c r="F171" i="37"/>
  <c r="F171" i="41" s="1"/>
  <c r="E171" i="37"/>
  <c r="E171" i="41" s="1"/>
  <c r="D171" i="37"/>
  <c r="D171" i="41" s="1"/>
  <c r="C171" i="37"/>
  <c r="C171" i="41" s="1"/>
  <c r="B171" i="37"/>
  <c r="B171" i="41" s="1"/>
  <c r="A171" i="37"/>
  <c r="A171" i="41" s="1"/>
  <c r="G170" i="37"/>
  <c r="G170" i="41" s="1"/>
  <c r="F170" i="37"/>
  <c r="F170" i="41" s="1"/>
  <c r="E170" i="37"/>
  <c r="E170" i="41" s="1"/>
  <c r="D170" i="37"/>
  <c r="D170" i="41" s="1"/>
  <c r="C170" i="37"/>
  <c r="C170" i="41" s="1"/>
  <c r="B170" i="37"/>
  <c r="B170" i="41" s="1"/>
  <c r="A170" i="37"/>
  <c r="A170" i="41" s="1"/>
  <c r="G169" i="37"/>
  <c r="G169" i="41" s="1"/>
  <c r="F169" i="37"/>
  <c r="F169" i="41" s="1"/>
  <c r="E169" i="37"/>
  <c r="E169" i="41" s="1"/>
  <c r="D169" i="37"/>
  <c r="D169" i="41" s="1"/>
  <c r="C169" i="37"/>
  <c r="C169" i="41" s="1"/>
  <c r="B169" i="37"/>
  <c r="B169" i="41" s="1"/>
  <c r="A169" i="37"/>
  <c r="A169" i="41" s="1"/>
  <c r="G168" i="37"/>
  <c r="G168" i="41" s="1"/>
  <c r="F168" i="37"/>
  <c r="F168" i="41" s="1"/>
  <c r="E168" i="37"/>
  <c r="E168" i="41" s="1"/>
  <c r="D168" i="37"/>
  <c r="D168" i="41" s="1"/>
  <c r="C168" i="37"/>
  <c r="C168" i="41" s="1"/>
  <c r="B168" i="37"/>
  <c r="B168" i="41" s="1"/>
  <c r="A168" i="37"/>
  <c r="A168" i="41" s="1"/>
  <c r="G167" i="37"/>
  <c r="G167" i="41" s="1"/>
  <c r="F167" i="37"/>
  <c r="F167" i="41" s="1"/>
  <c r="E167" i="37"/>
  <c r="E167" i="41" s="1"/>
  <c r="D167" i="37"/>
  <c r="D167" i="41" s="1"/>
  <c r="C167" i="37"/>
  <c r="C167" i="41" s="1"/>
  <c r="B167" i="37"/>
  <c r="B167" i="41" s="1"/>
  <c r="A167" i="37"/>
  <c r="A167" i="41" s="1"/>
  <c r="G166" i="37"/>
  <c r="G166" i="41" s="1"/>
  <c r="F166" i="37"/>
  <c r="F166" i="41" s="1"/>
  <c r="E166" i="37"/>
  <c r="E166" i="41" s="1"/>
  <c r="D166" i="37"/>
  <c r="D166" i="41" s="1"/>
  <c r="C166" i="37"/>
  <c r="C166" i="41" s="1"/>
  <c r="B166" i="37"/>
  <c r="B166" i="41" s="1"/>
  <c r="A166" i="37"/>
  <c r="A166" i="41" s="1"/>
  <c r="G165" i="37"/>
  <c r="G165" i="41" s="1"/>
  <c r="F165" i="37"/>
  <c r="F165" i="41" s="1"/>
  <c r="E165" i="37"/>
  <c r="E165" i="41" s="1"/>
  <c r="D165" i="37"/>
  <c r="D165" i="41" s="1"/>
  <c r="C165" i="37"/>
  <c r="C165" i="41" s="1"/>
  <c r="B165" i="37"/>
  <c r="B165" i="41" s="1"/>
  <c r="A165" i="37"/>
  <c r="A165" i="41" s="1"/>
  <c r="G164" i="37"/>
  <c r="G164" i="41" s="1"/>
  <c r="F164" i="37"/>
  <c r="F164" i="41" s="1"/>
  <c r="E164" i="37"/>
  <c r="E164" i="41" s="1"/>
  <c r="D164" i="37"/>
  <c r="D164" i="41" s="1"/>
  <c r="C164" i="37"/>
  <c r="C164" i="41" s="1"/>
  <c r="B164" i="37"/>
  <c r="B164" i="41" s="1"/>
  <c r="A164" i="37"/>
  <c r="A164" i="41" s="1"/>
  <c r="G163" i="37"/>
  <c r="G163" i="41" s="1"/>
  <c r="F163" i="37"/>
  <c r="F163" i="41" s="1"/>
  <c r="E163" i="37"/>
  <c r="E163" i="41" s="1"/>
  <c r="D163" i="37"/>
  <c r="D163" i="41" s="1"/>
  <c r="C163" i="37"/>
  <c r="C163" i="41" s="1"/>
  <c r="B163" i="37"/>
  <c r="B163" i="41" s="1"/>
  <c r="A163" i="37"/>
  <c r="A163" i="41" s="1"/>
  <c r="G162" i="37"/>
  <c r="G162" i="41" s="1"/>
  <c r="F162" i="37"/>
  <c r="F162" i="41" s="1"/>
  <c r="E162" i="37"/>
  <c r="E162" i="41" s="1"/>
  <c r="D162" i="37"/>
  <c r="D162" i="41" s="1"/>
  <c r="C162" i="37"/>
  <c r="C162" i="41" s="1"/>
  <c r="B162" i="37"/>
  <c r="B162" i="41" s="1"/>
  <c r="A162" i="37"/>
  <c r="A162" i="41" s="1"/>
  <c r="G161" i="37"/>
  <c r="G161" i="41" s="1"/>
  <c r="F161" i="37"/>
  <c r="F161" i="41" s="1"/>
  <c r="E161" i="37"/>
  <c r="E161" i="41" s="1"/>
  <c r="D161" i="37"/>
  <c r="D161" i="41" s="1"/>
  <c r="C161" i="37"/>
  <c r="C161" i="41" s="1"/>
  <c r="B161" i="37"/>
  <c r="B161" i="41" s="1"/>
  <c r="A161" i="37"/>
  <c r="A161" i="41" s="1"/>
  <c r="G160" i="37"/>
  <c r="G160" i="41" s="1"/>
  <c r="F160" i="37"/>
  <c r="F160" i="41" s="1"/>
  <c r="E160" i="37"/>
  <c r="E160" i="41" s="1"/>
  <c r="D160" i="37"/>
  <c r="D160" i="41" s="1"/>
  <c r="C160" i="37"/>
  <c r="C160" i="41" s="1"/>
  <c r="B160" i="37"/>
  <c r="B160" i="41" s="1"/>
  <c r="A160" i="37"/>
  <c r="A160" i="41" s="1"/>
  <c r="G159" i="37"/>
  <c r="G159" i="41" s="1"/>
  <c r="F159" i="37"/>
  <c r="F159" i="41" s="1"/>
  <c r="E159" i="37"/>
  <c r="E159" i="41" s="1"/>
  <c r="D159" i="37"/>
  <c r="D159" i="41" s="1"/>
  <c r="C159" i="37"/>
  <c r="C159" i="41" s="1"/>
  <c r="B159" i="37"/>
  <c r="B159" i="41" s="1"/>
  <c r="A159" i="37"/>
  <c r="A159" i="41" s="1"/>
  <c r="G158" i="37"/>
  <c r="G158" i="41" s="1"/>
  <c r="F158" i="37"/>
  <c r="F158" i="41" s="1"/>
  <c r="E158" i="37"/>
  <c r="E158" i="41" s="1"/>
  <c r="D158" i="37"/>
  <c r="D158" i="41" s="1"/>
  <c r="C158" i="37"/>
  <c r="C158" i="41" s="1"/>
  <c r="B158" i="37"/>
  <c r="B158" i="41" s="1"/>
  <c r="A158" i="37"/>
  <c r="A158" i="41" s="1"/>
  <c r="G157" i="37"/>
  <c r="G157" i="41" s="1"/>
  <c r="F157" i="37"/>
  <c r="F157" i="41" s="1"/>
  <c r="E157" i="37"/>
  <c r="E157" i="41" s="1"/>
  <c r="D157" i="37"/>
  <c r="D157" i="41" s="1"/>
  <c r="C157" i="37"/>
  <c r="C157" i="41" s="1"/>
  <c r="B157" i="37"/>
  <c r="B157" i="41" s="1"/>
  <c r="A157" i="37"/>
  <c r="A157" i="41" s="1"/>
  <c r="G156" i="37"/>
  <c r="G156" i="41" s="1"/>
  <c r="F156" i="37"/>
  <c r="F156" i="41" s="1"/>
  <c r="E156" i="37"/>
  <c r="E156" i="41" s="1"/>
  <c r="D156" i="37"/>
  <c r="D156" i="41" s="1"/>
  <c r="C156" i="37"/>
  <c r="C156" i="41" s="1"/>
  <c r="B156" i="37"/>
  <c r="B156" i="41" s="1"/>
  <c r="A156" i="37"/>
  <c r="A156" i="41" s="1"/>
  <c r="G155" i="37"/>
  <c r="G155" i="41" s="1"/>
  <c r="F155" i="37"/>
  <c r="F155" i="41" s="1"/>
  <c r="E155" i="37"/>
  <c r="E155" i="41" s="1"/>
  <c r="D155" i="37"/>
  <c r="D155" i="41" s="1"/>
  <c r="C155" i="37"/>
  <c r="C155" i="41" s="1"/>
  <c r="B155" i="37"/>
  <c r="B155" i="41" s="1"/>
  <c r="A155" i="37"/>
  <c r="A155" i="41" s="1"/>
  <c r="G154" i="37"/>
  <c r="G154" i="41" s="1"/>
  <c r="F154" i="37"/>
  <c r="F154" i="41" s="1"/>
  <c r="E154" i="37"/>
  <c r="E154" i="41" s="1"/>
  <c r="D154" i="37"/>
  <c r="D154" i="41" s="1"/>
  <c r="C154" i="37"/>
  <c r="C154" i="41" s="1"/>
  <c r="B154" i="37"/>
  <c r="B154" i="41" s="1"/>
  <c r="A154" i="37"/>
  <c r="A154" i="41" s="1"/>
  <c r="G153" i="37"/>
  <c r="G153" i="41" s="1"/>
  <c r="F153" i="37"/>
  <c r="F153" i="41" s="1"/>
  <c r="E153" i="37"/>
  <c r="E153" i="41" s="1"/>
  <c r="D153" i="37"/>
  <c r="D153" i="41" s="1"/>
  <c r="C153" i="37"/>
  <c r="C153" i="41" s="1"/>
  <c r="B153" i="37"/>
  <c r="B153" i="41" s="1"/>
  <c r="A153" i="37"/>
  <c r="A153" i="41" s="1"/>
  <c r="G152" i="37"/>
  <c r="G152" i="41" s="1"/>
  <c r="F152" i="37"/>
  <c r="F152" i="41" s="1"/>
  <c r="E152" i="37"/>
  <c r="E152" i="41" s="1"/>
  <c r="D152" i="37"/>
  <c r="D152" i="41" s="1"/>
  <c r="C152" i="37"/>
  <c r="C152" i="41" s="1"/>
  <c r="B152" i="37"/>
  <c r="B152" i="41" s="1"/>
  <c r="A152" i="37"/>
  <c r="A152" i="41" s="1"/>
  <c r="G151" i="37"/>
  <c r="G151" i="41" s="1"/>
  <c r="F151" i="37"/>
  <c r="F151" i="41" s="1"/>
  <c r="E151" i="37"/>
  <c r="E151" i="41" s="1"/>
  <c r="D151" i="37"/>
  <c r="D151" i="41" s="1"/>
  <c r="C151" i="37"/>
  <c r="C151" i="41" s="1"/>
  <c r="B151" i="37"/>
  <c r="B151" i="41" s="1"/>
  <c r="A151" i="37"/>
  <c r="A151" i="41" s="1"/>
  <c r="G150" i="37"/>
  <c r="G150" i="41" s="1"/>
  <c r="F150" i="37"/>
  <c r="F150" i="41" s="1"/>
  <c r="E150" i="37"/>
  <c r="E150" i="41" s="1"/>
  <c r="D150" i="37"/>
  <c r="D150" i="41" s="1"/>
  <c r="C150" i="37"/>
  <c r="C150" i="41" s="1"/>
  <c r="B150" i="37"/>
  <c r="B150" i="41" s="1"/>
  <c r="A150" i="37"/>
  <c r="A150" i="41" s="1"/>
  <c r="G149" i="37"/>
  <c r="G149" i="41" s="1"/>
  <c r="F149" i="37"/>
  <c r="F149" i="41" s="1"/>
  <c r="E149" i="37"/>
  <c r="E149" i="41" s="1"/>
  <c r="D149" i="37"/>
  <c r="D149" i="41" s="1"/>
  <c r="C149" i="37"/>
  <c r="C149" i="41" s="1"/>
  <c r="B149" i="37"/>
  <c r="B149" i="41" s="1"/>
  <c r="A149" i="37"/>
  <c r="A149" i="41" s="1"/>
  <c r="G148" i="37"/>
  <c r="G148" i="41" s="1"/>
  <c r="F148" i="37"/>
  <c r="F148" i="41" s="1"/>
  <c r="E148" i="37"/>
  <c r="E148" i="41" s="1"/>
  <c r="D148" i="37"/>
  <c r="D148" i="41" s="1"/>
  <c r="C148" i="37"/>
  <c r="C148" i="41" s="1"/>
  <c r="B148" i="37"/>
  <c r="B148" i="41" s="1"/>
  <c r="A148" i="37"/>
  <c r="A148" i="41" s="1"/>
  <c r="G147" i="37"/>
  <c r="G147" i="41" s="1"/>
  <c r="F147" i="37"/>
  <c r="F147" i="41" s="1"/>
  <c r="E147" i="37"/>
  <c r="E147" i="41" s="1"/>
  <c r="D147" i="37"/>
  <c r="D147" i="41" s="1"/>
  <c r="C147" i="37"/>
  <c r="C147" i="41" s="1"/>
  <c r="B147" i="37"/>
  <c r="B147" i="41" s="1"/>
  <c r="A147" i="37"/>
  <c r="A147" i="41" s="1"/>
  <c r="G146" i="37"/>
  <c r="G146" i="41" s="1"/>
  <c r="F146" i="37"/>
  <c r="F146" i="41" s="1"/>
  <c r="E146" i="37"/>
  <c r="E146" i="41" s="1"/>
  <c r="D146" i="37"/>
  <c r="D146" i="41" s="1"/>
  <c r="C146" i="37"/>
  <c r="C146" i="41" s="1"/>
  <c r="B146" i="37"/>
  <c r="B146" i="41" s="1"/>
  <c r="A146" i="37"/>
  <c r="A146" i="41" s="1"/>
  <c r="G145" i="37"/>
  <c r="G145" i="41" s="1"/>
  <c r="F145" i="37"/>
  <c r="F145" i="41" s="1"/>
  <c r="E145" i="37"/>
  <c r="E145" i="41" s="1"/>
  <c r="D145" i="37"/>
  <c r="D145" i="41" s="1"/>
  <c r="C145" i="37"/>
  <c r="C145" i="41" s="1"/>
  <c r="B145" i="37"/>
  <c r="B145" i="41" s="1"/>
  <c r="A145" i="37"/>
  <c r="A145" i="41" s="1"/>
  <c r="G144" i="37"/>
  <c r="G144" i="41" s="1"/>
  <c r="F144" i="37"/>
  <c r="F144" i="41" s="1"/>
  <c r="E144" i="37"/>
  <c r="E144" i="41" s="1"/>
  <c r="D144" i="37"/>
  <c r="D144" i="41" s="1"/>
  <c r="C144" i="37"/>
  <c r="C144" i="41" s="1"/>
  <c r="B144" i="37"/>
  <c r="B144" i="41" s="1"/>
  <c r="A144" i="37"/>
  <c r="A144" i="41" s="1"/>
  <c r="G143" i="37"/>
  <c r="G143" i="41" s="1"/>
  <c r="F143" i="37"/>
  <c r="F143" i="41" s="1"/>
  <c r="E143" i="37"/>
  <c r="E143" i="41" s="1"/>
  <c r="D143" i="37"/>
  <c r="D143" i="41" s="1"/>
  <c r="C143" i="37"/>
  <c r="C143" i="41" s="1"/>
  <c r="B143" i="37"/>
  <c r="B143" i="41" s="1"/>
  <c r="A143" i="37"/>
  <c r="A143" i="41" s="1"/>
  <c r="G142" i="37"/>
  <c r="G142" i="41" s="1"/>
  <c r="F142" i="37"/>
  <c r="F142" i="41" s="1"/>
  <c r="E142" i="37"/>
  <c r="E142" i="41" s="1"/>
  <c r="D142" i="37"/>
  <c r="D142" i="41" s="1"/>
  <c r="C142" i="37"/>
  <c r="C142" i="41" s="1"/>
  <c r="B142" i="37"/>
  <c r="B142" i="41" s="1"/>
  <c r="A142" i="37"/>
  <c r="A142" i="41" s="1"/>
  <c r="G141" i="37"/>
  <c r="G141" i="41" s="1"/>
  <c r="F141" i="37"/>
  <c r="F141" i="41" s="1"/>
  <c r="E141" i="37"/>
  <c r="E141" i="41" s="1"/>
  <c r="D141" i="37"/>
  <c r="D141" i="41" s="1"/>
  <c r="C141" i="37"/>
  <c r="C141" i="41" s="1"/>
  <c r="B141" i="37"/>
  <c r="B141" i="41" s="1"/>
  <c r="A141" i="37"/>
  <c r="A141" i="41" s="1"/>
  <c r="G140" i="37"/>
  <c r="G140" i="41" s="1"/>
  <c r="F140" i="37"/>
  <c r="F140" i="41" s="1"/>
  <c r="E140" i="37"/>
  <c r="E140" i="41" s="1"/>
  <c r="D140" i="37"/>
  <c r="D140" i="41" s="1"/>
  <c r="C140" i="37"/>
  <c r="C140" i="41" s="1"/>
  <c r="B140" i="37"/>
  <c r="B140" i="41" s="1"/>
  <c r="A140" i="37"/>
  <c r="A140" i="41" s="1"/>
  <c r="G139" i="37"/>
  <c r="G139" i="41" s="1"/>
  <c r="F139" i="37"/>
  <c r="F139" i="41" s="1"/>
  <c r="E139" i="37"/>
  <c r="E139" i="41" s="1"/>
  <c r="D139" i="37"/>
  <c r="D139" i="41" s="1"/>
  <c r="C139" i="37"/>
  <c r="C139" i="41" s="1"/>
  <c r="B139" i="37"/>
  <c r="B139" i="41" s="1"/>
  <c r="A139" i="37"/>
  <c r="A139" i="41" s="1"/>
  <c r="G138" i="37"/>
  <c r="G138" i="41" s="1"/>
  <c r="F138" i="37"/>
  <c r="F138" i="41" s="1"/>
  <c r="E138" i="37"/>
  <c r="E138" i="41" s="1"/>
  <c r="D138" i="37"/>
  <c r="D138" i="41" s="1"/>
  <c r="C138" i="37"/>
  <c r="C138" i="41" s="1"/>
  <c r="B138" i="37"/>
  <c r="B138" i="41" s="1"/>
  <c r="A138" i="37"/>
  <c r="A138" i="41" s="1"/>
  <c r="G137" i="37"/>
  <c r="G137" i="41" s="1"/>
  <c r="F137" i="37"/>
  <c r="F137" i="41" s="1"/>
  <c r="E137" i="37"/>
  <c r="E137" i="41" s="1"/>
  <c r="D137" i="37"/>
  <c r="D137" i="41" s="1"/>
  <c r="C137" i="37"/>
  <c r="C137" i="41" s="1"/>
  <c r="B137" i="37"/>
  <c r="B137" i="41" s="1"/>
  <c r="A137" i="37"/>
  <c r="A137" i="41" s="1"/>
  <c r="G136" i="37"/>
  <c r="G136" i="41" s="1"/>
  <c r="F136" i="37"/>
  <c r="F136" i="41" s="1"/>
  <c r="E136" i="37"/>
  <c r="E136" i="41" s="1"/>
  <c r="D136" i="37"/>
  <c r="D136" i="41" s="1"/>
  <c r="C136" i="37"/>
  <c r="C136" i="41" s="1"/>
  <c r="B136" i="37"/>
  <c r="B136" i="41" s="1"/>
  <c r="A136" i="37"/>
  <c r="A136" i="41" s="1"/>
  <c r="G135" i="37"/>
  <c r="G135" i="41" s="1"/>
  <c r="F135" i="37"/>
  <c r="F135" i="41" s="1"/>
  <c r="E135" i="37"/>
  <c r="E135" i="41" s="1"/>
  <c r="D135" i="37"/>
  <c r="D135" i="41" s="1"/>
  <c r="C135" i="37"/>
  <c r="C135" i="41" s="1"/>
  <c r="B135" i="37"/>
  <c r="B135" i="41" s="1"/>
  <c r="A135" i="37"/>
  <c r="A135" i="41" s="1"/>
  <c r="G134" i="37"/>
  <c r="G134" i="41" s="1"/>
  <c r="F134" i="37"/>
  <c r="F134" i="41" s="1"/>
  <c r="E134" i="37"/>
  <c r="E134" i="41" s="1"/>
  <c r="D134" i="37"/>
  <c r="D134" i="41" s="1"/>
  <c r="C134" i="37"/>
  <c r="C134" i="41" s="1"/>
  <c r="B134" i="37"/>
  <c r="B134" i="41" s="1"/>
  <c r="A134" i="37"/>
  <c r="A134" i="41" s="1"/>
  <c r="G133" i="37"/>
  <c r="G133" i="41" s="1"/>
  <c r="F133" i="37"/>
  <c r="F133" i="41" s="1"/>
  <c r="E133" i="37"/>
  <c r="E133" i="41" s="1"/>
  <c r="D133" i="37"/>
  <c r="D133" i="41" s="1"/>
  <c r="C133" i="37"/>
  <c r="C133" i="41" s="1"/>
  <c r="B133" i="37"/>
  <c r="B133" i="41" s="1"/>
  <c r="A133" i="37"/>
  <c r="A133" i="41" s="1"/>
  <c r="G132" i="37"/>
  <c r="G132" i="41" s="1"/>
  <c r="F132" i="37"/>
  <c r="F132" i="41" s="1"/>
  <c r="E132" i="37"/>
  <c r="E132" i="41" s="1"/>
  <c r="D132" i="37"/>
  <c r="D132" i="41" s="1"/>
  <c r="C132" i="37"/>
  <c r="C132" i="41" s="1"/>
  <c r="B132" i="37"/>
  <c r="B132" i="41" s="1"/>
  <c r="A132" i="37"/>
  <c r="A132" i="41" s="1"/>
  <c r="G131" i="37"/>
  <c r="G131" i="41" s="1"/>
  <c r="F131" i="37"/>
  <c r="F131" i="41" s="1"/>
  <c r="E131" i="37"/>
  <c r="E131" i="41" s="1"/>
  <c r="D131" i="37"/>
  <c r="D131" i="41" s="1"/>
  <c r="C131" i="37"/>
  <c r="C131" i="41" s="1"/>
  <c r="B131" i="37"/>
  <c r="B131" i="41" s="1"/>
  <c r="A131" i="37"/>
  <c r="A131" i="41" s="1"/>
  <c r="G130" i="37"/>
  <c r="G130" i="41" s="1"/>
  <c r="F130" i="37"/>
  <c r="F130" i="41" s="1"/>
  <c r="E130" i="37"/>
  <c r="E130" i="41" s="1"/>
  <c r="D130" i="37"/>
  <c r="D130" i="41" s="1"/>
  <c r="C130" i="37"/>
  <c r="C130" i="41" s="1"/>
  <c r="B130" i="37"/>
  <c r="B130" i="41" s="1"/>
  <c r="A130" i="37"/>
  <c r="A130" i="41" s="1"/>
  <c r="G129" i="37"/>
  <c r="G129" i="41" s="1"/>
  <c r="F129" i="37"/>
  <c r="F129" i="41" s="1"/>
  <c r="E129" i="37"/>
  <c r="E129" i="41" s="1"/>
  <c r="D129" i="37"/>
  <c r="D129" i="41" s="1"/>
  <c r="C129" i="37"/>
  <c r="C129" i="41" s="1"/>
  <c r="B129" i="37"/>
  <c r="B129" i="41" s="1"/>
  <c r="A129" i="37"/>
  <c r="A129" i="41" s="1"/>
  <c r="G128" i="37"/>
  <c r="G128" i="41" s="1"/>
  <c r="F128" i="37"/>
  <c r="F128" i="41" s="1"/>
  <c r="E128" i="37"/>
  <c r="E128" i="41" s="1"/>
  <c r="D128" i="37"/>
  <c r="D128" i="41" s="1"/>
  <c r="C128" i="37"/>
  <c r="C128" i="41" s="1"/>
  <c r="B128" i="37"/>
  <c r="B128" i="41" s="1"/>
  <c r="A128" i="37"/>
  <c r="A128" i="41" s="1"/>
  <c r="G127" i="37"/>
  <c r="G127" i="41" s="1"/>
  <c r="F127" i="37"/>
  <c r="F127" i="41" s="1"/>
  <c r="E127" i="37"/>
  <c r="E127" i="41" s="1"/>
  <c r="D127" i="37"/>
  <c r="D127" i="41" s="1"/>
  <c r="C127" i="37"/>
  <c r="C127" i="41" s="1"/>
  <c r="B127" i="37"/>
  <c r="B127" i="41" s="1"/>
  <c r="A127" i="37"/>
  <c r="A127" i="41" s="1"/>
  <c r="G126" i="37"/>
  <c r="G126" i="41" s="1"/>
  <c r="F126" i="37"/>
  <c r="F126" i="41" s="1"/>
  <c r="E126" i="37"/>
  <c r="E126" i="41" s="1"/>
  <c r="D126" i="37"/>
  <c r="D126" i="41" s="1"/>
  <c r="C126" i="37"/>
  <c r="C126" i="41" s="1"/>
  <c r="B126" i="37"/>
  <c r="B126" i="41" s="1"/>
  <c r="A126" i="37"/>
  <c r="A126" i="41" s="1"/>
  <c r="G125" i="37"/>
  <c r="G125" i="41" s="1"/>
  <c r="F125" i="37"/>
  <c r="F125" i="41" s="1"/>
  <c r="E125" i="37"/>
  <c r="E125" i="41" s="1"/>
  <c r="D125" i="37"/>
  <c r="D125" i="41" s="1"/>
  <c r="C125" i="37"/>
  <c r="C125" i="41" s="1"/>
  <c r="B125" i="37"/>
  <c r="B125" i="41" s="1"/>
  <c r="A125" i="37"/>
  <c r="A125" i="41" s="1"/>
  <c r="G124" i="37"/>
  <c r="G124" i="41" s="1"/>
  <c r="F124" i="37"/>
  <c r="F124" i="41" s="1"/>
  <c r="E124" i="37"/>
  <c r="E124" i="41" s="1"/>
  <c r="D124" i="37"/>
  <c r="D124" i="41" s="1"/>
  <c r="C124" i="37"/>
  <c r="C124" i="41" s="1"/>
  <c r="B124" i="37"/>
  <c r="B124" i="41" s="1"/>
  <c r="A124" i="37"/>
  <c r="A124" i="41" s="1"/>
  <c r="G123" i="37"/>
  <c r="G123" i="41" s="1"/>
  <c r="F123" i="37"/>
  <c r="F123" i="41" s="1"/>
  <c r="E123" i="37"/>
  <c r="E123" i="41" s="1"/>
  <c r="D123" i="37"/>
  <c r="D123" i="41" s="1"/>
  <c r="C123" i="37"/>
  <c r="C123" i="41" s="1"/>
  <c r="B123" i="37"/>
  <c r="B123" i="41" s="1"/>
  <c r="A123" i="37"/>
  <c r="A123" i="41" s="1"/>
  <c r="G122" i="37"/>
  <c r="G122" i="41" s="1"/>
  <c r="F122" i="37"/>
  <c r="F122" i="41" s="1"/>
  <c r="E122" i="37"/>
  <c r="E122" i="41" s="1"/>
  <c r="D122" i="37"/>
  <c r="D122" i="41" s="1"/>
  <c r="C122" i="37"/>
  <c r="C122" i="41" s="1"/>
  <c r="B122" i="37"/>
  <c r="B122" i="41" s="1"/>
  <c r="A122" i="37"/>
  <c r="A122" i="41" s="1"/>
  <c r="G121" i="37"/>
  <c r="G121" i="41" s="1"/>
  <c r="F121" i="37"/>
  <c r="F121" i="41" s="1"/>
  <c r="E121" i="37"/>
  <c r="E121" i="41" s="1"/>
  <c r="D121" i="37"/>
  <c r="D121" i="41" s="1"/>
  <c r="C121" i="37"/>
  <c r="C121" i="41" s="1"/>
  <c r="B121" i="37"/>
  <c r="B121" i="41" s="1"/>
  <c r="A121" i="37"/>
  <c r="A121" i="41" s="1"/>
  <c r="G120" i="37"/>
  <c r="G120" i="41" s="1"/>
  <c r="F120" i="37"/>
  <c r="F120" i="41" s="1"/>
  <c r="E120" i="37"/>
  <c r="E120" i="41" s="1"/>
  <c r="D120" i="37"/>
  <c r="D120" i="41" s="1"/>
  <c r="C120" i="37"/>
  <c r="C120" i="41" s="1"/>
  <c r="B120" i="37"/>
  <c r="B120" i="41" s="1"/>
  <c r="A120" i="37"/>
  <c r="A120" i="41" s="1"/>
  <c r="G119" i="37"/>
  <c r="G119" i="41" s="1"/>
  <c r="F119" i="37"/>
  <c r="F119" i="41" s="1"/>
  <c r="E119" i="37"/>
  <c r="E119" i="41" s="1"/>
  <c r="D119" i="37"/>
  <c r="D119" i="41" s="1"/>
  <c r="C119" i="37"/>
  <c r="C119" i="41" s="1"/>
  <c r="B119" i="37"/>
  <c r="B119" i="41" s="1"/>
  <c r="A119" i="37"/>
  <c r="A119" i="41" s="1"/>
  <c r="G118" i="37"/>
  <c r="G118" i="41" s="1"/>
  <c r="F118" i="37"/>
  <c r="F118" i="41" s="1"/>
  <c r="E118" i="37"/>
  <c r="E118" i="41" s="1"/>
  <c r="D118" i="37"/>
  <c r="D118" i="41" s="1"/>
  <c r="C118" i="37"/>
  <c r="C118" i="41" s="1"/>
  <c r="B118" i="37"/>
  <c r="B118" i="41" s="1"/>
  <c r="A118" i="37"/>
  <c r="A118" i="41" s="1"/>
  <c r="G117" i="37"/>
  <c r="G117" i="41" s="1"/>
  <c r="F117" i="37"/>
  <c r="F117" i="41" s="1"/>
  <c r="E117" i="37"/>
  <c r="E117" i="41" s="1"/>
  <c r="D117" i="37"/>
  <c r="D117" i="41" s="1"/>
  <c r="C117" i="37"/>
  <c r="C117" i="41" s="1"/>
  <c r="B117" i="37"/>
  <c r="B117" i="41" s="1"/>
  <c r="A117" i="37"/>
  <c r="A117" i="41" s="1"/>
  <c r="G116" i="37"/>
  <c r="G116" i="41" s="1"/>
  <c r="F116" i="37"/>
  <c r="F116" i="41" s="1"/>
  <c r="E116" i="37"/>
  <c r="E116" i="41" s="1"/>
  <c r="D116" i="37"/>
  <c r="D116" i="41" s="1"/>
  <c r="C116" i="37"/>
  <c r="C116" i="41" s="1"/>
  <c r="B116" i="37"/>
  <c r="B116" i="41" s="1"/>
  <c r="A116" i="37"/>
  <c r="A116" i="41" s="1"/>
  <c r="G115" i="37"/>
  <c r="G115" i="41" s="1"/>
  <c r="F115" i="37"/>
  <c r="F115" i="41" s="1"/>
  <c r="E115" i="37"/>
  <c r="E115" i="41" s="1"/>
  <c r="D115" i="37"/>
  <c r="D115" i="41" s="1"/>
  <c r="C115" i="37"/>
  <c r="C115" i="41" s="1"/>
  <c r="B115" i="37"/>
  <c r="B115" i="41" s="1"/>
  <c r="A115" i="37"/>
  <c r="A115" i="41" s="1"/>
  <c r="G114" i="37"/>
  <c r="G114" i="41" s="1"/>
  <c r="F114" i="37"/>
  <c r="F114" i="41" s="1"/>
  <c r="E114" i="37"/>
  <c r="E114" i="41" s="1"/>
  <c r="D114" i="37"/>
  <c r="D114" i="41" s="1"/>
  <c r="C114" i="37"/>
  <c r="C114" i="41" s="1"/>
  <c r="B114" i="37"/>
  <c r="B114" i="41" s="1"/>
  <c r="A114" i="37"/>
  <c r="A114" i="41" s="1"/>
  <c r="G113" i="37"/>
  <c r="G113" i="41" s="1"/>
  <c r="F113" i="37"/>
  <c r="F113" i="41" s="1"/>
  <c r="E113" i="37"/>
  <c r="E113" i="41" s="1"/>
  <c r="D113" i="37"/>
  <c r="D113" i="41" s="1"/>
  <c r="C113" i="37"/>
  <c r="C113" i="41" s="1"/>
  <c r="B113" i="37"/>
  <c r="B113" i="41" s="1"/>
  <c r="A113" i="37"/>
  <c r="A113" i="41" s="1"/>
  <c r="G112" i="37"/>
  <c r="G112" i="41" s="1"/>
  <c r="F112" i="37"/>
  <c r="F112" i="41" s="1"/>
  <c r="E112" i="37"/>
  <c r="E112" i="41" s="1"/>
  <c r="D112" i="37"/>
  <c r="D112" i="41" s="1"/>
  <c r="C112" i="37"/>
  <c r="C112" i="41" s="1"/>
  <c r="B112" i="37"/>
  <c r="B112" i="41" s="1"/>
  <c r="A112" i="37"/>
  <c r="A112" i="41" s="1"/>
  <c r="G111" i="37"/>
  <c r="G111" i="41" s="1"/>
  <c r="F111" i="37"/>
  <c r="F111" i="41" s="1"/>
  <c r="E111" i="37"/>
  <c r="E111" i="41" s="1"/>
  <c r="D111" i="37"/>
  <c r="D111" i="41" s="1"/>
  <c r="C111" i="37"/>
  <c r="C111" i="41" s="1"/>
  <c r="B111" i="37"/>
  <c r="B111" i="41" s="1"/>
  <c r="A111" i="37"/>
  <c r="A111" i="41" s="1"/>
  <c r="G110" i="37"/>
  <c r="G110" i="41" s="1"/>
  <c r="F110" i="37"/>
  <c r="F110" i="41" s="1"/>
  <c r="E110" i="37"/>
  <c r="E110" i="41" s="1"/>
  <c r="D110" i="37"/>
  <c r="D110" i="41" s="1"/>
  <c r="C110" i="37"/>
  <c r="C110" i="41" s="1"/>
  <c r="B110" i="37"/>
  <c r="B110" i="41" s="1"/>
  <c r="A110" i="37"/>
  <c r="A110" i="41" s="1"/>
  <c r="G109" i="37"/>
  <c r="G109" i="41" s="1"/>
  <c r="F109" i="37"/>
  <c r="F109" i="41" s="1"/>
  <c r="E109" i="37"/>
  <c r="E109" i="41" s="1"/>
  <c r="D109" i="37"/>
  <c r="D109" i="41" s="1"/>
  <c r="C109" i="37"/>
  <c r="C109" i="41" s="1"/>
  <c r="B109" i="37"/>
  <c r="B109" i="41" s="1"/>
  <c r="A109" i="37"/>
  <c r="A109" i="41" s="1"/>
  <c r="G108" i="37"/>
  <c r="G108" i="41" s="1"/>
  <c r="F108" i="37"/>
  <c r="F108" i="41" s="1"/>
  <c r="E108" i="37"/>
  <c r="E108" i="41" s="1"/>
  <c r="D108" i="37"/>
  <c r="D108" i="41" s="1"/>
  <c r="C108" i="37"/>
  <c r="C108" i="41" s="1"/>
  <c r="B108" i="37"/>
  <c r="B108" i="41" s="1"/>
  <c r="A108" i="37"/>
  <c r="A108" i="41" s="1"/>
  <c r="G107" i="37"/>
  <c r="G107" i="41" s="1"/>
  <c r="F107" i="37"/>
  <c r="F107" i="41" s="1"/>
  <c r="E107" i="37"/>
  <c r="E107" i="41" s="1"/>
  <c r="D107" i="37"/>
  <c r="D107" i="41" s="1"/>
  <c r="C107" i="37"/>
  <c r="C107" i="41" s="1"/>
  <c r="B107" i="37"/>
  <c r="B107" i="41" s="1"/>
  <c r="A107" i="37"/>
  <c r="A107" i="41" s="1"/>
  <c r="G106" i="37"/>
  <c r="G106" i="41" s="1"/>
  <c r="F106" i="37"/>
  <c r="F106" i="41" s="1"/>
  <c r="E106" i="37"/>
  <c r="E106" i="41" s="1"/>
  <c r="D106" i="37"/>
  <c r="D106" i="41" s="1"/>
  <c r="C106" i="37"/>
  <c r="C106" i="41" s="1"/>
  <c r="B106" i="37"/>
  <c r="B106" i="41" s="1"/>
  <c r="A106" i="37"/>
  <c r="A106" i="41" s="1"/>
  <c r="G105" i="37"/>
  <c r="G105" i="41" s="1"/>
  <c r="F105" i="37"/>
  <c r="F105" i="41" s="1"/>
  <c r="E105" i="37"/>
  <c r="E105" i="41" s="1"/>
  <c r="D105" i="37"/>
  <c r="D105" i="41" s="1"/>
  <c r="C105" i="37"/>
  <c r="C105" i="41" s="1"/>
  <c r="B105" i="37"/>
  <c r="B105" i="41" s="1"/>
  <c r="A105" i="37"/>
  <c r="A105" i="41" s="1"/>
  <c r="G104" i="37"/>
  <c r="G104" i="41" s="1"/>
  <c r="F104" i="37"/>
  <c r="F104" i="41" s="1"/>
  <c r="E104" i="37"/>
  <c r="E104" i="41" s="1"/>
  <c r="D104" i="37"/>
  <c r="D104" i="41" s="1"/>
  <c r="C104" i="37"/>
  <c r="C104" i="41" s="1"/>
  <c r="B104" i="37"/>
  <c r="B104" i="41" s="1"/>
  <c r="A104" i="37"/>
  <c r="A104" i="41" s="1"/>
  <c r="G103" i="37"/>
  <c r="G103" i="41" s="1"/>
  <c r="F103" i="37"/>
  <c r="F103" i="41" s="1"/>
  <c r="E103" i="37"/>
  <c r="E103" i="41" s="1"/>
  <c r="D103" i="37"/>
  <c r="D103" i="41" s="1"/>
  <c r="C103" i="37"/>
  <c r="C103" i="41" s="1"/>
  <c r="B103" i="37"/>
  <c r="B103" i="41" s="1"/>
  <c r="A103" i="37"/>
  <c r="A103" i="41" s="1"/>
  <c r="G102" i="37"/>
  <c r="G102" i="41" s="1"/>
  <c r="F102" i="37"/>
  <c r="F102" i="41" s="1"/>
  <c r="E102" i="37"/>
  <c r="E102" i="41" s="1"/>
  <c r="D102" i="37"/>
  <c r="D102" i="41" s="1"/>
  <c r="C102" i="37"/>
  <c r="C102" i="41" s="1"/>
  <c r="B102" i="37"/>
  <c r="B102" i="41" s="1"/>
  <c r="A102" i="37"/>
  <c r="A102" i="41" s="1"/>
  <c r="G101" i="37"/>
  <c r="G101" i="41" s="1"/>
  <c r="F101" i="37"/>
  <c r="F101" i="41" s="1"/>
  <c r="E101" i="37"/>
  <c r="E101" i="41" s="1"/>
  <c r="D101" i="37"/>
  <c r="D101" i="41" s="1"/>
  <c r="C101" i="37"/>
  <c r="C101" i="41" s="1"/>
  <c r="B101" i="37"/>
  <c r="B101" i="41" s="1"/>
  <c r="A101" i="37"/>
  <c r="A101" i="41" s="1"/>
  <c r="G100" i="37"/>
  <c r="G100" i="41" s="1"/>
  <c r="F100" i="37"/>
  <c r="F100" i="41" s="1"/>
  <c r="E100" i="37"/>
  <c r="E100" i="41" s="1"/>
  <c r="D100" i="37"/>
  <c r="D100" i="41" s="1"/>
  <c r="C100" i="37"/>
  <c r="C100" i="41" s="1"/>
  <c r="B100" i="37"/>
  <c r="B100" i="41" s="1"/>
  <c r="A100" i="37"/>
  <c r="A100" i="41" s="1"/>
  <c r="G99" i="37"/>
  <c r="G99" i="41" s="1"/>
  <c r="F99" i="37"/>
  <c r="F99" i="41" s="1"/>
  <c r="E99" i="37"/>
  <c r="E99" i="41" s="1"/>
  <c r="D99" i="37"/>
  <c r="D99" i="41" s="1"/>
  <c r="C99" i="37"/>
  <c r="C99" i="41" s="1"/>
  <c r="B99" i="37"/>
  <c r="B99" i="41" s="1"/>
  <c r="A99" i="37"/>
  <c r="A99" i="41" s="1"/>
  <c r="G98" i="37"/>
  <c r="G98" i="41" s="1"/>
  <c r="F98" i="37"/>
  <c r="F98" i="41" s="1"/>
  <c r="E98" i="37"/>
  <c r="E98" i="41" s="1"/>
  <c r="D98" i="37"/>
  <c r="D98" i="41" s="1"/>
  <c r="C98" i="37"/>
  <c r="C98" i="41" s="1"/>
  <c r="B98" i="37"/>
  <c r="B98" i="41" s="1"/>
  <c r="A98" i="37"/>
  <c r="A98" i="41" s="1"/>
  <c r="G97" i="37"/>
  <c r="G97" i="41" s="1"/>
  <c r="F97" i="37"/>
  <c r="F97" i="41" s="1"/>
  <c r="E97" i="37"/>
  <c r="E97" i="41" s="1"/>
  <c r="D97" i="37"/>
  <c r="D97" i="41" s="1"/>
  <c r="C97" i="37"/>
  <c r="C97" i="41" s="1"/>
  <c r="B97" i="37"/>
  <c r="B97" i="41" s="1"/>
  <c r="A97" i="37"/>
  <c r="A97" i="41" s="1"/>
  <c r="G96" i="37"/>
  <c r="G96" i="41" s="1"/>
  <c r="F96" i="37"/>
  <c r="F96" i="41" s="1"/>
  <c r="E96" i="37"/>
  <c r="E96" i="41" s="1"/>
  <c r="D96" i="37"/>
  <c r="D96" i="41" s="1"/>
  <c r="C96" i="37"/>
  <c r="C96" i="41" s="1"/>
  <c r="B96" i="37"/>
  <c r="B96" i="41" s="1"/>
  <c r="A96" i="37"/>
  <c r="A96" i="41" s="1"/>
  <c r="G95" i="37"/>
  <c r="G95" i="41" s="1"/>
  <c r="F95" i="37"/>
  <c r="F95" i="41" s="1"/>
  <c r="E95" i="37"/>
  <c r="E95" i="41" s="1"/>
  <c r="D95" i="37"/>
  <c r="D95" i="41" s="1"/>
  <c r="C95" i="37"/>
  <c r="C95" i="41" s="1"/>
  <c r="B95" i="37"/>
  <c r="B95" i="41" s="1"/>
  <c r="A95" i="37"/>
  <c r="A95" i="41" s="1"/>
  <c r="G94" i="37"/>
  <c r="G94" i="41" s="1"/>
  <c r="F94" i="37"/>
  <c r="F94" i="41" s="1"/>
  <c r="E94" i="37"/>
  <c r="E94" i="41" s="1"/>
  <c r="D94" i="37"/>
  <c r="D94" i="41" s="1"/>
  <c r="C94" i="37"/>
  <c r="C94" i="41" s="1"/>
  <c r="B94" i="37"/>
  <c r="B94" i="41" s="1"/>
  <c r="A94" i="37"/>
  <c r="A94" i="41" s="1"/>
  <c r="G93" i="37"/>
  <c r="G93" i="41" s="1"/>
  <c r="F93" i="37"/>
  <c r="F93" i="41" s="1"/>
  <c r="E93" i="37"/>
  <c r="E93" i="41" s="1"/>
  <c r="D93" i="37"/>
  <c r="D93" i="41" s="1"/>
  <c r="C93" i="37"/>
  <c r="C93" i="41" s="1"/>
  <c r="B93" i="37"/>
  <c r="B93" i="41" s="1"/>
  <c r="A93" i="37"/>
  <c r="A93" i="41" s="1"/>
  <c r="G92" i="37"/>
  <c r="G92" i="41" s="1"/>
  <c r="F92" i="37"/>
  <c r="F92" i="41" s="1"/>
  <c r="E92" i="37"/>
  <c r="E92" i="41" s="1"/>
  <c r="D92" i="37"/>
  <c r="D92" i="41" s="1"/>
  <c r="C92" i="37"/>
  <c r="C92" i="41" s="1"/>
  <c r="B92" i="37"/>
  <c r="B92" i="41" s="1"/>
  <c r="A92" i="37"/>
  <c r="A92" i="41" s="1"/>
  <c r="G91" i="37"/>
  <c r="G91" i="41" s="1"/>
  <c r="F91" i="37"/>
  <c r="F91" i="41" s="1"/>
  <c r="E91" i="37"/>
  <c r="E91" i="41" s="1"/>
  <c r="D91" i="37"/>
  <c r="D91" i="41" s="1"/>
  <c r="C91" i="37"/>
  <c r="C91" i="41" s="1"/>
  <c r="B91" i="37"/>
  <c r="B91" i="41" s="1"/>
  <c r="A91" i="37"/>
  <c r="A91" i="41" s="1"/>
  <c r="G90" i="37"/>
  <c r="G90" i="41" s="1"/>
  <c r="F90" i="37"/>
  <c r="F90" i="41" s="1"/>
  <c r="E90" i="37"/>
  <c r="E90" i="41" s="1"/>
  <c r="D90" i="37"/>
  <c r="D90" i="41" s="1"/>
  <c r="C90" i="37"/>
  <c r="C90" i="41" s="1"/>
  <c r="B90" i="37"/>
  <c r="B90" i="41" s="1"/>
  <c r="A90" i="37"/>
  <c r="A90" i="41" s="1"/>
  <c r="G89" i="37"/>
  <c r="G89" i="41" s="1"/>
  <c r="F89" i="37"/>
  <c r="F89" i="41" s="1"/>
  <c r="E89" i="37"/>
  <c r="E89" i="41" s="1"/>
  <c r="D89" i="37"/>
  <c r="D89" i="41" s="1"/>
  <c r="C89" i="37"/>
  <c r="C89" i="41" s="1"/>
  <c r="B89" i="37"/>
  <c r="B89" i="41" s="1"/>
  <c r="A89" i="37"/>
  <c r="A89" i="41" s="1"/>
  <c r="G88" i="37"/>
  <c r="G88" i="41" s="1"/>
  <c r="F88" i="37"/>
  <c r="F88" i="41" s="1"/>
  <c r="E88" i="37"/>
  <c r="E88" i="41" s="1"/>
  <c r="D88" i="37"/>
  <c r="D88" i="41" s="1"/>
  <c r="C88" i="37"/>
  <c r="C88" i="41" s="1"/>
  <c r="B88" i="37"/>
  <c r="B88" i="41" s="1"/>
  <c r="A88" i="37"/>
  <c r="A88" i="41" s="1"/>
  <c r="G87" i="37"/>
  <c r="G87" i="41" s="1"/>
  <c r="F87" i="37"/>
  <c r="F87" i="41" s="1"/>
  <c r="E87" i="37"/>
  <c r="E87" i="41" s="1"/>
  <c r="D87" i="37"/>
  <c r="D87" i="41" s="1"/>
  <c r="C87" i="37"/>
  <c r="C87" i="41" s="1"/>
  <c r="B87" i="37"/>
  <c r="B87" i="41" s="1"/>
  <c r="A87" i="37"/>
  <c r="A87" i="41" s="1"/>
  <c r="G86" i="37"/>
  <c r="G86" i="41" s="1"/>
  <c r="F86" i="37"/>
  <c r="F86" i="41" s="1"/>
  <c r="E86" i="37"/>
  <c r="E86" i="41" s="1"/>
  <c r="D86" i="37"/>
  <c r="D86" i="41" s="1"/>
  <c r="C86" i="37"/>
  <c r="C86" i="41" s="1"/>
  <c r="B86" i="37"/>
  <c r="B86" i="41" s="1"/>
  <c r="A86" i="37"/>
  <c r="A86" i="41" s="1"/>
  <c r="G85" i="37"/>
  <c r="G85" i="41" s="1"/>
  <c r="F85" i="37"/>
  <c r="F85" i="41" s="1"/>
  <c r="E85" i="37"/>
  <c r="E85" i="41" s="1"/>
  <c r="D85" i="37"/>
  <c r="D85" i="41" s="1"/>
  <c r="C85" i="37"/>
  <c r="C85" i="41" s="1"/>
  <c r="B85" i="37"/>
  <c r="B85" i="41" s="1"/>
  <c r="A85" i="37"/>
  <c r="A85" i="41" s="1"/>
  <c r="G84" i="37"/>
  <c r="G84" i="41" s="1"/>
  <c r="F84" i="37"/>
  <c r="F84" i="41" s="1"/>
  <c r="E84" i="37"/>
  <c r="E84" i="41" s="1"/>
  <c r="D84" i="37"/>
  <c r="D84" i="41" s="1"/>
  <c r="C84" i="37"/>
  <c r="C84" i="41" s="1"/>
  <c r="B84" i="37"/>
  <c r="B84" i="41" s="1"/>
  <c r="A84" i="37"/>
  <c r="A84" i="41" s="1"/>
  <c r="G83" i="37"/>
  <c r="G83" i="41" s="1"/>
  <c r="F83" i="37"/>
  <c r="F83" i="41" s="1"/>
  <c r="E83" i="37"/>
  <c r="E83" i="41" s="1"/>
  <c r="D83" i="37"/>
  <c r="D83" i="41" s="1"/>
  <c r="C83" i="37"/>
  <c r="C83" i="41" s="1"/>
  <c r="B83" i="37"/>
  <c r="B83" i="41" s="1"/>
  <c r="A83" i="37"/>
  <c r="A83" i="41" s="1"/>
  <c r="G82" i="37"/>
  <c r="G82" i="41" s="1"/>
  <c r="F82" i="37"/>
  <c r="F82" i="41" s="1"/>
  <c r="E82" i="37"/>
  <c r="E82" i="41" s="1"/>
  <c r="D82" i="37"/>
  <c r="D82" i="41" s="1"/>
  <c r="C82" i="37"/>
  <c r="C82" i="41" s="1"/>
  <c r="B82" i="37"/>
  <c r="B82" i="41" s="1"/>
  <c r="A82" i="37"/>
  <c r="A82" i="41" s="1"/>
  <c r="G81" i="37"/>
  <c r="G81" i="41" s="1"/>
  <c r="F81" i="37"/>
  <c r="F81" i="41" s="1"/>
  <c r="E81" i="37"/>
  <c r="E81" i="41" s="1"/>
  <c r="D81" i="37"/>
  <c r="D81" i="41" s="1"/>
  <c r="C81" i="37"/>
  <c r="C81" i="41" s="1"/>
  <c r="B81" i="37"/>
  <c r="B81" i="41" s="1"/>
  <c r="A81" i="37"/>
  <c r="A81" i="41" s="1"/>
  <c r="G80" i="37"/>
  <c r="G80" i="41" s="1"/>
  <c r="F80" i="37"/>
  <c r="F80" i="41" s="1"/>
  <c r="E80" i="37"/>
  <c r="E80" i="41" s="1"/>
  <c r="D80" i="37"/>
  <c r="D80" i="41" s="1"/>
  <c r="C80" i="37"/>
  <c r="C80" i="41" s="1"/>
  <c r="B80" i="37"/>
  <c r="B80" i="41" s="1"/>
  <c r="A80" i="37"/>
  <c r="A80" i="41" s="1"/>
  <c r="G79" i="37"/>
  <c r="G79" i="41" s="1"/>
  <c r="F79" i="37"/>
  <c r="F79" i="41" s="1"/>
  <c r="E79" i="37"/>
  <c r="E79" i="41" s="1"/>
  <c r="D79" i="37"/>
  <c r="D79" i="41" s="1"/>
  <c r="C79" i="37"/>
  <c r="C79" i="41" s="1"/>
  <c r="B79" i="37"/>
  <c r="B79" i="41" s="1"/>
  <c r="A79" i="37"/>
  <c r="A79" i="41" s="1"/>
  <c r="G78" i="37"/>
  <c r="G78" i="41" s="1"/>
  <c r="F78" i="37"/>
  <c r="F78" i="41" s="1"/>
  <c r="E78" i="37"/>
  <c r="E78" i="41" s="1"/>
  <c r="D78" i="37"/>
  <c r="D78" i="41" s="1"/>
  <c r="C78" i="37"/>
  <c r="C78" i="41" s="1"/>
  <c r="B78" i="37"/>
  <c r="B78" i="41" s="1"/>
  <c r="A78" i="37"/>
  <c r="A78" i="41" s="1"/>
  <c r="G77" i="37"/>
  <c r="G77" i="41" s="1"/>
  <c r="F77" i="37"/>
  <c r="F77" i="41" s="1"/>
  <c r="E77" i="37"/>
  <c r="E77" i="41" s="1"/>
  <c r="D77" i="37"/>
  <c r="D77" i="41" s="1"/>
  <c r="C77" i="37"/>
  <c r="C77" i="41" s="1"/>
  <c r="B77" i="37"/>
  <c r="B77" i="41" s="1"/>
  <c r="A77" i="37"/>
  <c r="A77" i="41" s="1"/>
  <c r="G76" i="37"/>
  <c r="G76" i="41" s="1"/>
  <c r="F76" i="37"/>
  <c r="F76" i="41" s="1"/>
  <c r="E76" i="37"/>
  <c r="E76" i="41" s="1"/>
  <c r="D76" i="37"/>
  <c r="D76" i="41" s="1"/>
  <c r="C76" i="37"/>
  <c r="C76" i="41" s="1"/>
  <c r="B76" i="37"/>
  <c r="B76" i="41" s="1"/>
  <c r="A76" i="37"/>
  <c r="A76" i="41" s="1"/>
  <c r="G75" i="37"/>
  <c r="G75" i="41" s="1"/>
  <c r="F75" i="37"/>
  <c r="F75" i="41" s="1"/>
  <c r="E75" i="37"/>
  <c r="E75" i="41" s="1"/>
  <c r="D75" i="37"/>
  <c r="D75" i="41" s="1"/>
  <c r="C75" i="37"/>
  <c r="C75" i="41" s="1"/>
  <c r="B75" i="37"/>
  <c r="B75" i="41" s="1"/>
  <c r="A75" i="37"/>
  <c r="A75" i="41" s="1"/>
  <c r="G74" i="37"/>
  <c r="G74" i="41" s="1"/>
  <c r="F74" i="37"/>
  <c r="F74" i="41" s="1"/>
  <c r="E74" i="37"/>
  <c r="E74" i="41" s="1"/>
  <c r="D74" i="37"/>
  <c r="D74" i="41" s="1"/>
  <c r="C74" i="37"/>
  <c r="C74" i="41" s="1"/>
  <c r="B74" i="37"/>
  <c r="B74" i="41" s="1"/>
  <c r="A74" i="37"/>
  <c r="A74" i="41" s="1"/>
  <c r="G73" i="37"/>
  <c r="G73" i="41" s="1"/>
  <c r="F73" i="37"/>
  <c r="F73" i="41" s="1"/>
  <c r="E73" i="37"/>
  <c r="E73" i="41" s="1"/>
  <c r="D73" i="37"/>
  <c r="D73" i="41" s="1"/>
  <c r="C73" i="37"/>
  <c r="C73" i="41" s="1"/>
  <c r="B73" i="37"/>
  <c r="B73" i="41" s="1"/>
  <c r="A73" i="37"/>
  <c r="A73" i="41" s="1"/>
  <c r="G72" i="37"/>
  <c r="G72" i="41" s="1"/>
  <c r="F72" i="37"/>
  <c r="F72" i="41" s="1"/>
  <c r="E72" i="37"/>
  <c r="E72" i="41" s="1"/>
  <c r="D72" i="37"/>
  <c r="D72" i="41" s="1"/>
  <c r="C72" i="37"/>
  <c r="C72" i="41" s="1"/>
  <c r="B72" i="37"/>
  <c r="B72" i="41" s="1"/>
  <c r="A72" i="37"/>
  <c r="A72" i="41" s="1"/>
  <c r="G71" i="37"/>
  <c r="G71" i="41" s="1"/>
  <c r="F71" i="37"/>
  <c r="F71" i="41" s="1"/>
  <c r="E71" i="37"/>
  <c r="E71" i="41" s="1"/>
  <c r="D71" i="37"/>
  <c r="D71" i="41" s="1"/>
  <c r="C71" i="37"/>
  <c r="C71" i="41" s="1"/>
  <c r="B71" i="37"/>
  <c r="B71" i="41" s="1"/>
  <c r="A71" i="37"/>
  <c r="A71" i="41" s="1"/>
  <c r="G70" i="37"/>
  <c r="G70" i="41" s="1"/>
  <c r="F70" i="37"/>
  <c r="F70" i="41" s="1"/>
  <c r="E70" i="37"/>
  <c r="E70" i="41" s="1"/>
  <c r="D70" i="37"/>
  <c r="D70" i="41" s="1"/>
  <c r="C70" i="37"/>
  <c r="C70" i="41" s="1"/>
  <c r="B70" i="37"/>
  <c r="B70" i="41" s="1"/>
  <c r="A70" i="37"/>
  <c r="A70" i="41" s="1"/>
  <c r="G69" i="37"/>
  <c r="G69" i="41" s="1"/>
  <c r="F69" i="37"/>
  <c r="F69" i="41" s="1"/>
  <c r="E69" i="37"/>
  <c r="E69" i="41" s="1"/>
  <c r="D69" i="37"/>
  <c r="D69" i="41" s="1"/>
  <c r="C69" i="37"/>
  <c r="C69" i="41" s="1"/>
  <c r="B69" i="37"/>
  <c r="B69" i="41" s="1"/>
  <c r="A69" i="37"/>
  <c r="A69" i="41" s="1"/>
  <c r="G68" i="37"/>
  <c r="G68" i="41" s="1"/>
  <c r="F68" i="37"/>
  <c r="F68" i="41" s="1"/>
  <c r="E68" i="37"/>
  <c r="E68" i="41" s="1"/>
  <c r="D68" i="37"/>
  <c r="D68" i="41" s="1"/>
  <c r="C68" i="37"/>
  <c r="C68" i="41" s="1"/>
  <c r="B68" i="37"/>
  <c r="B68" i="41" s="1"/>
  <c r="A68" i="37"/>
  <c r="A68" i="41" s="1"/>
  <c r="G67" i="37"/>
  <c r="G67" i="41" s="1"/>
  <c r="F67" i="37"/>
  <c r="F67" i="41" s="1"/>
  <c r="E67" i="37"/>
  <c r="E67" i="41" s="1"/>
  <c r="D67" i="37"/>
  <c r="D67" i="41" s="1"/>
  <c r="C67" i="37"/>
  <c r="C67" i="41" s="1"/>
  <c r="B67" i="37"/>
  <c r="B67" i="41" s="1"/>
  <c r="A67" i="37"/>
  <c r="A67" i="41" s="1"/>
  <c r="G66" i="37"/>
  <c r="G66" i="41" s="1"/>
  <c r="F66" i="37"/>
  <c r="F66" i="41" s="1"/>
  <c r="E66" i="37"/>
  <c r="E66" i="41" s="1"/>
  <c r="D66" i="37"/>
  <c r="D66" i="41" s="1"/>
  <c r="C66" i="37"/>
  <c r="C66" i="41" s="1"/>
  <c r="B66" i="37"/>
  <c r="B66" i="41" s="1"/>
  <c r="A66" i="37"/>
  <c r="A66" i="41" s="1"/>
  <c r="G65" i="37"/>
  <c r="G65" i="41" s="1"/>
  <c r="F65" i="37"/>
  <c r="F65" i="41" s="1"/>
  <c r="E65" i="37"/>
  <c r="E65" i="41" s="1"/>
  <c r="D65" i="37"/>
  <c r="D65" i="41" s="1"/>
  <c r="C65" i="37"/>
  <c r="C65" i="41" s="1"/>
  <c r="B65" i="37"/>
  <c r="B65" i="41" s="1"/>
  <c r="A65" i="37"/>
  <c r="A65" i="41" s="1"/>
  <c r="G64" i="37"/>
  <c r="G64" i="41" s="1"/>
  <c r="F64" i="37"/>
  <c r="F64" i="41" s="1"/>
  <c r="E64" i="37"/>
  <c r="E64" i="41" s="1"/>
  <c r="D64" i="37"/>
  <c r="D64" i="41" s="1"/>
  <c r="C64" i="37"/>
  <c r="C64" i="41" s="1"/>
  <c r="B64" i="37"/>
  <c r="B64" i="41" s="1"/>
  <c r="A64" i="37"/>
  <c r="A64" i="41" s="1"/>
  <c r="G63" i="37"/>
  <c r="G63" i="41" s="1"/>
  <c r="F63" i="37"/>
  <c r="F63" i="41" s="1"/>
  <c r="E63" i="37"/>
  <c r="E63" i="41" s="1"/>
  <c r="D63" i="37"/>
  <c r="D63" i="41" s="1"/>
  <c r="C63" i="37"/>
  <c r="C63" i="41" s="1"/>
  <c r="B63" i="37"/>
  <c r="B63" i="41" s="1"/>
  <c r="A63" i="37"/>
  <c r="A63" i="41" s="1"/>
  <c r="G62" i="37"/>
  <c r="G62" i="41" s="1"/>
  <c r="F62" i="37"/>
  <c r="F62" i="41" s="1"/>
  <c r="E62" i="37"/>
  <c r="E62" i="41" s="1"/>
  <c r="D62" i="37"/>
  <c r="D62" i="41" s="1"/>
  <c r="C62" i="37"/>
  <c r="C62" i="41" s="1"/>
  <c r="B62" i="37"/>
  <c r="B62" i="41" s="1"/>
  <c r="A62" i="37"/>
  <c r="A62" i="41" s="1"/>
  <c r="G61" i="37"/>
  <c r="G61" i="41" s="1"/>
  <c r="F61" i="37"/>
  <c r="F61" i="41" s="1"/>
  <c r="E61" i="37"/>
  <c r="E61" i="41" s="1"/>
  <c r="D61" i="37"/>
  <c r="D61" i="41" s="1"/>
  <c r="C61" i="37"/>
  <c r="C61" i="41" s="1"/>
  <c r="B61" i="37"/>
  <c r="B61" i="41" s="1"/>
  <c r="A61" i="37"/>
  <c r="A61" i="41" s="1"/>
  <c r="G60" i="37"/>
  <c r="G60" i="41" s="1"/>
  <c r="F60" i="37"/>
  <c r="F60" i="41" s="1"/>
  <c r="E60" i="37"/>
  <c r="E60" i="41" s="1"/>
  <c r="D60" i="37"/>
  <c r="D60" i="41" s="1"/>
  <c r="C60" i="37"/>
  <c r="C60" i="41" s="1"/>
  <c r="B60" i="37"/>
  <c r="B60" i="41" s="1"/>
  <c r="A60" i="37"/>
  <c r="A60" i="41" s="1"/>
  <c r="G59" i="37"/>
  <c r="G59" i="41" s="1"/>
  <c r="F59" i="37"/>
  <c r="F59" i="41" s="1"/>
  <c r="E59" i="37"/>
  <c r="E59" i="41" s="1"/>
  <c r="D59" i="37"/>
  <c r="D59" i="41" s="1"/>
  <c r="C59" i="37"/>
  <c r="C59" i="41" s="1"/>
  <c r="B59" i="37"/>
  <c r="B59" i="41" s="1"/>
  <c r="A59" i="37"/>
  <c r="A59" i="41" s="1"/>
  <c r="G58" i="37"/>
  <c r="G58" i="41" s="1"/>
  <c r="F58" i="37"/>
  <c r="F58" i="41" s="1"/>
  <c r="E58" i="37"/>
  <c r="E58" i="41" s="1"/>
  <c r="D58" i="37"/>
  <c r="D58" i="41" s="1"/>
  <c r="C58" i="37"/>
  <c r="C58" i="41" s="1"/>
  <c r="B58" i="37"/>
  <c r="B58" i="41" s="1"/>
  <c r="A58" i="37"/>
  <c r="A58" i="41" s="1"/>
  <c r="G57" i="37"/>
  <c r="G57" i="41" s="1"/>
  <c r="F57" i="37"/>
  <c r="F57" i="41" s="1"/>
  <c r="E57" i="37"/>
  <c r="E57" i="41" s="1"/>
  <c r="D57" i="37"/>
  <c r="D57" i="41" s="1"/>
  <c r="C57" i="37"/>
  <c r="C57" i="41" s="1"/>
  <c r="B57" i="37"/>
  <c r="B57" i="41" s="1"/>
  <c r="A57" i="37"/>
  <c r="A57" i="41" s="1"/>
  <c r="G56" i="37"/>
  <c r="G56" i="41" s="1"/>
  <c r="F56" i="37"/>
  <c r="F56" i="41" s="1"/>
  <c r="E56" i="37"/>
  <c r="E56" i="41" s="1"/>
  <c r="D56" i="37"/>
  <c r="D56" i="41" s="1"/>
  <c r="C56" i="37"/>
  <c r="C56" i="41" s="1"/>
  <c r="B56" i="37"/>
  <c r="B56" i="41" s="1"/>
  <c r="A56" i="37"/>
  <c r="A56" i="41" s="1"/>
  <c r="G55" i="37"/>
  <c r="G55" i="41" s="1"/>
  <c r="F55" i="37"/>
  <c r="F55" i="41" s="1"/>
  <c r="E55" i="37"/>
  <c r="E55" i="41" s="1"/>
  <c r="D55" i="37"/>
  <c r="D55" i="41" s="1"/>
  <c r="C55" i="37"/>
  <c r="C55" i="41" s="1"/>
  <c r="B55" i="37"/>
  <c r="B55" i="41" s="1"/>
  <c r="A55" i="37"/>
  <c r="A55" i="41" s="1"/>
  <c r="G54" i="37"/>
  <c r="G54" i="41" s="1"/>
  <c r="F54" i="37"/>
  <c r="F54" i="41" s="1"/>
  <c r="E54" i="37"/>
  <c r="E54" i="41" s="1"/>
  <c r="D54" i="37"/>
  <c r="D54" i="41" s="1"/>
  <c r="C54" i="37"/>
  <c r="C54" i="41" s="1"/>
  <c r="B54" i="37"/>
  <c r="B54" i="41" s="1"/>
  <c r="A54" i="37"/>
  <c r="A54" i="41" s="1"/>
  <c r="G53" i="37"/>
  <c r="G53" i="41" s="1"/>
  <c r="F53" i="37"/>
  <c r="F53" i="41" s="1"/>
  <c r="E53" i="37"/>
  <c r="E53" i="41" s="1"/>
  <c r="D53" i="37"/>
  <c r="D53" i="41" s="1"/>
  <c r="C53" i="37"/>
  <c r="C53" i="41" s="1"/>
  <c r="B53" i="37"/>
  <c r="B53" i="41" s="1"/>
  <c r="A53" i="37"/>
  <c r="A53" i="41" s="1"/>
  <c r="G52" i="37"/>
  <c r="G52" i="41" s="1"/>
  <c r="F52" i="37"/>
  <c r="F52" i="41" s="1"/>
  <c r="E52" i="37"/>
  <c r="E52" i="41" s="1"/>
  <c r="D52" i="37"/>
  <c r="D52" i="41" s="1"/>
  <c r="C52" i="37"/>
  <c r="C52" i="41" s="1"/>
  <c r="B52" i="37"/>
  <c r="B52" i="41" s="1"/>
  <c r="A52" i="37"/>
  <c r="A52" i="41" s="1"/>
  <c r="G51" i="37"/>
  <c r="G51" i="41" s="1"/>
  <c r="F51" i="37"/>
  <c r="F51" i="41" s="1"/>
  <c r="E51" i="37"/>
  <c r="E51" i="41" s="1"/>
  <c r="D51" i="37"/>
  <c r="D51" i="41" s="1"/>
  <c r="C51" i="37"/>
  <c r="C51" i="41" s="1"/>
  <c r="B51" i="37"/>
  <c r="B51" i="41" s="1"/>
  <c r="A51" i="37"/>
  <c r="A51" i="41" s="1"/>
  <c r="G50" i="37"/>
  <c r="G50" i="41" s="1"/>
  <c r="F50" i="37"/>
  <c r="F50" i="41" s="1"/>
  <c r="E50" i="37"/>
  <c r="E50" i="41" s="1"/>
  <c r="D50" i="37"/>
  <c r="D50" i="41" s="1"/>
  <c r="C50" i="37"/>
  <c r="C50" i="41" s="1"/>
  <c r="B50" i="37"/>
  <c r="B50" i="41" s="1"/>
  <c r="A50" i="37"/>
  <c r="A50" i="41" s="1"/>
  <c r="G49" i="37"/>
  <c r="G49" i="41" s="1"/>
  <c r="F49" i="37"/>
  <c r="F49" i="41" s="1"/>
  <c r="E49" i="37"/>
  <c r="E49" i="41" s="1"/>
  <c r="D49" i="37"/>
  <c r="D49" i="41" s="1"/>
  <c r="C49" i="37"/>
  <c r="C49" i="41" s="1"/>
  <c r="B49" i="37"/>
  <c r="B49" i="41" s="1"/>
  <c r="A49" i="37"/>
  <c r="A49" i="41" s="1"/>
  <c r="G48" i="37"/>
  <c r="G48" i="41" s="1"/>
  <c r="F48" i="37"/>
  <c r="F48" i="41" s="1"/>
  <c r="E48" i="37"/>
  <c r="E48" i="41" s="1"/>
  <c r="D48" i="37"/>
  <c r="D48" i="41" s="1"/>
  <c r="C48" i="37"/>
  <c r="C48" i="41" s="1"/>
  <c r="B48" i="37"/>
  <c r="B48" i="41" s="1"/>
  <c r="A48" i="37"/>
  <c r="A48" i="41" s="1"/>
  <c r="G47" i="37"/>
  <c r="G47" i="41" s="1"/>
  <c r="F47" i="37"/>
  <c r="F47" i="41" s="1"/>
  <c r="E47" i="37"/>
  <c r="E47" i="41" s="1"/>
  <c r="D47" i="37"/>
  <c r="D47" i="41" s="1"/>
  <c r="C47" i="37"/>
  <c r="C47" i="41" s="1"/>
  <c r="B47" i="37"/>
  <c r="B47" i="41" s="1"/>
  <c r="A47" i="37"/>
  <c r="A47" i="41" s="1"/>
  <c r="G46" i="37"/>
  <c r="G46" i="41" s="1"/>
  <c r="F46" i="37"/>
  <c r="F46" i="41" s="1"/>
  <c r="E46" i="37"/>
  <c r="E46" i="41" s="1"/>
  <c r="D46" i="37"/>
  <c r="D46" i="41" s="1"/>
  <c r="C46" i="37"/>
  <c r="C46" i="41" s="1"/>
  <c r="B46" i="37"/>
  <c r="B46" i="41" s="1"/>
  <c r="A46" i="37"/>
  <c r="A46" i="41" s="1"/>
  <c r="G45" i="37"/>
  <c r="G45" i="41" s="1"/>
  <c r="F45" i="37"/>
  <c r="F45" i="41" s="1"/>
  <c r="E45" i="37"/>
  <c r="E45" i="41" s="1"/>
  <c r="D45" i="37"/>
  <c r="D45" i="41" s="1"/>
  <c r="C45" i="37"/>
  <c r="C45" i="41" s="1"/>
  <c r="B45" i="37"/>
  <c r="B45" i="41" s="1"/>
  <c r="A45" i="37"/>
  <c r="A45" i="41" s="1"/>
  <c r="G44" i="37"/>
  <c r="G44" i="41" s="1"/>
  <c r="F44" i="37"/>
  <c r="F44" i="41" s="1"/>
  <c r="E44" i="37"/>
  <c r="E44" i="41" s="1"/>
  <c r="D44" i="37"/>
  <c r="D44" i="41" s="1"/>
  <c r="C44" i="37"/>
  <c r="C44" i="41" s="1"/>
  <c r="B44" i="37"/>
  <c r="B44" i="41" s="1"/>
  <c r="A44" i="37"/>
  <c r="A44" i="41" s="1"/>
  <c r="G43" i="37"/>
  <c r="G43" i="41" s="1"/>
  <c r="F43" i="37"/>
  <c r="F43" i="41" s="1"/>
  <c r="E43" i="37"/>
  <c r="E43" i="41" s="1"/>
  <c r="D43" i="37"/>
  <c r="D43" i="41" s="1"/>
  <c r="C43" i="37"/>
  <c r="C43" i="41" s="1"/>
  <c r="B43" i="37"/>
  <c r="B43" i="41" s="1"/>
  <c r="A43" i="37"/>
  <c r="A43" i="41" s="1"/>
  <c r="G42" i="37"/>
  <c r="G42" i="41" s="1"/>
  <c r="F42" i="37"/>
  <c r="F42" i="41" s="1"/>
  <c r="E42" i="37"/>
  <c r="E42" i="41" s="1"/>
  <c r="D42" i="37"/>
  <c r="D42" i="41" s="1"/>
  <c r="C42" i="37"/>
  <c r="C42" i="41" s="1"/>
  <c r="B42" i="37"/>
  <c r="B42" i="41" s="1"/>
  <c r="A42" i="37"/>
  <c r="A42" i="41" s="1"/>
  <c r="G41" i="37"/>
  <c r="G41" i="41" s="1"/>
  <c r="F41" i="37"/>
  <c r="F41" i="41" s="1"/>
  <c r="E41" i="37"/>
  <c r="E41" i="41" s="1"/>
  <c r="D41" i="37"/>
  <c r="D41" i="41" s="1"/>
  <c r="C41" i="37"/>
  <c r="C41" i="41" s="1"/>
  <c r="B41" i="37"/>
  <c r="B41" i="41" s="1"/>
  <c r="A41" i="37"/>
  <c r="A41" i="41" s="1"/>
  <c r="G40" i="37"/>
  <c r="G40" i="41" s="1"/>
  <c r="F40" i="37"/>
  <c r="F40" i="41" s="1"/>
  <c r="E40" i="37"/>
  <c r="E40" i="41" s="1"/>
  <c r="D40" i="37"/>
  <c r="D40" i="41" s="1"/>
  <c r="C40" i="37"/>
  <c r="C40" i="41" s="1"/>
  <c r="B40" i="37"/>
  <c r="B40" i="41" s="1"/>
  <c r="A40" i="37"/>
  <c r="A40" i="41" s="1"/>
  <c r="G39" i="37"/>
  <c r="G39" i="41" s="1"/>
  <c r="F39" i="37"/>
  <c r="F39" i="41" s="1"/>
  <c r="E39" i="37"/>
  <c r="E39" i="41" s="1"/>
  <c r="D39" i="37"/>
  <c r="D39" i="41" s="1"/>
  <c r="C39" i="37"/>
  <c r="C39" i="41" s="1"/>
  <c r="B39" i="37"/>
  <c r="B39" i="41" s="1"/>
  <c r="A39" i="37"/>
  <c r="A39" i="41" s="1"/>
  <c r="G38" i="37"/>
  <c r="G38" i="41" s="1"/>
  <c r="F38" i="37"/>
  <c r="F38" i="41" s="1"/>
  <c r="E38" i="37"/>
  <c r="E38" i="41" s="1"/>
  <c r="D38" i="37"/>
  <c r="D38" i="41" s="1"/>
  <c r="C38" i="37"/>
  <c r="C38" i="41" s="1"/>
  <c r="B38" i="37"/>
  <c r="B38" i="41" s="1"/>
  <c r="A38" i="37"/>
  <c r="A38" i="41" s="1"/>
  <c r="G37" i="37"/>
  <c r="G37" i="41" s="1"/>
  <c r="F37" i="37"/>
  <c r="F37" i="41" s="1"/>
  <c r="E37" i="37"/>
  <c r="E37" i="41" s="1"/>
  <c r="D37" i="37"/>
  <c r="D37" i="41" s="1"/>
  <c r="C37" i="37"/>
  <c r="C37" i="41" s="1"/>
  <c r="B37" i="37"/>
  <c r="B37" i="41" s="1"/>
  <c r="A37" i="37"/>
  <c r="A37" i="41" s="1"/>
  <c r="G36" i="37"/>
  <c r="G36" i="41" s="1"/>
  <c r="F36" i="37"/>
  <c r="F36" i="41" s="1"/>
  <c r="E36" i="37"/>
  <c r="E36" i="41" s="1"/>
  <c r="D36" i="37"/>
  <c r="D36" i="41" s="1"/>
  <c r="C36" i="37"/>
  <c r="C36" i="41" s="1"/>
  <c r="B36" i="37"/>
  <c r="B36" i="41" s="1"/>
  <c r="A36" i="37"/>
  <c r="A36" i="41" s="1"/>
  <c r="G35" i="37"/>
  <c r="G35" i="41" s="1"/>
  <c r="F35" i="37"/>
  <c r="F35" i="41" s="1"/>
  <c r="E35" i="37"/>
  <c r="E35" i="41" s="1"/>
  <c r="D35" i="37"/>
  <c r="D35" i="41" s="1"/>
  <c r="C35" i="37"/>
  <c r="C35" i="41" s="1"/>
  <c r="B35" i="37"/>
  <c r="B35" i="41" s="1"/>
  <c r="A35" i="37"/>
  <c r="A35" i="41" s="1"/>
  <c r="G34" i="37"/>
  <c r="G34" i="41" s="1"/>
  <c r="F34" i="37"/>
  <c r="F34" i="41" s="1"/>
  <c r="E34" i="37"/>
  <c r="E34" i="41" s="1"/>
  <c r="D34" i="37"/>
  <c r="D34" i="41" s="1"/>
  <c r="C34" i="37"/>
  <c r="C34" i="41" s="1"/>
  <c r="B34" i="37"/>
  <c r="B34" i="41" s="1"/>
  <c r="A34" i="37"/>
  <c r="A34" i="41" s="1"/>
  <c r="G33" i="37"/>
  <c r="G33" i="41" s="1"/>
  <c r="F33" i="37"/>
  <c r="F33" i="41" s="1"/>
  <c r="E33" i="37"/>
  <c r="E33" i="41" s="1"/>
  <c r="D33" i="37"/>
  <c r="D33" i="41" s="1"/>
  <c r="C33" i="37"/>
  <c r="C33" i="41" s="1"/>
  <c r="B33" i="37"/>
  <c r="B33" i="41" s="1"/>
  <c r="A33" i="37"/>
  <c r="A33" i="41" s="1"/>
  <c r="G32" i="37"/>
  <c r="G32" i="41" s="1"/>
  <c r="F32" i="37"/>
  <c r="F32" i="41" s="1"/>
  <c r="E32" i="37"/>
  <c r="E32" i="41" s="1"/>
  <c r="D32" i="37"/>
  <c r="D32" i="41" s="1"/>
  <c r="C32" i="37"/>
  <c r="C32" i="41" s="1"/>
  <c r="B32" i="37"/>
  <c r="B32" i="41" s="1"/>
  <c r="A32" i="37"/>
  <c r="G31" i="37"/>
  <c r="G31" i="41" s="1"/>
  <c r="F31" i="37"/>
  <c r="F31" i="41" s="1"/>
  <c r="E31" i="37"/>
  <c r="E31" i="41" s="1"/>
  <c r="D31" i="37"/>
  <c r="D31" i="41" s="1"/>
  <c r="C31" i="37"/>
  <c r="C31" i="41" s="1"/>
  <c r="B31" i="37"/>
  <c r="B31" i="41" s="1"/>
  <c r="A31" i="37"/>
  <c r="A31" i="41" s="1"/>
  <c r="G30" i="37"/>
  <c r="G30" i="41" s="1"/>
  <c r="F30" i="37"/>
  <c r="F30" i="41" s="1"/>
  <c r="E30" i="37"/>
  <c r="E30" i="41" s="1"/>
  <c r="D30" i="37"/>
  <c r="D30" i="41" s="1"/>
  <c r="C30" i="37"/>
  <c r="C30" i="41" s="1"/>
  <c r="B30" i="37"/>
  <c r="B30" i="41" s="1"/>
  <c r="A30" i="37"/>
  <c r="A30" i="41" s="1"/>
  <c r="G29" i="37"/>
  <c r="G29" i="41" s="1"/>
  <c r="F29" i="37"/>
  <c r="F29" i="41" s="1"/>
  <c r="E29" i="37"/>
  <c r="E29" i="41" s="1"/>
  <c r="D29" i="37"/>
  <c r="D29" i="41" s="1"/>
  <c r="C29" i="37"/>
  <c r="C29" i="41" s="1"/>
  <c r="B29" i="37"/>
  <c r="B29" i="41" s="1"/>
  <c r="A29" i="37"/>
  <c r="A29" i="41" s="1"/>
  <c r="G28" i="37"/>
  <c r="G28" i="41" s="1"/>
  <c r="F28" i="37"/>
  <c r="F28" i="41" s="1"/>
  <c r="E28" i="37"/>
  <c r="E28" i="41" s="1"/>
  <c r="D28" i="37"/>
  <c r="D28" i="41" s="1"/>
  <c r="C28" i="37"/>
  <c r="C28" i="41" s="1"/>
  <c r="B28" i="37"/>
  <c r="B28" i="41" s="1"/>
  <c r="A28" i="37"/>
  <c r="A28" i="41" s="1"/>
  <c r="G27" i="37"/>
  <c r="G27" i="41" s="1"/>
  <c r="F27" i="37"/>
  <c r="F27" i="41" s="1"/>
  <c r="E27" i="37"/>
  <c r="E27" i="41" s="1"/>
  <c r="D27" i="37"/>
  <c r="D27" i="41" s="1"/>
  <c r="C27" i="37"/>
  <c r="C27" i="41" s="1"/>
  <c r="B27" i="37"/>
  <c r="B27" i="41" s="1"/>
  <c r="A27" i="37"/>
  <c r="A27" i="41" s="1"/>
  <c r="G26" i="37"/>
  <c r="G26" i="41" s="1"/>
  <c r="F26" i="37"/>
  <c r="F26" i="41" s="1"/>
  <c r="E26" i="37"/>
  <c r="E26" i="41" s="1"/>
  <c r="D26" i="37"/>
  <c r="D26" i="41" s="1"/>
  <c r="C26" i="37"/>
  <c r="C26" i="41" s="1"/>
  <c r="B26" i="37"/>
  <c r="B26" i="41" s="1"/>
  <c r="A26" i="37"/>
  <c r="A26" i="41" s="1"/>
  <c r="G25" i="37"/>
  <c r="G25" i="41" s="1"/>
  <c r="F25" i="37"/>
  <c r="F25" i="41" s="1"/>
  <c r="E25" i="37"/>
  <c r="E25" i="41" s="1"/>
  <c r="D25" i="37"/>
  <c r="D25" i="41" s="1"/>
  <c r="C25" i="37"/>
  <c r="C25" i="41" s="1"/>
  <c r="B25" i="37"/>
  <c r="B25" i="41" s="1"/>
  <c r="A25" i="37"/>
  <c r="A25" i="41" s="1"/>
  <c r="G24" i="37"/>
  <c r="G24" i="41" s="1"/>
  <c r="F24" i="37"/>
  <c r="F24" i="41" s="1"/>
  <c r="E24" i="37"/>
  <c r="E24" i="41" s="1"/>
  <c r="D24" i="37"/>
  <c r="D24" i="41" s="1"/>
  <c r="C24" i="37"/>
  <c r="C24" i="41" s="1"/>
  <c r="B24" i="37"/>
  <c r="B24" i="41" s="1"/>
  <c r="A24" i="37"/>
  <c r="A24" i="41" s="1"/>
  <c r="G23" i="37"/>
  <c r="G23" i="41" s="1"/>
  <c r="F23" i="37"/>
  <c r="F23" i="41" s="1"/>
  <c r="E23" i="37"/>
  <c r="E23" i="41" s="1"/>
  <c r="D23" i="37"/>
  <c r="D23" i="41" s="1"/>
  <c r="C23" i="37"/>
  <c r="C23" i="41" s="1"/>
  <c r="B23" i="37"/>
  <c r="B23" i="41" s="1"/>
  <c r="A23" i="37"/>
  <c r="A23" i="41" s="1"/>
  <c r="G22" i="37"/>
  <c r="G22" i="41" s="1"/>
  <c r="F22" i="37"/>
  <c r="F22" i="41" s="1"/>
  <c r="E22" i="37"/>
  <c r="E22" i="41" s="1"/>
  <c r="D22" i="37"/>
  <c r="D22" i="41" s="1"/>
  <c r="C22" i="37"/>
  <c r="C22" i="41" s="1"/>
  <c r="B22" i="37"/>
  <c r="B22" i="41" s="1"/>
  <c r="A22" i="37"/>
  <c r="A22" i="41" s="1"/>
  <c r="G21" i="37"/>
  <c r="G21" i="41" s="1"/>
  <c r="F21" i="37"/>
  <c r="F21" i="41" s="1"/>
  <c r="E21" i="37"/>
  <c r="E21" i="41" s="1"/>
  <c r="D21" i="37"/>
  <c r="D21" i="41" s="1"/>
  <c r="C21" i="37"/>
  <c r="C21" i="41" s="1"/>
  <c r="B21" i="37"/>
  <c r="A21" i="37"/>
  <c r="A21" i="41" s="1"/>
  <c r="G20" i="37"/>
  <c r="G20" i="41" s="1"/>
  <c r="F20" i="37"/>
  <c r="F20" i="41" s="1"/>
  <c r="E20" i="37"/>
  <c r="E20" i="41" s="1"/>
  <c r="D20" i="37"/>
  <c r="D20" i="41" s="1"/>
  <c r="C20" i="37"/>
  <c r="C20" i="41" s="1"/>
  <c r="B20" i="37"/>
  <c r="B20" i="41" s="1"/>
  <c r="A20" i="37"/>
  <c r="A20" i="41" s="1"/>
  <c r="G19" i="37"/>
  <c r="G19" i="41" s="1"/>
  <c r="F19" i="37"/>
  <c r="F19" i="41" s="1"/>
  <c r="E19" i="37"/>
  <c r="E19" i="41" s="1"/>
  <c r="D19" i="37"/>
  <c r="D19" i="41" s="1"/>
  <c r="C19" i="37"/>
  <c r="C19" i="41" s="1"/>
  <c r="B19" i="37"/>
  <c r="B19" i="41" s="1"/>
  <c r="A19" i="37"/>
  <c r="A19" i="41" s="1"/>
  <c r="G18" i="37"/>
  <c r="G18" i="41" s="1"/>
  <c r="F18" i="37"/>
  <c r="F18" i="41" s="1"/>
  <c r="E18" i="37"/>
  <c r="E18" i="41" s="1"/>
  <c r="D18" i="37"/>
  <c r="D18" i="41" s="1"/>
  <c r="C18" i="37"/>
  <c r="C18" i="41" s="1"/>
  <c r="B18" i="37"/>
  <c r="B18" i="41" s="1"/>
  <c r="A18" i="37"/>
  <c r="A18" i="41" s="1"/>
  <c r="G17" i="37"/>
  <c r="G17" i="41" s="1"/>
  <c r="F17" i="37"/>
  <c r="F17" i="41" s="1"/>
  <c r="E17" i="37"/>
  <c r="E17" i="41" s="1"/>
  <c r="D17" i="37"/>
  <c r="D17" i="41" s="1"/>
  <c r="C17" i="37"/>
  <c r="C17" i="41" s="1"/>
  <c r="B17" i="37"/>
  <c r="B17" i="41" s="1"/>
  <c r="A17" i="37"/>
  <c r="A17" i="41" s="1"/>
  <c r="G16" i="37"/>
  <c r="G16" i="41" s="1"/>
  <c r="F16" i="37"/>
  <c r="F16" i="41" s="1"/>
  <c r="E16" i="37"/>
  <c r="E16" i="41" s="1"/>
  <c r="D16" i="37"/>
  <c r="D16" i="41" s="1"/>
  <c r="C16" i="37"/>
  <c r="C16" i="41" s="1"/>
  <c r="B16" i="37"/>
  <c r="B16" i="41" s="1"/>
  <c r="A16" i="37"/>
  <c r="G15" i="37"/>
  <c r="G15" i="41" s="1"/>
  <c r="F15" i="37"/>
  <c r="F15" i="41" s="1"/>
  <c r="E15" i="37"/>
  <c r="E15" i="41" s="1"/>
  <c r="D15" i="37"/>
  <c r="D15" i="41" s="1"/>
  <c r="C15" i="37"/>
  <c r="C15" i="41" s="1"/>
  <c r="B15" i="37"/>
  <c r="B15" i="41" s="1"/>
  <c r="A15" i="37"/>
  <c r="A15" i="41" s="1"/>
  <c r="G14" i="37"/>
  <c r="G14" i="41" s="1"/>
  <c r="F14" i="37"/>
  <c r="F14" i="41" s="1"/>
  <c r="E14" i="37"/>
  <c r="E14" i="41" s="1"/>
  <c r="D14" i="37"/>
  <c r="D14" i="41" s="1"/>
  <c r="C14" i="37"/>
  <c r="C14" i="41" s="1"/>
  <c r="B14" i="37"/>
  <c r="B14" i="41" s="1"/>
  <c r="A14" i="37"/>
  <c r="A14" i="41" s="1"/>
  <c r="G13" i="37"/>
  <c r="G13" i="41" s="1"/>
  <c r="F13" i="37"/>
  <c r="F13" i="41" s="1"/>
  <c r="E13" i="37"/>
  <c r="E13" i="41" s="1"/>
  <c r="D13" i="37"/>
  <c r="D13" i="41" s="1"/>
  <c r="C13" i="37"/>
  <c r="C13" i="41" s="1"/>
  <c r="B13" i="37"/>
  <c r="B13" i="41" s="1"/>
  <c r="A13" i="37"/>
  <c r="A13" i="41" s="1"/>
  <c r="G12" i="37"/>
  <c r="G12" i="41" s="1"/>
  <c r="F12" i="37"/>
  <c r="F12" i="41" s="1"/>
  <c r="E12" i="37"/>
  <c r="E12" i="41" s="1"/>
  <c r="D12" i="37"/>
  <c r="D12" i="41" s="1"/>
  <c r="C12" i="37"/>
  <c r="C12" i="41" s="1"/>
  <c r="B12" i="37"/>
  <c r="B12" i="41" s="1"/>
  <c r="A12" i="37"/>
  <c r="A12" i="41" s="1"/>
  <c r="G11" i="37"/>
  <c r="G11" i="41" s="1"/>
  <c r="F11" i="37"/>
  <c r="F11" i="41" s="1"/>
  <c r="E11" i="37"/>
  <c r="E11" i="41" s="1"/>
  <c r="D11" i="37"/>
  <c r="D11" i="41" s="1"/>
  <c r="C11" i="37"/>
  <c r="C11" i="41" s="1"/>
  <c r="B11" i="37"/>
  <c r="B11" i="41" s="1"/>
  <c r="A11" i="37"/>
  <c r="A11" i="41" s="1"/>
  <c r="G10" i="37"/>
  <c r="G10" i="41" s="1"/>
  <c r="F10" i="37"/>
  <c r="F10" i="41" s="1"/>
  <c r="E10" i="37"/>
  <c r="E10" i="41" s="1"/>
  <c r="D10" i="37"/>
  <c r="D10" i="41" s="1"/>
  <c r="C10" i="37"/>
  <c r="C10" i="41" s="1"/>
  <c r="B10" i="37"/>
  <c r="B10" i="41" s="1"/>
  <c r="A10" i="37"/>
  <c r="A10" i="41" s="1"/>
  <c r="G9" i="37"/>
  <c r="G9" i="41" s="1"/>
  <c r="F9" i="37"/>
  <c r="F9" i="41" s="1"/>
  <c r="E9" i="37"/>
  <c r="E9" i="41" s="1"/>
  <c r="D9" i="37"/>
  <c r="D9" i="41" s="1"/>
  <c r="C9" i="37"/>
  <c r="C9" i="41" s="1"/>
  <c r="B9" i="37"/>
  <c r="B9" i="41" s="1"/>
  <c r="A9" i="37"/>
  <c r="A9" i="41" s="1"/>
  <c r="G8" i="37"/>
  <c r="G8" i="41" s="1"/>
  <c r="F8" i="37"/>
  <c r="F8" i="41" s="1"/>
  <c r="E8" i="37"/>
  <c r="E8" i="41" s="1"/>
  <c r="D8" i="37"/>
  <c r="D8" i="41" s="1"/>
  <c r="C8" i="37"/>
  <c r="C8" i="41" s="1"/>
  <c r="B8" i="37"/>
  <c r="B8" i="41" s="1"/>
  <c r="A8" i="37"/>
  <c r="A8" i="41" s="1"/>
  <c r="G7" i="37"/>
  <c r="G7" i="41" s="1"/>
  <c r="F7" i="37"/>
  <c r="F7" i="41" s="1"/>
  <c r="E7" i="37"/>
  <c r="E7" i="41" s="1"/>
  <c r="D7" i="37"/>
  <c r="D7" i="41" s="1"/>
  <c r="C7" i="37"/>
  <c r="C7" i="41" s="1"/>
  <c r="B7" i="37"/>
  <c r="B7" i="41" s="1"/>
  <c r="A7" i="37"/>
  <c r="A7" i="41" s="1"/>
  <c r="G6" i="37"/>
  <c r="G6" i="41" s="1"/>
  <c r="F6" i="37"/>
  <c r="F6" i="41" s="1"/>
  <c r="E6" i="37"/>
  <c r="E6" i="41" s="1"/>
  <c r="D6" i="37"/>
  <c r="D6" i="41" s="1"/>
  <c r="C6" i="37"/>
  <c r="C6" i="41" s="1"/>
  <c r="B6" i="37"/>
  <c r="B6" i="41" s="1"/>
  <c r="A6" i="37"/>
  <c r="A6" i="41" s="1"/>
  <c r="G5" i="37"/>
  <c r="G5" i="41" s="1"/>
  <c r="F5" i="37"/>
  <c r="E5" i="37"/>
  <c r="E5" i="41" s="1"/>
  <c r="D5" i="37"/>
  <c r="D5" i="41" s="1"/>
  <c r="C5" i="37"/>
  <c r="C5" i="41" s="1"/>
  <c r="B5" i="37"/>
  <c r="B5" i="41" s="1"/>
  <c r="A5" i="37"/>
  <c r="A5" i="41" s="1"/>
  <c r="G4" i="37"/>
  <c r="G4" i="41" s="1"/>
  <c r="F4" i="37"/>
  <c r="F4" i="41" s="1"/>
  <c r="E4" i="37"/>
  <c r="E4" i="41" s="1"/>
  <c r="D4" i="37"/>
  <c r="D4" i="41" s="1"/>
  <c r="C4" i="37"/>
  <c r="C4" i="41" s="1"/>
  <c r="B4" i="37"/>
  <c r="B4" i="41" s="1"/>
  <c r="A4" i="37"/>
  <c r="G3" i="37"/>
  <c r="G3" i="41" s="1"/>
  <c r="F3" i="37"/>
  <c r="E3" i="37"/>
  <c r="E3" i="41" s="1"/>
  <c r="D3" i="37"/>
  <c r="D3" i="41" s="1"/>
  <c r="C3" i="37"/>
  <c r="C3" i="41" s="1"/>
  <c r="B3" i="37"/>
  <c r="B3" i="41" s="1"/>
  <c r="A3" i="37"/>
  <c r="A3" i="41" s="1"/>
  <c r="U2" i="37"/>
  <c r="K2" i="37"/>
  <c r="J2" i="37"/>
  <c r="J2" i="41" s="1"/>
  <c r="I2" i="37"/>
  <c r="I2" i="41" s="1"/>
  <c r="H2" i="37"/>
  <c r="H2" i="41" s="1"/>
  <c r="G2" i="37"/>
  <c r="G2" i="41" s="1"/>
  <c r="F2" i="37"/>
  <c r="F2" i="41" s="1"/>
  <c r="E2" i="37"/>
  <c r="E2" i="41" s="1"/>
  <c r="D2" i="37"/>
  <c r="D2" i="41" s="1"/>
  <c r="C2" i="37"/>
  <c r="C2" i="41" s="1"/>
  <c r="B2" i="37"/>
  <c r="B2" i="41" s="1"/>
  <c r="A2" i="37"/>
  <c r="A2" i="41" s="1"/>
  <c r="U1" i="37"/>
  <c r="K1" i="37"/>
  <c r="J1" i="37"/>
  <c r="I1" i="37"/>
  <c r="G1" i="37"/>
  <c r="F1" i="37"/>
  <c r="E1" i="37"/>
  <c r="D1" i="37"/>
  <c r="C1" i="37"/>
  <c r="B1" i="37"/>
  <c r="C37" i="53"/>
  <c r="C36" i="53"/>
  <c r="C35" i="53"/>
  <c r="A35" i="53"/>
  <c r="C34" i="53"/>
  <c r="C33" i="53"/>
  <c r="C32" i="53"/>
  <c r="C31" i="53"/>
  <c r="C30" i="53"/>
  <c r="C29" i="53"/>
  <c r="A29" i="53"/>
  <c r="C28" i="53"/>
  <c r="C27" i="53"/>
  <c r="C26" i="53"/>
  <c r="C25" i="53"/>
  <c r="C24" i="53"/>
  <c r="C23" i="53"/>
  <c r="A23" i="53"/>
  <c r="C22" i="53"/>
  <c r="C21" i="53"/>
  <c r="C20" i="53"/>
  <c r="C19" i="53"/>
  <c r="C18" i="53"/>
  <c r="C17" i="53"/>
  <c r="A17" i="53"/>
  <c r="C16" i="53"/>
  <c r="C15" i="53"/>
  <c r="C14" i="53"/>
  <c r="C13" i="53"/>
  <c r="C12" i="53"/>
  <c r="C11" i="53"/>
  <c r="A11" i="53"/>
  <c r="C10" i="53"/>
  <c r="C9" i="53"/>
  <c r="C8" i="53"/>
  <c r="C7" i="53"/>
  <c r="C6" i="53"/>
  <c r="C5" i="53"/>
  <c r="C4" i="53"/>
  <c r="C3" i="53"/>
  <c r="C2" i="53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C347" i="38"/>
  <c r="D346" i="38"/>
  <c r="D345" i="38"/>
  <c r="D344" i="38"/>
  <c r="D343" i="38"/>
  <c r="D342" i="38"/>
  <c r="D341" i="38"/>
  <c r="C341" i="38"/>
  <c r="D340" i="38"/>
  <c r="D339" i="38"/>
  <c r="D338" i="38"/>
  <c r="D337" i="38"/>
  <c r="D336" i="38"/>
  <c r="D335" i="38"/>
  <c r="C335" i="38"/>
  <c r="D334" i="38"/>
  <c r="D333" i="38"/>
  <c r="D332" i="38"/>
  <c r="D331" i="38"/>
  <c r="D330" i="38"/>
  <c r="D329" i="38"/>
  <c r="C329" i="38"/>
  <c r="D328" i="38"/>
  <c r="D327" i="38"/>
  <c r="D326" i="38"/>
  <c r="D325" i="38"/>
  <c r="D324" i="38"/>
  <c r="D323" i="38"/>
  <c r="C323" i="38"/>
  <c r="D322" i="38"/>
  <c r="D321" i="38"/>
  <c r="D320" i="38"/>
  <c r="D319" i="38"/>
  <c r="D318" i="38"/>
  <c r="D317" i="38"/>
  <c r="C317" i="38"/>
  <c r="D316" i="38"/>
  <c r="D315" i="38"/>
  <c r="D314" i="38"/>
  <c r="D313" i="38"/>
  <c r="D312" i="38"/>
  <c r="D311" i="38"/>
  <c r="C311" i="38"/>
  <c r="D310" i="38"/>
  <c r="D309" i="38"/>
  <c r="D308" i="38"/>
  <c r="D307" i="38"/>
  <c r="D306" i="38"/>
  <c r="D305" i="38"/>
  <c r="C305" i="38"/>
  <c r="D304" i="38"/>
  <c r="D303" i="38"/>
  <c r="D302" i="38"/>
  <c r="D301" i="38"/>
  <c r="D300" i="38"/>
  <c r="D299" i="38"/>
  <c r="C299" i="38"/>
  <c r="D298" i="38"/>
  <c r="D297" i="38"/>
  <c r="D296" i="38"/>
  <c r="D295" i="38"/>
  <c r="D294" i="38"/>
  <c r="D293" i="38"/>
  <c r="C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D7" i="38"/>
  <c r="C7" i="38"/>
  <c r="D6" i="38"/>
  <c r="C6" i="38"/>
  <c r="D5" i="38"/>
  <c r="C5" i="38"/>
  <c r="D4" i="38"/>
  <c r="C4" i="38"/>
  <c r="D3" i="38"/>
  <c r="C3" i="38"/>
  <c r="D2" i="38"/>
  <c r="C2" i="38"/>
  <c r="I230" i="35"/>
  <c r="H230" i="35"/>
  <c r="G230" i="35"/>
  <c r="F230" i="35"/>
  <c r="I229" i="35"/>
  <c r="H229" i="35"/>
  <c r="G229" i="35"/>
  <c r="F229" i="35"/>
  <c r="I228" i="35"/>
  <c r="H228" i="35"/>
  <c r="G228" i="35"/>
  <c r="F228" i="35"/>
  <c r="I227" i="35"/>
  <c r="H227" i="35"/>
  <c r="G227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G203" i="35"/>
  <c r="F203" i="35"/>
  <c r="F202" i="35"/>
  <c r="F201" i="35"/>
  <c r="F200" i="35"/>
  <c r="F199" i="35"/>
  <c r="F198" i="35"/>
  <c r="G197" i="35"/>
  <c r="F197" i="35"/>
  <c r="F196" i="35"/>
  <c r="F195" i="35"/>
  <c r="G194" i="35"/>
  <c r="F194" i="35"/>
  <c r="F193" i="35"/>
  <c r="F192" i="35"/>
  <c r="F191" i="35"/>
  <c r="F190" i="35"/>
  <c r="F189" i="35"/>
  <c r="G188" i="35"/>
  <c r="F188" i="35"/>
  <c r="F187" i="35"/>
  <c r="F186" i="35"/>
  <c r="F185" i="35"/>
  <c r="I184" i="35"/>
  <c r="H184" i="35"/>
  <c r="G184" i="35"/>
  <c r="F184" i="35"/>
  <c r="I183" i="35"/>
  <c r="H183" i="35"/>
  <c r="G183" i="35"/>
  <c r="F183" i="35"/>
  <c r="G182" i="35" a="1"/>
  <c r="G182" i="35" s="1"/>
  <c r="F182" i="35"/>
  <c r="G181" i="35" a="1"/>
  <c r="G181" i="35" s="1"/>
  <c r="F181" i="35"/>
  <c r="G180" i="35" a="1"/>
  <c r="G180" i="35" s="1"/>
  <c r="F180" i="35"/>
  <c r="G179" i="35" a="1"/>
  <c r="G179" i="35" s="1"/>
  <c r="F179" i="35"/>
  <c r="G178" i="35" a="1"/>
  <c r="G178" i="35" s="1"/>
  <c r="F178" i="35"/>
  <c r="G177" i="35" a="1"/>
  <c r="G177" i="35" s="1"/>
  <c r="F177" i="35"/>
  <c r="G176" i="35" a="1"/>
  <c r="G176" i="35" s="1"/>
  <c r="F176" i="35"/>
  <c r="G175" i="35" a="1"/>
  <c r="G175" i="35" s="1"/>
  <c r="F175" i="35"/>
  <c r="G174" i="35" a="1"/>
  <c r="G174" i="35" s="1"/>
  <c r="F174" i="35"/>
  <c r="G173" i="35" a="1"/>
  <c r="G173" i="35" s="1"/>
  <c r="F173" i="35"/>
  <c r="G172" i="35" a="1"/>
  <c r="G172" i="35" s="1"/>
  <c r="F172" i="35"/>
  <c r="G171" i="35" a="1"/>
  <c r="G171" i="35" s="1"/>
  <c r="F171" i="35"/>
  <c r="D170" i="35"/>
  <c r="B170" i="35"/>
  <c r="F170" i="35" s="1"/>
  <c r="D169" i="35"/>
  <c r="B169" i="35"/>
  <c r="F169" i="35" s="1"/>
  <c r="D168" i="35"/>
  <c r="B168" i="35"/>
  <c r="F168" i="35" s="1"/>
  <c r="D167" i="35"/>
  <c r="B167" i="35"/>
  <c r="F167" i="35" s="1"/>
  <c r="D166" i="35"/>
  <c r="B166" i="35"/>
  <c r="F166" i="35" s="1"/>
  <c r="D165" i="35"/>
  <c r="B165" i="35"/>
  <c r="F165" i="35" s="1"/>
  <c r="D164" i="35"/>
  <c r="B164" i="35"/>
  <c r="F164" i="35" s="1"/>
  <c r="D163" i="35"/>
  <c r="B163" i="35"/>
  <c r="F163" i="35" s="1"/>
  <c r="D162" i="35"/>
  <c r="B162" i="35"/>
  <c r="F162" i="35" s="1"/>
  <c r="D161" i="35"/>
  <c r="B161" i="35"/>
  <c r="F161" i="35" s="1"/>
  <c r="D160" i="35"/>
  <c r="B160" i="35"/>
  <c r="F160" i="35" s="1"/>
  <c r="D159" i="35"/>
  <c r="B159" i="35"/>
  <c r="F159" i="35" s="1"/>
  <c r="D158" i="35"/>
  <c r="B158" i="35"/>
  <c r="F158" i="35" s="1"/>
  <c r="D157" i="35"/>
  <c r="B157" i="35"/>
  <c r="F157" i="35" s="1"/>
  <c r="D156" i="35"/>
  <c r="B156" i="35"/>
  <c r="F156" i="35" s="1"/>
  <c r="D155" i="35"/>
  <c r="B155" i="35"/>
  <c r="F155" i="35" s="1"/>
  <c r="D154" i="35"/>
  <c r="B154" i="35"/>
  <c r="F154" i="35" s="1"/>
  <c r="D153" i="35"/>
  <c r="B153" i="35"/>
  <c r="F153" i="35" s="1"/>
  <c r="D152" i="35"/>
  <c r="B152" i="35"/>
  <c r="F152" i="35" s="1"/>
  <c r="D151" i="35"/>
  <c r="B151" i="35"/>
  <c r="F151" i="35" s="1"/>
  <c r="D150" i="35"/>
  <c r="B150" i="35"/>
  <c r="F150" i="35" s="1"/>
  <c r="D149" i="35"/>
  <c r="B149" i="35"/>
  <c r="F149" i="35" s="1"/>
  <c r="D148" i="35"/>
  <c r="B148" i="35"/>
  <c r="F148" i="35" s="1"/>
  <c r="D147" i="35"/>
  <c r="B147" i="35"/>
  <c r="F147" i="35" s="1"/>
  <c r="D146" i="35"/>
  <c r="B146" i="35"/>
  <c r="F146" i="35" s="1"/>
  <c r="D145" i="35"/>
  <c r="B145" i="35"/>
  <c r="F145" i="35" s="1"/>
  <c r="D144" i="35"/>
  <c r="B144" i="35"/>
  <c r="F144" i="35" s="1"/>
  <c r="D143" i="35"/>
  <c r="B143" i="35"/>
  <c r="F143" i="35" s="1"/>
  <c r="D142" i="35"/>
  <c r="B142" i="35"/>
  <c r="F142" i="35" s="1"/>
  <c r="D141" i="35"/>
  <c r="B141" i="35"/>
  <c r="F141" i="35" s="1"/>
  <c r="D140" i="35"/>
  <c r="B140" i="35"/>
  <c r="F140" i="35" s="1"/>
  <c r="D139" i="35"/>
  <c r="B139" i="35"/>
  <c r="F139" i="35" s="1"/>
  <c r="D138" i="35"/>
  <c r="B138" i="35"/>
  <c r="F138" i="35" s="1"/>
  <c r="D137" i="35"/>
  <c r="B137" i="35"/>
  <c r="F137" i="35" s="1"/>
  <c r="D136" i="35"/>
  <c r="B136" i="35"/>
  <c r="F136" i="35" s="1"/>
  <c r="D135" i="35"/>
  <c r="B135" i="35"/>
  <c r="F135" i="35" s="1"/>
  <c r="D134" i="35"/>
  <c r="B134" i="35"/>
  <c r="F134" i="35" s="1"/>
  <c r="D133" i="35"/>
  <c r="B133" i="35"/>
  <c r="F133" i="35" s="1"/>
  <c r="D132" i="35"/>
  <c r="B132" i="35"/>
  <c r="F132" i="35" s="1"/>
  <c r="D131" i="35"/>
  <c r="B131" i="35"/>
  <c r="F131" i="35" s="1"/>
  <c r="D130" i="35"/>
  <c r="B130" i="35"/>
  <c r="F130" i="35" s="1"/>
  <c r="D129" i="35"/>
  <c r="B129" i="35"/>
  <c r="F129" i="35" s="1"/>
  <c r="D128" i="35"/>
  <c r="B128" i="35"/>
  <c r="F128" i="35" s="1"/>
  <c r="D127" i="35"/>
  <c r="B127" i="35"/>
  <c r="F127" i="35" s="1"/>
  <c r="D126" i="35"/>
  <c r="B126" i="35"/>
  <c r="F126" i="35" s="1"/>
  <c r="D125" i="35"/>
  <c r="B125" i="35"/>
  <c r="F125" i="35" s="1"/>
  <c r="D124" i="35"/>
  <c r="B124" i="35"/>
  <c r="F124" i="35" s="1"/>
  <c r="D123" i="35"/>
  <c r="B123" i="35"/>
  <c r="F123" i="35" s="1"/>
  <c r="D122" i="35"/>
  <c r="B122" i="35"/>
  <c r="F122" i="35" s="1"/>
  <c r="D121" i="35"/>
  <c r="B121" i="35"/>
  <c r="F121" i="35" s="1"/>
  <c r="D120" i="35"/>
  <c r="B120" i="35"/>
  <c r="F120" i="35" s="1"/>
  <c r="D119" i="35"/>
  <c r="B119" i="35"/>
  <c r="F119" i="35" s="1"/>
  <c r="D118" i="35"/>
  <c r="B118" i="35"/>
  <c r="F118" i="35" s="1"/>
  <c r="D117" i="35"/>
  <c r="B117" i="35"/>
  <c r="F117" i="35" s="1"/>
  <c r="D116" i="35"/>
  <c r="B116" i="35"/>
  <c r="F116" i="35" s="1"/>
  <c r="D115" i="35"/>
  <c r="B115" i="35"/>
  <c r="F115" i="35" s="1"/>
  <c r="D114" i="35"/>
  <c r="B114" i="35"/>
  <c r="F114" i="35" s="1"/>
  <c r="D113" i="35"/>
  <c r="B113" i="35"/>
  <c r="F113" i="35" s="1"/>
  <c r="D112" i="35"/>
  <c r="B112" i="35"/>
  <c r="F112" i="35" s="1"/>
  <c r="D111" i="35"/>
  <c r="B111" i="35"/>
  <c r="F111" i="35" s="1"/>
  <c r="D110" i="35"/>
  <c r="B110" i="35"/>
  <c r="F110" i="35" s="1"/>
  <c r="D109" i="35"/>
  <c r="B109" i="35"/>
  <c r="F109" i="35" s="1"/>
  <c r="D108" i="35"/>
  <c r="B108" i="35"/>
  <c r="F108" i="35" s="1"/>
  <c r="D107" i="35"/>
  <c r="B107" i="35"/>
  <c r="F107" i="35" s="1"/>
  <c r="D106" i="35"/>
  <c r="B106" i="35"/>
  <c r="F106" i="35" s="1"/>
  <c r="D105" i="35"/>
  <c r="B105" i="35"/>
  <c r="F105" i="35" s="1"/>
  <c r="D104" i="35"/>
  <c r="B104" i="35"/>
  <c r="F104" i="35" s="1"/>
  <c r="D103" i="35"/>
  <c r="B103" i="35"/>
  <c r="F103" i="35" s="1"/>
  <c r="D102" i="35"/>
  <c r="B102" i="35"/>
  <c r="F102" i="35" s="1"/>
  <c r="D101" i="35"/>
  <c r="B101" i="35"/>
  <c r="F101" i="35" s="1"/>
  <c r="D100" i="35"/>
  <c r="B100" i="35"/>
  <c r="F100" i="35" s="1"/>
  <c r="D99" i="35"/>
  <c r="B99" i="35"/>
  <c r="F99" i="35" s="1"/>
  <c r="D98" i="35"/>
  <c r="B98" i="35"/>
  <c r="F98" i="35" s="1"/>
  <c r="D97" i="35"/>
  <c r="B97" i="35"/>
  <c r="F97" i="35" s="1"/>
  <c r="D96" i="35"/>
  <c r="B96" i="35"/>
  <c r="F96" i="35" s="1"/>
  <c r="D95" i="35"/>
  <c r="B95" i="35"/>
  <c r="F95" i="35" s="1"/>
  <c r="D94" i="35"/>
  <c r="B94" i="35"/>
  <c r="F94" i="35" s="1"/>
  <c r="D93" i="35"/>
  <c r="B93" i="35"/>
  <c r="F93" i="35" s="1"/>
  <c r="D92" i="35"/>
  <c r="B92" i="35"/>
  <c r="F92" i="35" s="1"/>
  <c r="D91" i="35"/>
  <c r="B91" i="35"/>
  <c r="F91" i="35" s="1"/>
  <c r="D90" i="35"/>
  <c r="B90" i="35"/>
  <c r="F90" i="35" s="1"/>
  <c r="D89" i="35"/>
  <c r="B89" i="35"/>
  <c r="F89" i="35" s="1"/>
  <c r="D88" i="35"/>
  <c r="B88" i="35"/>
  <c r="F88" i="35" s="1"/>
  <c r="D87" i="35"/>
  <c r="B87" i="35"/>
  <c r="F87" i="35" s="1"/>
  <c r="D86" i="35"/>
  <c r="B86" i="35"/>
  <c r="F86" i="35" s="1"/>
  <c r="D85" i="35"/>
  <c r="B85" i="35"/>
  <c r="F85" i="35" s="1"/>
  <c r="D84" i="35"/>
  <c r="B84" i="35"/>
  <c r="F84" i="35" s="1"/>
  <c r="D83" i="35"/>
  <c r="B83" i="35"/>
  <c r="F83" i="35" s="1"/>
  <c r="D82" i="35"/>
  <c r="B82" i="35"/>
  <c r="F82" i="35" s="1"/>
  <c r="D81" i="35"/>
  <c r="B81" i="35"/>
  <c r="F81" i="35" s="1"/>
  <c r="D80" i="35"/>
  <c r="B80" i="35"/>
  <c r="F80" i="35" s="1"/>
  <c r="D79" i="35"/>
  <c r="B79" i="35"/>
  <c r="F79" i="35" s="1"/>
  <c r="D78" i="35"/>
  <c r="B78" i="35"/>
  <c r="F78" i="35" s="1"/>
  <c r="D77" i="35"/>
  <c r="B77" i="35"/>
  <c r="F77" i="35" s="1"/>
  <c r="D76" i="35"/>
  <c r="B76" i="35"/>
  <c r="F76" i="35" s="1"/>
  <c r="D75" i="35"/>
  <c r="B75" i="35"/>
  <c r="F75" i="35" s="1"/>
  <c r="D74" i="35"/>
  <c r="B74" i="35"/>
  <c r="F74" i="35" s="1"/>
  <c r="D73" i="35"/>
  <c r="B73" i="35"/>
  <c r="F73" i="35" s="1"/>
  <c r="D72" i="35"/>
  <c r="B72" i="35"/>
  <c r="F72" i="35" s="1"/>
  <c r="D71" i="35"/>
  <c r="B71" i="35"/>
  <c r="F71" i="35" s="1"/>
  <c r="D70" i="35"/>
  <c r="B70" i="35"/>
  <c r="F70" i="35" s="1"/>
  <c r="D69" i="35"/>
  <c r="B69" i="35"/>
  <c r="F69" i="35" s="1"/>
  <c r="D68" i="35"/>
  <c r="B68" i="35"/>
  <c r="F68" i="35" s="1"/>
  <c r="D67" i="35"/>
  <c r="B67" i="35"/>
  <c r="F67" i="35" s="1"/>
  <c r="D66" i="35"/>
  <c r="B66" i="35"/>
  <c r="F66" i="35" s="1"/>
  <c r="D65" i="35"/>
  <c r="B65" i="35"/>
  <c r="F65" i="35" s="1"/>
  <c r="D64" i="35"/>
  <c r="B64" i="35"/>
  <c r="F64" i="35" s="1"/>
  <c r="D63" i="35"/>
  <c r="B63" i="35"/>
  <c r="F63" i="35" s="1"/>
  <c r="D62" i="35"/>
  <c r="B62" i="35"/>
  <c r="F62" i="35" s="1"/>
  <c r="D61" i="35"/>
  <c r="B61" i="35"/>
  <c r="F61" i="35" s="1"/>
  <c r="D60" i="35"/>
  <c r="B60" i="35"/>
  <c r="F60" i="35" s="1"/>
  <c r="D59" i="35"/>
  <c r="B59" i="35"/>
  <c r="F59" i="35" s="1"/>
  <c r="D58" i="35"/>
  <c r="B58" i="35"/>
  <c r="F58" i="35" s="1"/>
  <c r="D57" i="35"/>
  <c r="B57" i="35"/>
  <c r="F57" i="35" s="1"/>
  <c r="D56" i="35"/>
  <c r="B56" i="35"/>
  <c r="F56" i="35" s="1"/>
  <c r="D55" i="35"/>
  <c r="B55" i="35"/>
  <c r="F55" i="35" s="1"/>
  <c r="D54" i="35"/>
  <c r="B54" i="35"/>
  <c r="F54" i="35" s="1"/>
  <c r="D53" i="35"/>
  <c r="B53" i="35"/>
  <c r="F53" i="35" s="1"/>
  <c r="D52" i="35"/>
  <c r="B52" i="35"/>
  <c r="F52" i="35" s="1"/>
  <c r="D51" i="35"/>
  <c r="B51" i="35"/>
  <c r="F51" i="35" s="1"/>
  <c r="D50" i="35"/>
  <c r="B50" i="35"/>
  <c r="F50" i="35" s="1"/>
  <c r="D49" i="35"/>
  <c r="B49" i="35"/>
  <c r="F49" i="35" s="1"/>
  <c r="D48" i="35"/>
  <c r="B48" i="35"/>
  <c r="F48" i="35" s="1"/>
  <c r="D47" i="35"/>
  <c r="B47" i="35"/>
  <c r="F47" i="35" s="1"/>
  <c r="D46" i="35"/>
  <c r="B46" i="35"/>
  <c r="F46" i="35" s="1"/>
  <c r="D45" i="35"/>
  <c r="B45" i="35"/>
  <c r="F45" i="35" s="1"/>
  <c r="D44" i="35"/>
  <c r="B44" i="35"/>
  <c r="F44" i="35" s="1"/>
  <c r="D43" i="35"/>
  <c r="B43" i="35"/>
  <c r="F43" i="35" s="1"/>
  <c r="D42" i="35"/>
  <c r="B42" i="35"/>
  <c r="F42" i="35" s="1"/>
  <c r="D41" i="35"/>
  <c r="B41" i="35"/>
  <c r="F41" i="35" s="1"/>
  <c r="D40" i="35"/>
  <c r="B40" i="35"/>
  <c r="F40" i="35" s="1"/>
  <c r="D39" i="35"/>
  <c r="B39" i="35"/>
  <c r="F39" i="35" s="1"/>
  <c r="D38" i="35"/>
  <c r="B38" i="35"/>
  <c r="F38" i="35" s="1"/>
  <c r="D37" i="35"/>
  <c r="B37" i="35"/>
  <c r="F37" i="35" s="1"/>
  <c r="D36" i="35"/>
  <c r="B36" i="35"/>
  <c r="F36" i="35" s="1"/>
  <c r="D35" i="35"/>
  <c r="B35" i="35"/>
  <c r="F35" i="35" s="1"/>
  <c r="D34" i="35"/>
  <c r="B34" i="35"/>
  <c r="F34" i="35" s="1"/>
  <c r="D33" i="35"/>
  <c r="B33" i="35"/>
  <c r="F33" i="35" s="1"/>
  <c r="D32" i="35"/>
  <c r="B32" i="35"/>
  <c r="F32" i="35" s="1"/>
  <c r="D31" i="35"/>
  <c r="B31" i="35"/>
  <c r="F31" i="35" s="1"/>
  <c r="D30" i="35"/>
  <c r="B30" i="35"/>
  <c r="F30" i="35" s="1"/>
  <c r="D29" i="35"/>
  <c r="B29" i="35"/>
  <c r="F29" i="35" s="1"/>
  <c r="D28" i="35"/>
  <c r="B28" i="35"/>
  <c r="F28" i="35" s="1"/>
  <c r="D27" i="35"/>
  <c r="B27" i="35"/>
  <c r="F27" i="35" s="1"/>
  <c r="D26" i="35"/>
  <c r="B26" i="35"/>
  <c r="F26" i="35" s="1"/>
  <c r="D25" i="35"/>
  <c r="B25" i="35"/>
  <c r="F25" i="35" s="1"/>
  <c r="D24" i="35"/>
  <c r="B24" i="35"/>
  <c r="F24" i="35" s="1"/>
  <c r="D23" i="35"/>
  <c r="B23" i="35"/>
  <c r="F23" i="35" s="1"/>
  <c r="D22" i="35"/>
  <c r="B22" i="35"/>
  <c r="F22" i="35" s="1"/>
  <c r="D21" i="35"/>
  <c r="B21" i="35"/>
  <c r="F21" i="35" s="1"/>
  <c r="D20" i="35"/>
  <c r="B20" i="35"/>
  <c r="F20" i="35" s="1"/>
  <c r="D19" i="35"/>
  <c r="B19" i="35"/>
  <c r="F19" i="35" s="1"/>
  <c r="D18" i="35"/>
  <c r="B18" i="35"/>
  <c r="F18" i="35" s="1"/>
  <c r="D17" i="35"/>
  <c r="B17" i="35"/>
  <c r="F17" i="35" s="1"/>
  <c r="D16" i="35"/>
  <c r="B16" i="35"/>
  <c r="F16" i="35" s="1"/>
  <c r="D15" i="35"/>
  <c r="B15" i="35"/>
  <c r="F15" i="35" s="1"/>
  <c r="D14" i="35"/>
  <c r="B14" i="35"/>
  <c r="F14" i="35" s="1"/>
  <c r="D13" i="35"/>
  <c r="B13" i="35"/>
  <c r="F13" i="35" s="1"/>
  <c r="D12" i="35"/>
  <c r="B12" i="35"/>
  <c r="F12" i="35" s="1"/>
  <c r="D11" i="35"/>
  <c r="B11" i="35"/>
  <c r="F11" i="35" s="1"/>
  <c r="D10" i="35"/>
  <c r="B10" i="35"/>
  <c r="F10" i="35" s="1"/>
  <c r="D9" i="35"/>
  <c r="B9" i="35"/>
  <c r="F9" i="35" s="1"/>
  <c r="D8" i="35"/>
  <c r="B8" i="35"/>
  <c r="F8" i="35" s="1"/>
  <c r="D7" i="35"/>
  <c r="B7" i="35"/>
  <c r="F7" i="35" s="1"/>
  <c r="D6" i="35"/>
  <c r="B6" i="35"/>
  <c r="F6" i="35" s="1"/>
  <c r="D5" i="35"/>
  <c r="B5" i="35"/>
  <c r="F5" i="35" s="1"/>
  <c r="D4" i="35"/>
  <c r="B4" i="35"/>
  <c r="F4" i="35" s="1"/>
  <c r="D3" i="35"/>
  <c r="B3" i="35"/>
  <c r="F3" i="35" s="1"/>
  <c r="I2" i="35"/>
  <c r="H2" i="35"/>
  <c r="G2" i="35"/>
  <c r="D15" i="8"/>
  <c r="C15" i="8"/>
  <c r="B15" i="8"/>
  <c r="A13" i="8"/>
  <c r="A20" i="8" s="1"/>
  <c r="A12" i="8"/>
  <c r="C282" i="38" s="1"/>
  <c r="A11" i="8"/>
  <c r="C280" i="38" s="1"/>
  <c r="A10" i="8"/>
  <c r="A3" i="53" s="1"/>
  <c r="A9" i="8"/>
  <c r="A16" i="8" s="1"/>
  <c r="D8" i="8"/>
  <c r="C8" i="8"/>
  <c r="B8" i="8"/>
  <c r="D3" i="8"/>
  <c r="C3" i="8"/>
  <c r="B3" i="8"/>
  <c r="I55" i="39"/>
  <c r="N55" i="39" s="1"/>
  <c r="F55" i="39"/>
  <c r="A55" i="39"/>
  <c r="I54" i="39"/>
  <c r="N54" i="39" s="1"/>
  <c r="F54" i="39"/>
  <c r="A54" i="39"/>
  <c r="M53" i="39"/>
  <c r="L53" i="39"/>
  <c r="K53" i="39"/>
  <c r="I53" i="39"/>
  <c r="N53" i="39" s="1"/>
  <c r="F53" i="39"/>
  <c r="E53" i="39"/>
  <c r="D53" i="39"/>
  <c r="C53" i="39"/>
  <c r="A53" i="39"/>
  <c r="I52" i="39"/>
  <c r="N52" i="39" s="1"/>
  <c r="F52" i="39"/>
  <c r="A52" i="39"/>
  <c r="I51" i="39"/>
  <c r="N51" i="39" s="1"/>
  <c r="F51" i="39"/>
  <c r="A51" i="39"/>
  <c r="N50" i="39"/>
  <c r="I50" i="39"/>
  <c r="F50" i="39"/>
  <c r="A50" i="39"/>
  <c r="I49" i="39"/>
  <c r="N49" i="39" s="1"/>
  <c r="F49" i="39"/>
  <c r="A49" i="39"/>
  <c r="N48" i="39"/>
  <c r="I48" i="39"/>
  <c r="F48" i="39"/>
  <c r="A48" i="39"/>
  <c r="N47" i="39"/>
  <c r="I47" i="39"/>
  <c r="F47" i="39"/>
  <c r="A47" i="39"/>
  <c r="I46" i="39"/>
  <c r="N46" i="39" s="1"/>
  <c r="F46" i="39"/>
  <c r="A46" i="39"/>
  <c r="N45" i="39"/>
  <c r="I45" i="39"/>
  <c r="F45" i="39"/>
  <c r="A45" i="39"/>
  <c r="N44" i="39"/>
  <c r="I44" i="39"/>
  <c r="F44" i="39"/>
  <c r="A44" i="39"/>
  <c r="I43" i="39"/>
  <c r="N43" i="39" s="1"/>
  <c r="F43" i="39"/>
  <c r="A43" i="39"/>
  <c r="N42" i="39"/>
  <c r="I42" i="39"/>
  <c r="F42" i="39"/>
  <c r="A42" i="39"/>
  <c r="N41" i="39"/>
  <c r="I41" i="39"/>
  <c r="F41" i="39"/>
  <c r="A41" i="39"/>
  <c r="I40" i="39"/>
  <c r="N40" i="39" s="1"/>
  <c r="F40" i="39"/>
  <c r="A40" i="39"/>
  <c r="N39" i="39"/>
  <c r="I39" i="39"/>
  <c r="F39" i="39"/>
  <c r="A39" i="39"/>
  <c r="M38" i="39"/>
  <c r="L38" i="39"/>
  <c r="K38" i="39"/>
  <c r="E38" i="39"/>
  <c r="D38" i="39"/>
  <c r="C38" i="39"/>
  <c r="N29" i="39"/>
  <c r="O28" i="39"/>
  <c r="I28" i="39"/>
  <c r="P28" i="39" s="1"/>
  <c r="Q28" i="39" s="1"/>
  <c r="H28" i="39"/>
  <c r="C28" i="39"/>
  <c r="O27" i="39"/>
  <c r="I27" i="39"/>
  <c r="P27" i="39" s="1"/>
  <c r="Q27" i="39" s="1"/>
  <c r="H27" i="39"/>
  <c r="C27" i="39"/>
  <c r="O26" i="39"/>
  <c r="I26" i="39"/>
  <c r="P26" i="39" s="1"/>
  <c r="Q26" i="39" s="1"/>
  <c r="H26" i="39"/>
  <c r="C26" i="39"/>
  <c r="O25" i="39"/>
  <c r="I25" i="39"/>
  <c r="P25" i="39" s="1"/>
  <c r="Q25" i="39" s="1"/>
  <c r="H25" i="39"/>
  <c r="C25" i="39"/>
  <c r="O24" i="39"/>
  <c r="I24" i="39"/>
  <c r="O51" i="39" s="1"/>
  <c r="H24" i="39"/>
  <c r="C24" i="39"/>
  <c r="O23" i="39"/>
  <c r="I23" i="39"/>
  <c r="P23" i="39" s="1"/>
  <c r="Q23" i="39" s="1"/>
  <c r="H23" i="39"/>
  <c r="C23" i="39"/>
  <c r="O22" i="39"/>
  <c r="N22" i="39"/>
  <c r="I22" i="39"/>
  <c r="O49" i="39" s="1"/>
  <c r="H22" i="39"/>
  <c r="C22" i="39"/>
  <c r="O21" i="39"/>
  <c r="I21" i="39"/>
  <c r="P21" i="39" s="1"/>
  <c r="Q21" i="39" s="1"/>
  <c r="H21" i="39"/>
  <c r="C21" i="39"/>
  <c r="O20" i="39"/>
  <c r="I20" i="39"/>
  <c r="O47" i="39" s="1"/>
  <c r="H20" i="39"/>
  <c r="C20" i="39"/>
  <c r="O19" i="39"/>
  <c r="N19" i="39"/>
  <c r="I19" i="39"/>
  <c r="G46" i="39" s="1"/>
  <c r="H19" i="39"/>
  <c r="C19" i="39"/>
  <c r="O18" i="39"/>
  <c r="N18" i="39"/>
  <c r="I18" i="39"/>
  <c r="O45" i="39" s="1"/>
  <c r="H18" i="39"/>
  <c r="C18" i="39"/>
  <c r="I17" i="39"/>
  <c r="O44" i="39" s="1"/>
  <c r="H17" i="39"/>
  <c r="I16" i="39"/>
  <c r="G43" i="39" s="1"/>
  <c r="H16" i="39"/>
  <c r="N15" i="39"/>
  <c r="I15" i="39"/>
  <c r="G42" i="39" s="1"/>
  <c r="H15" i="39"/>
  <c r="I14" i="39"/>
  <c r="O41" i="39" s="1"/>
  <c r="H14" i="39"/>
  <c r="N13" i="39"/>
  <c r="I13" i="39"/>
  <c r="O40" i="39" s="1"/>
  <c r="H13" i="39"/>
  <c r="N12" i="39"/>
  <c r="I12" i="39"/>
  <c r="O39" i="39" s="1"/>
  <c r="H12" i="39"/>
  <c r="L11" i="39"/>
  <c r="K11" i="39"/>
  <c r="J11" i="39"/>
  <c r="E11" i="39"/>
  <c r="D11" i="39"/>
  <c r="C11" i="39"/>
  <c r="AC2" i="39"/>
  <c r="AB2" i="39"/>
  <c r="AA2" i="39"/>
  <c r="D2" i="39"/>
  <c r="C2" i="39"/>
  <c r="B2" i="39"/>
  <c r="D31" i="6"/>
  <c r="C31" i="6"/>
  <c r="B31" i="6"/>
  <c r="D30" i="6"/>
  <c r="C30" i="6"/>
  <c r="D29" i="6"/>
  <c r="C29" i="6"/>
  <c r="D28" i="6"/>
  <c r="C28" i="6"/>
  <c r="D27" i="6"/>
  <c r="C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D18" i="6"/>
  <c r="C18" i="6"/>
  <c r="D17" i="6"/>
  <c r="C17" i="6"/>
  <c r="D16" i="6"/>
  <c r="C16" i="6"/>
  <c r="B16" i="6"/>
  <c r="D13" i="6"/>
  <c r="C13" i="6"/>
  <c r="D12" i="6"/>
  <c r="C12" i="6"/>
  <c r="B12" i="6"/>
  <c r="D11" i="6"/>
  <c r="C11" i="6"/>
  <c r="B11" i="6"/>
  <c r="F7" i="6"/>
  <c r="F6" i="6"/>
  <c r="F5" i="6"/>
  <c r="J4" i="6"/>
  <c r="I4" i="6"/>
  <c r="H4" i="6"/>
  <c r="D4" i="6"/>
  <c r="C4" i="6"/>
  <c r="B4" i="6"/>
  <c r="G13" i="32"/>
  <c r="F13" i="32"/>
  <c r="E13" i="32"/>
  <c r="D13" i="32"/>
  <c r="C13" i="32"/>
  <c r="B13" i="32"/>
  <c r="G12" i="32"/>
  <c r="F12" i="32"/>
  <c r="E12" i="32"/>
  <c r="D12" i="32"/>
  <c r="C12" i="32"/>
  <c r="B12" i="32"/>
  <c r="G11" i="32"/>
  <c r="F11" i="32"/>
  <c r="E11" i="32"/>
  <c r="D11" i="32"/>
  <c r="C11" i="32"/>
  <c r="B11" i="32"/>
  <c r="E7" i="32"/>
  <c r="D7" i="32"/>
  <c r="C7" i="32"/>
  <c r="E6" i="32"/>
  <c r="D6" i="32"/>
  <c r="C6" i="32"/>
  <c r="E5" i="32"/>
  <c r="D5" i="32"/>
  <c r="C5" i="32"/>
  <c r="E4" i="32"/>
  <c r="D4" i="32"/>
  <c r="C4" i="32"/>
  <c r="E3" i="32"/>
  <c r="D3" i="32"/>
  <c r="C3" i="32"/>
  <c r="AJ310" i="72"/>
  <c r="AJ309" i="72"/>
  <c r="AI309" i="72"/>
  <c r="AJ308" i="72"/>
  <c r="AI308" i="72"/>
  <c r="AH308" i="72"/>
  <c r="AJ307" i="72"/>
  <c r="AI307" i="72"/>
  <c r="AH307" i="72"/>
  <c r="AG307" i="72"/>
  <c r="AJ306" i="72"/>
  <c r="AI306" i="72"/>
  <c r="AH306" i="72"/>
  <c r="AG306" i="72"/>
  <c r="AF306" i="72"/>
  <c r="AJ305" i="72"/>
  <c r="AI305" i="72"/>
  <c r="AH305" i="72"/>
  <c r="AG305" i="72"/>
  <c r="AF305" i="72"/>
  <c r="AE305" i="72"/>
  <c r="AJ304" i="72"/>
  <c r="AI304" i="72"/>
  <c r="AH304" i="72"/>
  <c r="AG304" i="72"/>
  <c r="AF304" i="72"/>
  <c r="AE304" i="72"/>
  <c r="AD304" i="72"/>
  <c r="AJ303" i="72"/>
  <c r="AI303" i="72"/>
  <c r="AH303" i="72"/>
  <c r="AG303" i="72"/>
  <c r="AF303" i="72"/>
  <c r="AE303" i="72"/>
  <c r="AD303" i="72"/>
  <c r="AC303" i="72"/>
  <c r="AJ302" i="72"/>
  <c r="AI302" i="72"/>
  <c r="AH302" i="72"/>
  <c r="AG302" i="72"/>
  <c r="AF302" i="72"/>
  <c r="AE302" i="72"/>
  <c r="AD302" i="72"/>
  <c r="AC302" i="72"/>
  <c r="AB302" i="72"/>
  <c r="AJ301" i="72"/>
  <c r="AI301" i="72"/>
  <c r="AH301" i="72"/>
  <c r="AG301" i="72"/>
  <c r="AF301" i="72"/>
  <c r="AE301" i="72"/>
  <c r="AD301" i="72"/>
  <c r="AC301" i="72"/>
  <c r="AB301" i="72"/>
  <c r="AA301" i="72"/>
  <c r="AJ300" i="72"/>
  <c r="AI300" i="72"/>
  <c r="AH300" i="72"/>
  <c r="AG300" i="72"/>
  <c r="AF300" i="72"/>
  <c r="AE300" i="72"/>
  <c r="AD300" i="72"/>
  <c r="AC300" i="72"/>
  <c r="AB300" i="72"/>
  <c r="AA300" i="72"/>
  <c r="Z300" i="72"/>
  <c r="AJ299" i="72"/>
  <c r="AI299" i="72"/>
  <c r="AH299" i="72"/>
  <c r="AG299" i="72"/>
  <c r="AF299" i="72"/>
  <c r="AE299" i="72"/>
  <c r="AD299" i="72"/>
  <c r="AC299" i="72"/>
  <c r="AB299" i="72"/>
  <c r="AA299" i="72"/>
  <c r="Z299" i="72"/>
  <c r="Y299" i="72"/>
  <c r="AJ298" i="72"/>
  <c r="AI298" i="72"/>
  <c r="AH298" i="72"/>
  <c r="AG298" i="72"/>
  <c r="AF298" i="72"/>
  <c r="AE298" i="72"/>
  <c r="AD298" i="72"/>
  <c r="AC298" i="72"/>
  <c r="AB298" i="72"/>
  <c r="AA298" i="72"/>
  <c r="Z298" i="72"/>
  <c r="Y298" i="72"/>
  <c r="X298" i="72"/>
  <c r="AJ297" i="72"/>
  <c r="AI297" i="72"/>
  <c r="AH297" i="72"/>
  <c r="AG297" i="72"/>
  <c r="AF297" i="72"/>
  <c r="AE297" i="72"/>
  <c r="AD297" i="72"/>
  <c r="AC297" i="72"/>
  <c r="AB297" i="72"/>
  <c r="AA297" i="72"/>
  <c r="Z297" i="72"/>
  <c r="Y297" i="72"/>
  <c r="X297" i="72"/>
  <c r="W297" i="72"/>
  <c r="AJ296" i="72"/>
  <c r="AI296" i="72"/>
  <c r="AH296" i="72"/>
  <c r="AG296" i="72"/>
  <c r="AF296" i="72"/>
  <c r="AE296" i="72"/>
  <c r="AD296" i="72"/>
  <c r="AC296" i="72"/>
  <c r="AB296" i="72"/>
  <c r="AA296" i="72"/>
  <c r="Z296" i="72"/>
  <c r="Y296" i="72"/>
  <c r="X296" i="72"/>
  <c r="W296" i="72"/>
  <c r="V296" i="72"/>
  <c r="AJ295" i="72"/>
  <c r="AI295" i="72"/>
  <c r="AH295" i="72"/>
  <c r="AG295" i="72"/>
  <c r="AF295" i="72"/>
  <c r="AE295" i="72"/>
  <c r="AD295" i="72"/>
  <c r="AC295" i="72"/>
  <c r="AB295" i="72"/>
  <c r="AA295" i="72"/>
  <c r="Z295" i="72"/>
  <c r="Y295" i="72"/>
  <c r="X295" i="72"/>
  <c r="W295" i="72"/>
  <c r="V295" i="72"/>
  <c r="U295" i="72"/>
  <c r="AJ294" i="72"/>
  <c r="AI294" i="72"/>
  <c r="AH294" i="72"/>
  <c r="AG294" i="72"/>
  <c r="AF294" i="72"/>
  <c r="AE294" i="72"/>
  <c r="AD294" i="72"/>
  <c r="AC294" i="72"/>
  <c r="AB294" i="72"/>
  <c r="AA294" i="72"/>
  <c r="Z294" i="72"/>
  <c r="Y294" i="72"/>
  <c r="X294" i="72"/>
  <c r="W294" i="72"/>
  <c r="V294" i="72"/>
  <c r="U294" i="72"/>
  <c r="T294" i="72"/>
  <c r="AJ293" i="72"/>
  <c r="AI293" i="72"/>
  <c r="AH293" i="72"/>
  <c r="AG293" i="72"/>
  <c r="AF293" i="72"/>
  <c r="AE293" i="72"/>
  <c r="AD293" i="72"/>
  <c r="AC293" i="72"/>
  <c r="AB293" i="72"/>
  <c r="AA293" i="72"/>
  <c r="Z293" i="72"/>
  <c r="Y293" i="72"/>
  <c r="X293" i="72"/>
  <c r="W293" i="72"/>
  <c r="V293" i="72"/>
  <c r="U293" i="72"/>
  <c r="T293" i="72"/>
  <c r="S293" i="72"/>
  <c r="AJ292" i="72"/>
  <c r="AI292" i="72"/>
  <c r="AH292" i="72"/>
  <c r="AG292" i="72"/>
  <c r="AF292" i="72"/>
  <c r="AE292" i="72"/>
  <c r="AD292" i="72"/>
  <c r="AC292" i="72"/>
  <c r="AB292" i="72"/>
  <c r="AA292" i="72"/>
  <c r="Z292" i="72"/>
  <c r="Y292" i="72"/>
  <c r="X292" i="72"/>
  <c r="W292" i="72"/>
  <c r="V292" i="72"/>
  <c r="U292" i="72"/>
  <c r="T292" i="72"/>
  <c r="S292" i="72"/>
  <c r="R292" i="72"/>
  <c r="AJ291" i="72"/>
  <c r="AI291" i="72"/>
  <c r="AH291" i="72"/>
  <c r="AG291" i="72"/>
  <c r="AF291" i="72"/>
  <c r="AE291" i="72"/>
  <c r="AD291" i="72"/>
  <c r="AC291" i="72"/>
  <c r="AB291" i="72"/>
  <c r="AA291" i="72"/>
  <c r="Z291" i="72"/>
  <c r="Y291" i="72"/>
  <c r="X291" i="72"/>
  <c r="W291" i="72"/>
  <c r="V291" i="72"/>
  <c r="U291" i="72"/>
  <c r="T291" i="72"/>
  <c r="S291" i="72"/>
  <c r="R291" i="72"/>
  <c r="Q291" i="72"/>
  <c r="AJ290" i="72"/>
  <c r="AI290" i="72"/>
  <c r="AH290" i="72"/>
  <c r="AG290" i="72"/>
  <c r="AF290" i="72"/>
  <c r="AE290" i="72"/>
  <c r="AD290" i="72"/>
  <c r="AC290" i="72"/>
  <c r="AB290" i="72"/>
  <c r="AA290" i="72"/>
  <c r="Z290" i="72"/>
  <c r="Y290" i="72"/>
  <c r="X290" i="72"/>
  <c r="W290" i="72"/>
  <c r="V290" i="72"/>
  <c r="U290" i="72"/>
  <c r="T290" i="72"/>
  <c r="S290" i="72"/>
  <c r="R290" i="72"/>
  <c r="Q290" i="72"/>
  <c r="P290" i="72"/>
  <c r="AJ289" i="72"/>
  <c r="AI289" i="72"/>
  <c r="AH289" i="72"/>
  <c r="AG289" i="72"/>
  <c r="AF289" i="72"/>
  <c r="AE289" i="72"/>
  <c r="AD289" i="72"/>
  <c r="AC289" i="72"/>
  <c r="AB289" i="72"/>
  <c r="AA289" i="72"/>
  <c r="Z289" i="72"/>
  <c r="Y289" i="72"/>
  <c r="X289" i="72"/>
  <c r="W289" i="72"/>
  <c r="V289" i="72"/>
  <c r="U289" i="72"/>
  <c r="T289" i="72"/>
  <c r="S289" i="72"/>
  <c r="R289" i="72"/>
  <c r="Q289" i="72"/>
  <c r="P289" i="72"/>
  <c r="O289" i="72"/>
  <c r="AJ288" i="72"/>
  <c r="AI288" i="72"/>
  <c r="AH288" i="72"/>
  <c r="AG288" i="72"/>
  <c r="AF288" i="72"/>
  <c r="AE288" i="72"/>
  <c r="AD288" i="72"/>
  <c r="AC288" i="72"/>
  <c r="AB288" i="72"/>
  <c r="AA288" i="72"/>
  <c r="Z288" i="72"/>
  <c r="Y288" i="72"/>
  <c r="X288" i="72"/>
  <c r="W288" i="72"/>
  <c r="V288" i="72"/>
  <c r="U288" i="72"/>
  <c r="T288" i="72"/>
  <c r="S288" i="72"/>
  <c r="R288" i="72"/>
  <c r="Q288" i="72"/>
  <c r="P288" i="72"/>
  <c r="O288" i="72"/>
  <c r="N288" i="72"/>
  <c r="AJ287" i="72"/>
  <c r="AI287" i="72"/>
  <c r="AH287" i="72"/>
  <c r="AG287" i="72"/>
  <c r="AF287" i="72"/>
  <c r="AE287" i="72"/>
  <c r="AD287" i="72"/>
  <c r="AC287" i="72"/>
  <c r="AB287" i="72"/>
  <c r="AA287" i="72"/>
  <c r="Z287" i="72"/>
  <c r="Y287" i="72"/>
  <c r="X287" i="72"/>
  <c r="W287" i="72"/>
  <c r="V287" i="72"/>
  <c r="U287" i="72"/>
  <c r="T287" i="72"/>
  <c r="S287" i="72"/>
  <c r="R287" i="72"/>
  <c r="Q287" i="72"/>
  <c r="P287" i="72"/>
  <c r="O287" i="72"/>
  <c r="N287" i="72"/>
  <c r="M287" i="72"/>
  <c r="AJ286" i="72"/>
  <c r="AI286" i="72"/>
  <c r="AH286" i="72"/>
  <c r="AG286" i="72"/>
  <c r="AF286" i="72"/>
  <c r="AE286" i="72"/>
  <c r="AD286" i="72"/>
  <c r="AC286" i="72"/>
  <c r="AB286" i="72"/>
  <c r="AA286" i="72"/>
  <c r="Z286" i="72"/>
  <c r="Y286" i="72"/>
  <c r="X286" i="72"/>
  <c r="W286" i="72"/>
  <c r="V286" i="72"/>
  <c r="U286" i="72"/>
  <c r="T286" i="72"/>
  <c r="S286" i="72"/>
  <c r="R286" i="72"/>
  <c r="Q286" i="72"/>
  <c r="P286" i="72"/>
  <c r="O286" i="72"/>
  <c r="N286" i="72"/>
  <c r="M286" i="72"/>
  <c r="L286" i="72"/>
  <c r="AJ285" i="72"/>
  <c r="AI285" i="72"/>
  <c r="AH285" i="72"/>
  <c r="AG285" i="72"/>
  <c r="AF285" i="72"/>
  <c r="AE285" i="72"/>
  <c r="AD285" i="72"/>
  <c r="AC285" i="72"/>
  <c r="AB285" i="72"/>
  <c r="AA285" i="72"/>
  <c r="Z285" i="72"/>
  <c r="Y285" i="72"/>
  <c r="X285" i="72"/>
  <c r="W285" i="72"/>
  <c r="V285" i="72"/>
  <c r="U285" i="72"/>
  <c r="T285" i="72"/>
  <c r="S285" i="72"/>
  <c r="R285" i="72"/>
  <c r="Q285" i="72"/>
  <c r="P285" i="72"/>
  <c r="O285" i="72"/>
  <c r="N285" i="72"/>
  <c r="M285" i="72"/>
  <c r="L285" i="72"/>
  <c r="K285" i="72"/>
  <c r="AJ284" i="72"/>
  <c r="AI284" i="72"/>
  <c r="AH284" i="72"/>
  <c r="AG284" i="72"/>
  <c r="AF284" i="72"/>
  <c r="AE284" i="72"/>
  <c r="AD284" i="72"/>
  <c r="AC284" i="72"/>
  <c r="AB284" i="72"/>
  <c r="AA284" i="72"/>
  <c r="Z284" i="72"/>
  <c r="Y284" i="72"/>
  <c r="X284" i="72"/>
  <c r="W284" i="72"/>
  <c r="V284" i="72"/>
  <c r="U284" i="72"/>
  <c r="T284" i="72"/>
  <c r="S284" i="72"/>
  <c r="R284" i="72"/>
  <c r="Q284" i="72"/>
  <c r="P284" i="72"/>
  <c r="O284" i="72"/>
  <c r="N284" i="72"/>
  <c r="M284" i="72"/>
  <c r="L284" i="72"/>
  <c r="K284" i="72"/>
  <c r="J284" i="72"/>
  <c r="AJ283" i="72"/>
  <c r="AI283" i="72"/>
  <c r="AH283" i="72"/>
  <c r="AG283" i="72"/>
  <c r="AF283" i="72"/>
  <c r="AE283" i="72"/>
  <c r="AD283" i="72"/>
  <c r="AC283" i="72"/>
  <c r="AB283" i="72"/>
  <c r="AA283" i="72"/>
  <c r="Z283" i="72"/>
  <c r="Y283" i="72"/>
  <c r="X283" i="72"/>
  <c r="W283" i="72"/>
  <c r="V283" i="72"/>
  <c r="U283" i="72"/>
  <c r="T283" i="72"/>
  <c r="S283" i="72"/>
  <c r="R283" i="72"/>
  <c r="Q283" i="72"/>
  <c r="P283" i="72"/>
  <c r="O283" i="72"/>
  <c r="N283" i="72"/>
  <c r="M283" i="72"/>
  <c r="L283" i="72"/>
  <c r="K283" i="72"/>
  <c r="J283" i="72"/>
  <c r="I283" i="72"/>
  <c r="AJ282" i="72"/>
  <c r="AI282" i="72"/>
  <c r="AH282" i="72"/>
  <c r="AG282" i="72"/>
  <c r="AF282" i="72"/>
  <c r="AE282" i="72"/>
  <c r="AD282" i="72"/>
  <c r="AC282" i="72"/>
  <c r="AB282" i="72"/>
  <c r="AA282" i="72"/>
  <c r="Z282" i="72"/>
  <c r="Y282" i="72"/>
  <c r="X282" i="72"/>
  <c r="W282" i="72"/>
  <c r="V282" i="72"/>
  <c r="U282" i="72"/>
  <c r="T282" i="72"/>
  <c r="S282" i="72"/>
  <c r="R282" i="72"/>
  <c r="Q282" i="72"/>
  <c r="P282" i="72"/>
  <c r="O282" i="72"/>
  <c r="N282" i="72"/>
  <c r="M282" i="72"/>
  <c r="L282" i="72"/>
  <c r="K282" i="72"/>
  <c r="J282" i="72"/>
  <c r="I282" i="72"/>
  <c r="H282" i="72"/>
  <c r="AJ281" i="72"/>
  <c r="AI281" i="72"/>
  <c r="AH281" i="72"/>
  <c r="AG281" i="72"/>
  <c r="AF281" i="72"/>
  <c r="AE281" i="72"/>
  <c r="AD281" i="72"/>
  <c r="AC281" i="72"/>
  <c r="AB281" i="72"/>
  <c r="AA281" i="72"/>
  <c r="Z281" i="72"/>
  <c r="Y281" i="72"/>
  <c r="X281" i="72"/>
  <c r="W281" i="72"/>
  <c r="V281" i="72"/>
  <c r="U281" i="72"/>
  <c r="T281" i="72"/>
  <c r="S281" i="72"/>
  <c r="R281" i="72"/>
  <c r="Q281" i="72"/>
  <c r="P281" i="72"/>
  <c r="O281" i="72"/>
  <c r="N281" i="72"/>
  <c r="M281" i="72"/>
  <c r="L281" i="72"/>
  <c r="K281" i="72"/>
  <c r="J281" i="72"/>
  <c r="I281" i="72"/>
  <c r="H281" i="72"/>
  <c r="G281" i="72"/>
  <c r="AJ279" i="72"/>
  <c r="AJ278" i="72"/>
  <c r="AI278" i="72"/>
  <c r="AJ277" i="72"/>
  <c r="AI277" i="72"/>
  <c r="AH277" i="72"/>
  <c r="AJ276" i="72"/>
  <c r="AI276" i="72"/>
  <c r="AH276" i="72"/>
  <c r="AG276" i="72"/>
  <c r="AJ275" i="72"/>
  <c r="AI275" i="72"/>
  <c r="AH275" i="72"/>
  <c r="AG275" i="72"/>
  <c r="AF275" i="72"/>
  <c r="AJ274" i="72"/>
  <c r="AI274" i="72"/>
  <c r="AH274" i="72"/>
  <c r="AG274" i="72"/>
  <c r="AF274" i="72"/>
  <c r="AE274" i="72"/>
  <c r="AJ273" i="72"/>
  <c r="AI273" i="72"/>
  <c r="AH273" i="72"/>
  <c r="AG273" i="72"/>
  <c r="AF273" i="72"/>
  <c r="AE273" i="72"/>
  <c r="AD273" i="72"/>
  <c r="AJ272" i="72"/>
  <c r="AI272" i="72"/>
  <c r="AH272" i="72"/>
  <c r="AG272" i="72"/>
  <c r="AF272" i="72"/>
  <c r="AE272" i="72"/>
  <c r="AD272" i="72"/>
  <c r="AC272" i="72"/>
  <c r="AJ271" i="72"/>
  <c r="AI271" i="72"/>
  <c r="AH271" i="72"/>
  <c r="AG271" i="72"/>
  <c r="AF271" i="72"/>
  <c r="AE271" i="72"/>
  <c r="AD271" i="72"/>
  <c r="AC271" i="72"/>
  <c r="AB271" i="72"/>
  <c r="AJ270" i="72"/>
  <c r="AI270" i="72"/>
  <c r="AH270" i="72"/>
  <c r="AG270" i="72"/>
  <c r="AF270" i="72"/>
  <c r="AE270" i="72"/>
  <c r="AD270" i="72"/>
  <c r="AC270" i="72"/>
  <c r="AB270" i="72"/>
  <c r="AA270" i="72"/>
  <c r="AJ269" i="72"/>
  <c r="AI269" i="72"/>
  <c r="AH269" i="72"/>
  <c r="AG269" i="72"/>
  <c r="AF269" i="72"/>
  <c r="AE269" i="72"/>
  <c r="AD269" i="72"/>
  <c r="AC269" i="72"/>
  <c r="AB269" i="72"/>
  <c r="AA269" i="72"/>
  <c r="Z269" i="72"/>
  <c r="AJ268" i="72"/>
  <c r="AI268" i="72"/>
  <c r="AH268" i="72"/>
  <c r="AG268" i="72"/>
  <c r="AF268" i="72"/>
  <c r="AE268" i="72"/>
  <c r="AD268" i="72"/>
  <c r="AC268" i="72"/>
  <c r="AB268" i="72"/>
  <c r="AA268" i="72"/>
  <c r="Z268" i="72"/>
  <c r="Y268" i="72"/>
  <c r="AJ267" i="72"/>
  <c r="AI267" i="72"/>
  <c r="AH267" i="72"/>
  <c r="AG267" i="72"/>
  <c r="AF267" i="72"/>
  <c r="AE267" i="72"/>
  <c r="AD267" i="72"/>
  <c r="AC267" i="72"/>
  <c r="AB267" i="72"/>
  <c r="AA267" i="72"/>
  <c r="Z267" i="72"/>
  <c r="Y267" i="72"/>
  <c r="X267" i="72"/>
  <c r="AJ266" i="72"/>
  <c r="AI266" i="72"/>
  <c r="AH266" i="72"/>
  <c r="AG266" i="72"/>
  <c r="AF266" i="72"/>
  <c r="AE266" i="72"/>
  <c r="AD266" i="72"/>
  <c r="AC266" i="72"/>
  <c r="AB266" i="72"/>
  <c r="AA266" i="72"/>
  <c r="Z266" i="72"/>
  <c r="Y266" i="72"/>
  <c r="X266" i="72"/>
  <c r="W266" i="72"/>
  <c r="AJ265" i="72"/>
  <c r="AI265" i="72"/>
  <c r="AH265" i="72"/>
  <c r="AG265" i="72"/>
  <c r="AF265" i="72"/>
  <c r="AE265" i="72"/>
  <c r="AD265" i="72"/>
  <c r="AC265" i="72"/>
  <c r="AB265" i="72"/>
  <c r="AA265" i="72"/>
  <c r="Z265" i="72"/>
  <c r="Y265" i="72"/>
  <c r="X265" i="72"/>
  <c r="W265" i="72"/>
  <c r="V265" i="72"/>
  <c r="AJ264" i="72"/>
  <c r="AI264" i="72"/>
  <c r="AH264" i="72"/>
  <c r="AG264" i="72"/>
  <c r="AF264" i="72"/>
  <c r="AE264" i="72"/>
  <c r="AD264" i="72"/>
  <c r="AC264" i="72"/>
  <c r="AB264" i="72"/>
  <c r="AA264" i="72"/>
  <c r="Z264" i="72"/>
  <c r="Y264" i="72"/>
  <c r="X264" i="72"/>
  <c r="W264" i="72"/>
  <c r="V264" i="72"/>
  <c r="U264" i="72"/>
  <c r="AJ263" i="72"/>
  <c r="AI263" i="72"/>
  <c r="AH263" i="72"/>
  <c r="AG263" i="72"/>
  <c r="AF263" i="72"/>
  <c r="AE263" i="72"/>
  <c r="AD263" i="72"/>
  <c r="AC263" i="72"/>
  <c r="AB263" i="72"/>
  <c r="AA263" i="72"/>
  <c r="Z263" i="72"/>
  <c r="Y263" i="72"/>
  <c r="X263" i="72"/>
  <c r="W263" i="72"/>
  <c r="V263" i="72"/>
  <c r="U263" i="72"/>
  <c r="T263" i="72"/>
  <c r="AJ262" i="72"/>
  <c r="AI262" i="72"/>
  <c r="AH262" i="72"/>
  <c r="AG262" i="72"/>
  <c r="AF262" i="72"/>
  <c r="AE262" i="72"/>
  <c r="AD262" i="72"/>
  <c r="AC262" i="72"/>
  <c r="AB262" i="72"/>
  <c r="AA262" i="72"/>
  <c r="Z262" i="72"/>
  <c r="Y262" i="72"/>
  <c r="X262" i="72"/>
  <c r="W262" i="72"/>
  <c r="V262" i="72"/>
  <c r="U262" i="72"/>
  <c r="T262" i="72"/>
  <c r="S262" i="72"/>
  <c r="AJ261" i="72"/>
  <c r="AI261" i="72"/>
  <c r="AH261" i="72"/>
  <c r="AG261" i="72"/>
  <c r="AF261" i="72"/>
  <c r="AE261" i="72"/>
  <c r="AD261" i="72"/>
  <c r="AC261" i="72"/>
  <c r="AB261" i="72"/>
  <c r="AA261" i="72"/>
  <c r="Z261" i="72"/>
  <c r="Y261" i="72"/>
  <c r="X261" i="72"/>
  <c r="W261" i="72"/>
  <c r="V261" i="72"/>
  <c r="U261" i="72"/>
  <c r="T261" i="72"/>
  <c r="S261" i="72"/>
  <c r="R261" i="72"/>
  <c r="AJ260" i="72"/>
  <c r="AI260" i="72"/>
  <c r="AH260" i="72"/>
  <c r="AG260" i="72"/>
  <c r="AF260" i="72"/>
  <c r="AE260" i="72"/>
  <c r="AD260" i="72"/>
  <c r="AC260" i="72"/>
  <c r="AB260" i="72"/>
  <c r="AA260" i="72"/>
  <c r="Z260" i="72"/>
  <c r="Y260" i="72"/>
  <c r="X260" i="72"/>
  <c r="W260" i="72"/>
  <c r="V260" i="72"/>
  <c r="U260" i="72"/>
  <c r="T260" i="72"/>
  <c r="S260" i="72"/>
  <c r="R260" i="72"/>
  <c r="Q260" i="72"/>
  <c r="AJ259" i="72"/>
  <c r="AI259" i="72"/>
  <c r="AH259" i="72"/>
  <c r="AG259" i="72"/>
  <c r="AF259" i="72"/>
  <c r="AE259" i="72"/>
  <c r="AD259" i="72"/>
  <c r="AC259" i="72"/>
  <c r="AB259" i="72"/>
  <c r="AA259" i="72"/>
  <c r="Z259" i="72"/>
  <c r="Y259" i="72"/>
  <c r="X259" i="72"/>
  <c r="W259" i="72"/>
  <c r="V259" i="72"/>
  <c r="U259" i="72"/>
  <c r="T259" i="72"/>
  <c r="S259" i="72"/>
  <c r="R259" i="72"/>
  <c r="Q259" i="72"/>
  <c r="P259" i="72"/>
  <c r="AJ258" i="72"/>
  <c r="AI258" i="72"/>
  <c r="AH258" i="72"/>
  <c r="AG258" i="72"/>
  <c r="AF258" i="72"/>
  <c r="AE258" i="72"/>
  <c r="AD258" i="72"/>
  <c r="AC258" i="72"/>
  <c r="AB258" i="72"/>
  <c r="AA258" i="72"/>
  <c r="Z258" i="72"/>
  <c r="Y258" i="72"/>
  <c r="X258" i="72"/>
  <c r="W258" i="72"/>
  <c r="V258" i="72"/>
  <c r="U258" i="72"/>
  <c r="T258" i="72"/>
  <c r="S258" i="72"/>
  <c r="R258" i="72"/>
  <c r="Q258" i="72"/>
  <c r="P258" i="72"/>
  <c r="O258" i="72"/>
  <c r="AJ257" i="72"/>
  <c r="AI257" i="72"/>
  <c r="AH257" i="72"/>
  <c r="AG257" i="72"/>
  <c r="AF257" i="72"/>
  <c r="AE257" i="72"/>
  <c r="AD257" i="72"/>
  <c r="AC257" i="72"/>
  <c r="AB257" i="72"/>
  <c r="AA257" i="72"/>
  <c r="Z257" i="72"/>
  <c r="Y257" i="72"/>
  <c r="X257" i="72"/>
  <c r="W257" i="72"/>
  <c r="V257" i="72"/>
  <c r="U257" i="72"/>
  <c r="T257" i="72"/>
  <c r="S257" i="72"/>
  <c r="R257" i="72"/>
  <c r="Q257" i="72"/>
  <c r="P257" i="72"/>
  <c r="O257" i="72"/>
  <c r="N257" i="72"/>
  <c r="AJ256" i="72"/>
  <c r="AI256" i="72"/>
  <c r="AH256" i="72"/>
  <c r="AG256" i="72"/>
  <c r="AF256" i="72"/>
  <c r="AE256" i="72"/>
  <c r="AD256" i="72"/>
  <c r="AC256" i="72"/>
  <c r="AB256" i="72"/>
  <c r="AA256" i="72"/>
  <c r="Z256" i="72"/>
  <c r="Y256" i="72"/>
  <c r="X256" i="72"/>
  <c r="W256" i="72"/>
  <c r="V256" i="72"/>
  <c r="U256" i="72"/>
  <c r="T256" i="72"/>
  <c r="S256" i="72"/>
  <c r="R256" i="72"/>
  <c r="Q256" i="72"/>
  <c r="P256" i="72"/>
  <c r="O256" i="72"/>
  <c r="N256" i="72"/>
  <c r="M256" i="72"/>
  <c r="AJ255" i="72"/>
  <c r="AI255" i="72"/>
  <c r="AH255" i="72"/>
  <c r="AG255" i="72"/>
  <c r="AF255" i="72"/>
  <c r="AE255" i="72"/>
  <c r="AD255" i="72"/>
  <c r="AC255" i="72"/>
  <c r="AB255" i="72"/>
  <c r="AA255" i="72"/>
  <c r="Z255" i="72"/>
  <c r="Y255" i="72"/>
  <c r="X255" i="72"/>
  <c r="W255" i="72"/>
  <c r="V255" i="72"/>
  <c r="U255" i="72"/>
  <c r="T255" i="72"/>
  <c r="S255" i="72"/>
  <c r="R255" i="72"/>
  <c r="Q255" i="72"/>
  <c r="P255" i="72"/>
  <c r="O255" i="72"/>
  <c r="N255" i="72"/>
  <c r="M255" i="72"/>
  <c r="L255" i="72"/>
  <c r="AJ254" i="72"/>
  <c r="AI254" i="72"/>
  <c r="AH254" i="72"/>
  <c r="AG254" i="72"/>
  <c r="AF254" i="72"/>
  <c r="AE254" i="72"/>
  <c r="AD254" i="72"/>
  <c r="AC254" i="72"/>
  <c r="AB254" i="72"/>
  <c r="AA254" i="72"/>
  <c r="Z254" i="72"/>
  <c r="Y254" i="72"/>
  <c r="X254" i="72"/>
  <c r="W254" i="72"/>
  <c r="V254" i="72"/>
  <c r="U254" i="72"/>
  <c r="T254" i="72"/>
  <c r="S254" i="72"/>
  <c r="R254" i="72"/>
  <c r="Q254" i="72"/>
  <c r="P254" i="72"/>
  <c r="O254" i="72"/>
  <c r="N254" i="72"/>
  <c r="M254" i="72"/>
  <c r="L254" i="72"/>
  <c r="K254" i="72"/>
  <c r="AJ253" i="72"/>
  <c r="AI253" i="72"/>
  <c r="AH253" i="72"/>
  <c r="AG253" i="72"/>
  <c r="AF253" i="72"/>
  <c r="AE253" i="72"/>
  <c r="AD253" i="72"/>
  <c r="AC253" i="72"/>
  <c r="AB253" i="72"/>
  <c r="AA253" i="72"/>
  <c r="Z253" i="72"/>
  <c r="Y253" i="72"/>
  <c r="X253" i="72"/>
  <c r="W253" i="72"/>
  <c r="V253" i="72"/>
  <c r="U253" i="72"/>
  <c r="T253" i="72"/>
  <c r="S253" i="72"/>
  <c r="R253" i="72"/>
  <c r="Q253" i="72"/>
  <c r="P253" i="72"/>
  <c r="O253" i="72"/>
  <c r="N253" i="72"/>
  <c r="M253" i="72"/>
  <c r="L253" i="72"/>
  <c r="K253" i="72"/>
  <c r="J253" i="72"/>
  <c r="AJ252" i="72"/>
  <c r="AI252" i="72"/>
  <c r="AH252" i="72"/>
  <c r="AG252" i="72"/>
  <c r="AF252" i="72"/>
  <c r="AE252" i="72"/>
  <c r="AD252" i="72"/>
  <c r="AC252" i="72"/>
  <c r="AB252" i="72"/>
  <c r="AA252" i="72"/>
  <c r="Z252" i="72"/>
  <c r="Y252" i="72"/>
  <c r="X252" i="72"/>
  <c r="W252" i="72"/>
  <c r="V252" i="72"/>
  <c r="U252" i="72"/>
  <c r="T252" i="72"/>
  <c r="S252" i="72"/>
  <c r="R252" i="72"/>
  <c r="Q252" i="72"/>
  <c r="P252" i="72"/>
  <c r="O252" i="72"/>
  <c r="N252" i="72"/>
  <c r="M252" i="72"/>
  <c r="L252" i="72"/>
  <c r="K252" i="72"/>
  <c r="J252" i="72"/>
  <c r="I252" i="72"/>
  <c r="AJ251" i="72"/>
  <c r="AI251" i="72"/>
  <c r="AH251" i="72"/>
  <c r="AG251" i="72"/>
  <c r="AF251" i="72"/>
  <c r="AE251" i="72"/>
  <c r="AD251" i="72"/>
  <c r="AC251" i="72"/>
  <c r="AB251" i="72"/>
  <c r="AA251" i="72"/>
  <c r="Z251" i="72"/>
  <c r="Y251" i="72"/>
  <c r="X251" i="72"/>
  <c r="W251" i="72"/>
  <c r="V251" i="72"/>
  <c r="U251" i="72"/>
  <c r="T251" i="72"/>
  <c r="S251" i="72"/>
  <c r="R251" i="72"/>
  <c r="Q251" i="72"/>
  <c r="P251" i="72"/>
  <c r="O251" i="72"/>
  <c r="N251" i="72"/>
  <c r="M251" i="72"/>
  <c r="L251" i="72"/>
  <c r="K251" i="72"/>
  <c r="J251" i="72"/>
  <c r="I251" i="72"/>
  <c r="H251" i="72"/>
  <c r="AJ250" i="72"/>
  <c r="AI250" i="72"/>
  <c r="AH250" i="72"/>
  <c r="AG250" i="72"/>
  <c r="AF250" i="72"/>
  <c r="AE250" i="72"/>
  <c r="AD250" i="72"/>
  <c r="AC250" i="72"/>
  <c r="AB250" i="72"/>
  <c r="AA250" i="72"/>
  <c r="Z250" i="72"/>
  <c r="Y250" i="72"/>
  <c r="X250" i="72"/>
  <c r="W250" i="72"/>
  <c r="V250" i="72"/>
  <c r="U250" i="72"/>
  <c r="T250" i="72"/>
  <c r="S250" i="72"/>
  <c r="R250" i="72"/>
  <c r="Q250" i="72"/>
  <c r="P250" i="72"/>
  <c r="O250" i="72"/>
  <c r="N250" i="72"/>
  <c r="M250" i="72"/>
  <c r="L250" i="72"/>
  <c r="K250" i="72"/>
  <c r="J250" i="72"/>
  <c r="I250" i="72"/>
  <c r="H250" i="72"/>
  <c r="G250" i="72"/>
  <c r="AJ248" i="72"/>
  <c r="AJ247" i="72"/>
  <c r="AI247" i="72"/>
  <c r="AJ246" i="72"/>
  <c r="AI246" i="72"/>
  <c r="AH246" i="72"/>
  <c r="AJ245" i="72"/>
  <c r="AI245" i="72"/>
  <c r="AH245" i="72"/>
  <c r="AG245" i="72"/>
  <c r="AJ244" i="72"/>
  <c r="AI244" i="72"/>
  <c r="AH244" i="72"/>
  <c r="AG244" i="72"/>
  <c r="AF244" i="72"/>
  <c r="AJ243" i="72"/>
  <c r="AI243" i="72"/>
  <c r="AH243" i="72"/>
  <c r="AG243" i="72"/>
  <c r="AF243" i="72"/>
  <c r="AE243" i="72"/>
  <c r="AJ242" i="72"/>
  <c r="AI242" i="72"/>
  <c r="AH242" i="72"/>
  <c r="AG242" i="72"/>
  <c r="AF242" i="72"/>
  <c r="AE242" i="72"/>
  <c r="AD242" i="72"/>
  <c r="AJ241" i="72"/>
  <c r="AI241" i="72"/>
  <c r="AH241" i="72"/>
  <c r="AG241" i="72"/>
  <c r="AF241" i="72"/>
  <c r="AE241" i="72"/>
  <c r="AD241" i="72"/>
  <c r="AC241" i="72"/>
  <c r="AJ240" i="72"/>
  <c r="AI240" i="72"/>
  <c r="AH240" i="72"/>
  <c r="AG240" i="72"/>
  <c r="AF240" i="72"/>
  <c r="AE240" i="72"/>
  <c r="AD240" i="72"/>
  <c r="AC240" i="72"/>
  <c r="AB240" i="72"/>
  <c r="AJ239" i="72"/>
  <c r="AI239" i="72"/>
  <c r="AH239" i="72"/>
  <c r="AG239" i="72"/>
  <c r="AF239" i="72"/>
  <c r="AE239" i="72"/>
  <c r="AD239" i="72"/>
  <c r="AC239" i="72"/>
  <c r="AB239" i="72"/>
  <c r="AA239" i="72"/>
  <c r="AJ238" i="72"/>
  <c r="AI238" i="72"/>
  <c r="AH238" i="72"/>
  <c r="AG238" i="72"/>
  <c r="AF238" i="72"/>
  <c r="AE238" i="72"/>
  <c r="AD238" i="72"/>
  <c r="AC238" i="72"/>
  <c r="AB238" i="72"/>
  <c r="AA238" i="72"/>
  <c r="Z238" i="72"/>
  <c r="AJ237" i="72"/>
  <c r="AI237" i="72"/>
  <c r="AH237" i="72"/>
  <c r="AG237" i="72"/>
  <c r="AF237" i="72"/>
  <c r="AE237" i="72"/>
  <c r="AD237" i="72"/>
  <c r="AC237" i="72"/>
  <c r="AB237" i="72"/>
  <c r="AA237" i="72"/>
  <c r="Z237" i="72"/>
  <c r="Y237" i="72"/>
  <c r="AJ236" i="72"/>
  <c r="AI236" i="72"/>
  <c r="AH236" i="72"/>
  <c r="AG236" i="72"/>
  <c r="AF236" i="72"/>
  <c r="AE236" i="72"/>
  <c r="AD236" i="72"/>
  <c r="AC236" i="72"/>
  <c r="AB236" i="72"/>
  <c r="AA236" i="72"/>
  <c r="Z236" i="72"/>
  <c r="Y236" i="72"/>
  <c r="X236" i="72"/>
  <c r="AJ235" i="72"/>
  <c r="AI235" i="72"/>
  <c r="AH235" i="72"/>
  <c r="AG235" i="72"/>
  <c r="AF235" i="72"/>
  <c r="AE235" i="72"/>
  <c r="AD235" i="72"/>
  <c r="AC235" i="72"/>
  <c r="AB235" i="72"/>
  <c r="AA235" i="72"/>
  <c r="Z235" i="72"/>
  <c r="Y235" i="72"/>
  <c r="X235" i="72"/>
  <c r="W235" i="72"/>
  <c r="AJ234" i="72"/>
  <c r="AI234" i="72"/>
  <c r="AH234" i="72"/>
  <c r="AG234" i="72"/>
  <c r="AF234" i="72"/>
  <c r="AE234" i="72"/>
  <c r="AD234" i="72"/>
  <c r="AC234" i="72"/>
  <c r="AB234" i="72"/>
  <c r="AA234" i="72"/>
  <c r="Z234" i="72"/>
  <c r="Y234" i="72"/>
  <c r="X234" i="72"/>
  <c r="W234" i="72"/>
  <c r="V234" i="72"/>
  <c r="AJ233" i="72"/>
  <c r="AI233" i="72"/>
  <c r="AH233" i="72"/>
  <c r="AG233" i="72"/>
  <c r="AF233" i="72"/>
  <c r="AE233" i="72"/>
  <c r="AD233" i="72"/>
  <c r="AC233" i="72"/>
  <c r="AB233" i="72"/>
  <c r="AA233" i="72"/>
  <c r="Z233" i="72"/>
  <c r="Y233" i="72"/>
  <c r="X233" i="72"/>
  <c r="W233" i="72"/>
  <c r="V233" i="72"/>
  <c r="U233" i="72"/>
  <c r="AJ232" i="72"/>
  <c r="AI232" i="72"/>
  <c r="AH232" i="72"/>
  <c r="AG232" i="72"/>
  <c r="AF232" i="72"/>
  <c r="AE232" i="72"/>
  <c r="AD232" i="72"/>
  <c r="AC232" i="72"/>
  <c r="AB232" i="72"/>
  <c r="AA232" i="72"/>
  <c r="Z232" i="72"/>
  <c r="Y232" i="72"/>
  <c r="X232" i="72"/>
  <c r="W232" i="72"/>
  <c r="V232" i="72"/>
  <c r="U232" i="72"/>
  <c r="T232" i="72"/>
  <c r="AJ231" i="72"/>
  <c r="AI231" i="72"/>
  <c r="AH231" i="72"/>
  <c r="AG231" i="72"/>
  <c r="AF231" i="72"/>
  <c r="AE231" i="72"/>
  <c r="AD231" i="72"/>
  <c r="AC231" i="72"/>
  <c r="AB231" i="72"/>
  <c r="AA231" i="72"/>
  <c r="Z231" i="72"/>
  <c r="Y231" i="72"/>
  <c r="X231" i="72"/>
  <c r="W231" i="72"/>
  <c r="V231" i="72"/>
  <c r="U231" i="72"/>
  <c r="T231" i="72"/>
  <c r="S231" i="72"/>
  <c r="AJ230" i="72"/>
  <c r="AI230" i="72"/>
  <c r="AH230" i="72"/>
  <c r="AG230" i="72"/>
  <c r="AF230" i="72"/>
  <c r="AE230" i="72"/>
  <c r="AD230" i="72"/>
  <c r="AC230" i="72"/>
  <c r="AB230" i="72"/>
  <c r="AA230" i="72"/>
  <c r="Z230" i="72"/>
  <c r="Y230" i="72"/>
  <c r="X230" i="72"/>
  <c r="W230" i="72"/>
  <c r="V230" i="72"/>
  <c r="U230" i="72"/>
  <c r="T230" i="72"/>
  <c r="S230" i="72"/>
  <c r="R230" i="72"/>
  <c r="AJ229" i="72"/>
  <c r="AI229" i="72"/>
  <c r="AH229" i="72"/>
  <c r="AG229" i="72"/>
  <c r="AF229" i="72"/>
  <c r="AE229" i="72"/>
  <c r="AD229" i="72"/>
  <c r="AC229" i="72"/>
  <c r="AB229" i="72"/>
  <c r="AA229" i="72"/>
  <c r="Z229" i="72"/>
  <c r="Y229" i="72"/>
  <c r="X229" i="72"/>
  <c r="W229" i="72"/>
  <c r="V229" i="72"/>
  <c r="U229" i="72"/>
  <c r="T229" i="72"/>
  <c r="S229" i="72"/>
  <c r="R229" i="72"/>
  <c r="Q229" i="72"/>
  <c r="AJ228" i="72"/>
  <c r="AI228" i="72"/>
  <c r="AH228" i="72"/>
  <c r="AG228" i="72"/>
  <c r="AF228" i="72"/>
  <c r="AE228" i="72"/>
  <c r="AD228" i="72"/>
  <c r="AC228" i="72"/>
  <c r="AB228" i="72"/>
  <c r="AA228" i="72"/>
  <c r="Z228" i="72"/>
  <c r="Y228" i="72"/>
  <c r="X228" i="72"/>
  <c r="W228" i="72"/>
  <c r="V228" i="72"/>
  <c r="U228" i="72"/>
  <c r="T228" i="72"/>
  <c r="S228" i="72"/>
  <c r="R228" i="72"/>
  <c r="Q228" i="72"/>
  <c r="P228" i="72"/>
  <c r="AJ227" i="72"/>
  <c r="AI227" i="72"/>
  <c r="AH227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AJ226" i="72"/>
  <c r="AI226" i="72"/>
  <c r="AH226" i="72"/>
  <c r="AG226" i="72"/>
  <c r="AF226" i="72"/>
  <c r="AE226" i="72"/>
  <c r="AD226" i="72"/>
  <c r="AC226" i="72"/>
  <c r="AB226" i="72"/>
  <c r="AA226" i="72"/>
  <c r="Z226" i="72"/>
  <c r="Y226" i="72"/>
  <c r="X226" i="72"/>
  <c r="W226" i="72"/>
  <c r="V226" i="72"/>
  <c r="U226" i="72"/>
  <c r="T226" i="72"/>
  <c r="S226" i="72"/>
  <c r="R226" i="72"/>
  <c r="Q226" i="72"/>
  <c r="P226" i="72"/>
  <c r="O226" i="72"/>
  <c r="N226" i="72"/>
  <c r="AJ225" i="72"/>
  <c r="AI225" i="72"/>
  <c r="AH225" i="72"/>
  <c r="AG225" i="72"/>
  <c r="AF225" i="72"/>
  <c r="AE225" i="72"/>
  <c r="AD225" i="72"/>
  <c r="AC225" i="72"/>
  <c r="AB225" i="72"/>
  <c r="AA225" i="72"/>
  <c r="Z225" i="72"/>
  <c r="Y225" i="72"/>
  <c r="X225" i="72"/>
  <c r="W225" i="72"/>
  <c r="V225" i="72"/>
  <c r="U225" i="72"/>
  <c r="T225" i="72"/>
  <c r="S225" i="72"/>
  <c r="R225" i="72"/>
  <c r="Q225" i="72"/>
  <c r="P225" i="72"/>
  <c r="O225" i="72"/>
  <c r="N225" i="72"/>
  <c r="M225" i="72"/>
  <c r="AJ224" i="72"/>
  <c r="AI224" i="72"/>
  <c r="AH224" i="72"/>
  <c r="AG224" i="72"/>
  <c r="AF224" i="72"/>
  <c r="AE224" i="72"/>
  <c r="AD224" i="72"/>
  <c r="AC224" i="72"/>
  <c r="AB224" i="72"/>
  <c r="AA224" i="72"/>
  <c r="Z224" i="72"/>
  <c r="Y224" i="72"/>
  <c r="X224" i="72"/>
  <c r="W224" i="72"/>
  <c r="V224" i="72"/>
  <c r="U224" i="72"/>
  <c r="T224" i="72"/>
  <c r="S224" i="72"/>
  <c r="R224" i="72"/>
  <c r="Q224" i="72"/>
  <c r="P224" i="72"/>
  <c r="O224" i="72"/>
  <c r="N224" i="72"/>
  <c r="M224" i="72"/>
  <c r="L224" i="72"/>
  <c r="AJ223" i="72"/>
  <c r="AI223" i="72"/>
  <c r="AH223" i="72"/>
  <c r="AG223" i="72"/>
  <c r="AF223" i="72"/>
  <c r="AE223" i="72"/>
  <c r="AD223" i="72"/>
  <c r="AC223" i="72"/>
  <c r="AB223" i="72"/>
  <c r="AA223" i="72"/>
  <c r="Z223" i="72"/>
  <c r="Y223" i="72"/>
  <c r="X223" i="72"/>
  <c r="W223" i="72"/>
  <c r="V223" i="72"/>
  <c r="U223" i="72"/>
  <c r="T223" i="72"/>
  <c r="S223" i="72"/>
  <c r="R223" i="72"/>
  <c r="Q223" i="72"/>
  <c r="P223" i="72"/>
  <c r="O223" i="72"/>
  <c r="N223" i="72"/>
  <c r="M223" i="72"/>
  <c r="L223" i="72"/>
  <c r="K223" i="72"/>
  <c r="AJ222" i="72"/>
  <c r="AI222" i="72"/>
  <c r="AH222" i="72"/>
  <c r="AG222" i="72"/>
  <c r="AF222" i="72"/>
  <c r="AE222" i="72"/>
  <c r="AD222" i="72"/>
  <c r="AC222" i="72"/>
  <c r="AB222" i="72"/>
  <c r="AA222" i="72"/>
  <c r="Z222" i="72"/>
  <c r="Y222" i="72"/>
  <c r="X222" i="72"/>
  <c r="W222" i="72"/>
  <c r="V222" i="72"/>
  <c r="U222" i="72"/>
  <c r="T222" i="72"/>
  <c r="S222" i="72"/>
  <c r="R222" i="72"/>
  <c r="Q222" i="72"/>
  <c r="P222" i="72"/>
  <c r="O222" i="72"/>
  <c r="N222" i="72"/>
  <c r="M222" i="72"/>
  <c r="L222" i="72"/>
  <c r="K222" i="72"/>
  <c r="J222" i="72"/>
  <c r="AJ221" i="72"/>
  <c r="AI221" i="72"/>
  <c r="AH221" i="72"/>
  <c r="AG221" i="72"/>
  <c r="AF221" i="72"/>
  <c r="AE221" i="72"/>
  <c r="AD221" i="72"/>
  <c r="AC221" i="72"/>
  <c r="AB221" i="72"/>
  <c r="AA221" i="72"/>
  <c r="Z221" i="72"/>
  <c r="Y221" i="72"/>
  <c r="X221" i="72"/>
  <c r="W221" i="72"/>
  <c r="V221" i="72"/>
  <c r="U221" i="72"/>
  <c r="T221" i="72"/>
  <c r="S221" i="72"/>
  <c r="R221" i="72"/>
  <c r="Q221" i="72"/>
  <c r="P221" i="72"/>
  <c r="O221" i="72"/>
  <c r="N221" i="72"/>
  <c r="M221" i="72"/>
  <c r="L221" i="72"/>
  <c r="K221" i="72"/>
  <c r="J221" i="72"/>
  <c r="I221" i="72"/>
  <c r="AJ220" i="72"/>
  <c r="AI220" i="72"/>
  <c r="AH220" i="72"/>
  <c r="AG220" i="72"/>
  <c r="AF220" i="72"/>
  <c r="AE220" i="72"/>
  <c r="AD220" i="72"/>
  <c r="AC220" i="72"/>
  <c r="AB220" i="72"/>
  <c r="AA220" i="72"/>
  <c r="Z220" i="72"/>
  <c r="Y220" i="72"/>
  <c r="X220" i="72"/>
  <c r="W220" i="72"/>
  <c r="V220" i="72"/>
  <c r="U220" i="72"/>
  <c r="T220" i="72"/>
  <c r="S220" i="72"/>
  <c r="R220" i="72"/>
  <c r="Q220" i="72"/>
  <c r="P220" i="72"/>
  <c r="O220" i="72"/>
  <c r="N220" i="72"/>
  <c r="M220" i="72"/>
  <c r="L220" i="72"/>
  <c r="K220" i="72"/>
  <c r="J220" i="72"/>
  <c r="I220" i="72"/>
  <c r="H220" i="72"/>
  <c r="AJ219" i="72"/>
  <c r="AI219" i="72"/>
  <c r="AH219" i="72"/>
  <c r="AG219" i="72"/>
  <c r="AF219" i="72"/>
  <c r="AE219" i="72"/>
  <c r="AD219" i="72"/>
  <c r="AC219" i="72"/>
  <c r="AB219" i="72"/>
  <c r="AA219" i="72"/>
  <c r="Z219" i="72"/>
  <c r="Y219" i="72"/>
  <c r="X219" i="72"/>
  <c r="W219" i="72"/>
  <c r="V219" i="72"/>
  <c r="U219" i="72"/>
  <c r="T219" i="72"/>
  <c r="S219" i="72"/>
  <c r="R219" i="72"/>
  <c r="Q219" i="72"/>
  <c r="P219" i="72"/>
  <c r="O219" i="72"/>
  <c r="N219" i="72"/>
  <c r="M219" i="72"/>
  <c r="L219" i="72"/>
  <c r="K219" i="72"/>
  <c r="J219" i="72"/>
  <c r="I219" i="72"/>
  <c r="H219" i="72"/>
  <c r="G219" i="72"/>
  <c r="AJ217" i="72"/>
  <c r="AJ216" i="72"/>
  <c r="AI216" i="72"/>
  <c r="AJ215" i="72"/>
  <c r="AI215" i="72"/>
  <c r="AH215" i="72"/>
  <c r="AJ214" i="72"/>
  <c r="AI214" i="72"/>
  <c r="AH214" i="72"/>
  <c r="AG214" i="72"/>
  <c r="AJ213" i="72"/>
  <c r="AI213" i="72"/>
  <c r="AH213" i="72"/>
  <c r="AG213" i="72"/>
  <c r="AF213" i="72"/>
  <c r="AJ212" i="72"/>
  <c r="AI212" i="72"/>
  <c r="AH212" i="72"/>
  <c r="AG212" i="72"/>
  <c r="AF212" i="72"/>
  <c r="AE212" i="72"/>
  <c r="AJ211" i="72"/>
  <c r="AI211" i="72"/>
  <c r="AH211" i="72"/>
  <c r="AG211" i="72"/>
  <c r="AF211" i="72"/>
  <c r="AE211" i="72"/>
  <c r="AD211" i="72"/>
  <c r="AJ210" i="72"/>
  <c r="AI210" i="72"/>
  <c r="AH210" i="72"/>
  <c r="AG210" i="72"/>
  <c r="AF210" i="72"/>
  <c r="AE210" i="72"/>
  <c r="AD210" i="72"/>
  <c r="AC210" i="72"/>
  <c r="AJ209" i="72"/>
  <c r="AI209" i="72"/>
  <c r="AH209" i="72"/>
  <c r="AG209" i="72"/>
  <c r="AF209" i="72"/>
  <c r="AE209" i="72"/>
  <c r="AD209" i="72"/>
  <c r="AC209" i="72"/>
  <c r="AB209" i="72"/>
  <c r="AJ208" i="72"/>
  <c r="AI208" i="72"/>
  <c r="AH208" i="72"/>
  <c r="AG208" i="72"/>
  <c r="AF208" i="72"/>
  <c r="AE208" i="72"/>
  <c r="AD208" i="72"/>
  <c r="AC208" i="72"/>
  <c r="AB208" i="72"/>
  <c r="AA208" i="72"/>
  <c r="AJ207" i="72"/>
  <c r="AI207" i="72"/>
  <c r="AH207" i="72"/>
  <c r="AG207" i="72"/>
  <c r="AF207" i="72"/>
  <c r="AE207" i="72"/>
  <c r="AD207" i="72"/>
  <c r="AC207" i="72"/>
  <c r="AB207" i="72"/>
  <c r="AA207" i="72"/>
  <c r="Z207" i="72"/>
  <c r="AJ206" i="72"/>
  <c r="AI206" i="72"/>
  <c r="AH206" i="72"/>
  <c r="AG206" i="72"/>
  <c r="AF206" i="72"/>
  <c r="AE206" i="72"/>
  <c r="AD206" i="72"/>
  <c r="AC206" i="72"/>
  <c r="AB206" i="72"/>
  <c r="AA206" i="72"/>
  <c r="Z206" i="72"/>
  <c r="Y206" i="72"/>
  <c r="AJ205" i="72"/>
  <c r="AI205" i="72"/>
  <c r="AH205" i="72"/>
  <c r="AG205" i="72"/>
  <c r="AF205" i="72"/>
  <c r="AE205" i="72"/>
  <c r="AD205" i="72"/>
  <c r="AC205" i="72"/>
  <c r="AB205" i="72"/>
  <c r="AA205" i="72"/>
  <c r="Z205" i="72"/>
  <c r="Y205" i="72"/>
  <c r="X205" i="72"/>
  <c r="AJ204" i="72"/>
  <c r="AI204" i="72"/>
  <c r="AH204" i="72"/>
  <c r="AG204" i="72"/>
  <c r="AF204" i="72"/>
  <c r="AE204" i="72"/>
  <c r="AD204" i="72"/>
  <c r="AC204" i="72"/>
  <c r="AB204" i="72"/>
  <c r="AA204" i="72"/>
  <c r="Z204" i="72"/>
  <c r="Y204" i="72"/>
  <c r="X204" i="72"/>
  <c r="W204" i="72"/>
  <c r="AJ203" i="72"/>
  <c r="AI203" i="72"/>
  <c r="AH203" i="72"/>
  <c r="AG203" i="72"/>
  <c r="AF203" i="72"/>
  <c r="AE203" i="72"/>
  <c r="AD203" i="72"/>
  <c r="AC203" i="72"/>
  <c r="AB203" i="72"/>
  <c r="AA203" i="72"/>
  <c r="Z203" i="72"/>
  <c r="Y203" i="72"/>
  <c r="X203" i="72"/>
  <c r="W203" i="72"/>
  <c r="V203" i="72"/>
  <c r="AJ202" i="72"/>
  <c r="AI202" i="72"/>
  <c r="AH202" i="72"/>
  <c r="AG202" i="72"/>
  <c r="AF202" i="72"/>
  <c r="AE202" i="72"/>
  <c r="AD202" i="72"/>
  <c r="AC202" i="72"/>
  <c r="AB202" i="72"/>
  <c r="AA202" i="72"/>
  <c r="Z202" i="72"/>
  <c r="Y202" i="72"/>
  <c r="X202" i="72"/>
  <c r="W202" i="72"/>
  <c r="V202" i="72"/>
  <c r="U202" i="72"/>
  <c r="AJ201" i="72"/>
  <c r="AI201" i="72"/>
  <c r="AH201" i="72"/>
  <c r="AG201" i="72"/>
  <c r="AF201" i="72"/>
  <c r="AE201" i="72"/>
  <c r="AD201" i="72"/>
  <c r="AC201" i="72"/>
  <c r="AB201" i="72"/>
  <c r="AA201" i="72"/>
  <c r="Z201" i="72"/>
  <c r="Y201" i="72"/>
  <c r="X201" i="72"/>
  <c r="W201" i="72"/>
  <c r="V201" i="72"/>
  <c r="U201" i="72"/>
  <c r="T201" i="72"/>
  <c r="AJ200" i="72"/>
  <c r="AI200" i="72"/>
  <c r="AH200" i="72"/>
  <c r="AG200" i="72"/>
  <c r="AF200" i="72"/>
  <c r="AE200" i="72"/>
  <c r="AD200" i="72"/>
  <c r="AC200" i="72"/>
  <c r="AB200" i="72"/>
  <c r="AA200" i="72"/>
  <c r="Z200" i="72"/>
  <c r="Y200" i="72"/>
  <c r="X200" i="72"/>
  <c r="W200" i="72"/>
  <c r="V200" i="72"/>
  <c r="U200" i="72"/>
  <c r="T200" i="72"/>
  <c r="S200" i="72"/>
  <c r="AJ199" i="72"/>
  <c r="AI199" i="72"/>
  <c r="AH199" i="72"/>
  <c r="AG199" i="72"/>
  <c r="AF199" i="72"/>
  <c r="AE199" i="72"/>
  <c r="AD199" i="72"/>
  <c r="AC199" i="72"/>
  <c r="AB199" i="72"/>
  <c r="AA199" i="72"/>
  <c r="Z199" i="72"/>
  <c r="Y199" i="72"/>
  <c r="X199" i="72"/>
  <c r="W199" i="72"/>
  <c r="V199" i="72"/>
  <c r="U199" i="72"/>
  <c r="T199" i="72"/>
  <c r="S199" i="72"/>
  <c r="R199" i="72"/>
  <c r="AJ198" i="72"/>
  <c r="AI198" i="72"/>
  <c r="AH198" i="72"/>
  <c r="AG198" i="72"/>
  <c r="AF198" i="72"/>
  <c r="AE198" i="72"/>
  <c r="AD198" i="72"/>
  <c r="AC198" i="72"/>
  <c r="AB198" i="72"/>
  <c r="AA198" i="72"/>
  <c r="Z198" i="72"/>
  <c r="Y198" i="72"/>
  <c r="X198" i="72"/>
  <c r="W198" i="72"/>
  <c r="V198" i="72"/>
  <c r="U198" i="72"/>
  <c r="T198" i="72"/>
  <c r="S198" i="72"/>
  <c r="R198" i="72"/>
  <c r="Q198" i="72"/>
  <c r="AJ197" i="72"/>
  <c r="AI197" i="72"/>
  <c r="AH197" i="72"/>
  <c r="AG197" i="72"/>
  <c r="AF197" i="72"/>
  <c r="AE197" i="72"/>
  <c r="AD197" i="72"/>
  <c r="AC197" i="72"/>
  <c r="AB197" i="72"/>
  <c r="AA197" i="72"/>
  <c r="Z197" i="72"/>
  <c r="Y197" i="72"/>
  <c r="X197" i="72"/>
  <c r="W197" i="72"/>
  <c r="V197" i="72"/>
  <c r="U197" i="72"/>
  <c r="T197" i="72"/>
  <c r="S197" i="72"/>
  <c r="R197" i="72"/>
  <c r="Q197" i="72"/>
  <c r="P197" i="72"/>
  <c r="AJ196" i="72"/>
  <c r="AI196" i="72"/>
  <c r="AH196" i="72"/>
  <c r="AG196" i="72"/>
  <c r="AF196" i="72"/>
  <c r="AE196" i="72"/>
  <c r="AD196" i="72"/>
  <c r="AC196" i="72"/>
  <c r="AB196" i="72"/>
  <c r="AA196" i="72"/>
  <c r="Z196" i="72"/>
  <c r="Y196" i="72"/>
  <c r="X196" i="72"/>
  <c r="W196" i="72"/>
  <c r="V196" i="72"/>
  <c r="U196" i="72"/>
  <c r="T196" i="72"/>
  <c r="S196" i="72"/>
  <c r="R196" i="72"/>
  <c r="Q196" i="72"/>
  <c r="P196" i="72"/>
  <c r="O196" i="72"/>
  <c r="AJ195" i="72"/>
  <c r="AI195" i="72"/>
  <c r="AH195" i="72"/>
  <c r="AG195" i="72"/>
  <c r="AF195" i="72"/>
  <c r="AE195" i="72"/>
  <c r="AD195" i="72"/>
  <c r="AC195" i="72"/>
  <c r="AB195" i="72"/>
  <c r="AA195" i="72"/>
  <c r="Z195" i="72"/>
  <c r="Y195" i="72"/>
  <c r="X195" i="72"/>
  <c r="W195" i="72"/>
  <c r="V195" i="72"/>
  <c r="U195" i="72"/>
  <c r="T195" i="72"/>
  <c r="S195" i="72"/>
  <c r="R195" i="72"/>
  <c r="Q195" i="72"/>
  <c r="P195" i="72"/>
  <c r="O195" i="72"/>
  <c r="N195" i="72"/>
  <c r="AJ194" i="72"/>
  <c r="AI194" i="72"/>
  <c r="AH194" i="72"/>
  <c r="AG194" i="72"/>
  <c r="AF194" i="72"/>
  <c r="AE194" i="72"/>
  <c r="AD194" i="72"/>
  <c r="AC194" i="72"/>
  <c r="AB194" i="72"/>
  <c r="AA194" i="72"/>
  <c r="Z194" i="72"/>
  <c r="Y194" i="72"/>
  <c r="X194" i="72"/>
  <c r="W194" i="72"/>
  <c r="V194" i="72"/>
  <c r="U194" i="72"/>
  <c r="T194" i="72"/>
  <c r="S194" i="72"/>
  <c r="R194" i="72"/>
  <c r="Q194" i="72"/>
  <c r="P194" i="72"/>
  <c r="O194" i="72"/>
  <c r="N194" i="72"/>
  <c r="M194" i="72"/>
  <c r="AJ193" i="72"/>
  <c r="AI193" i="72"/>
  <c r="AH193" i="72"/>
  <c r="AG193" i="72"/>
  <c r="AF193" i="72"/>
  <c r="AE193" i="72"/>
  <c r="AD193" i="72"/>
  <c r="AC193" i="72"/>
  <c r="AB193" i="72"/>
  <c r="AA193" i="72"/>
  <c r="Z193" i="72"/>
  <c r="Y193" i="72"/>
  <c r="X193" i="72"/>
  <c r="W193" i="72"/>
  <c r="V193" i="72"/>
  <c r="U193" i="72"/>
  <c r="T193" i="72"/>
  <c r="S193" i="72"/>
  <c r="R193" i="72"/>
  <c r="Q193" i="72"/>
  <c r="P193" i="72"/>
  <c r="O193" i="72"/>
  <c r="N193" i="72"/>
  <c r="M193" i="72"/>
  <c r="L193" i="72"/>
  <c r="AJ192" i="72"/>
  <c r="AI192" i="72"/>
  <c r="AH192" i="72"/>
  <c r="AG192" i="72"/>
  <c r="AF192" i="72"/>
  <c r="AE192" i="72"/>
  <c r="AD192" i="72"/>
  <c r="AC192" i="72"/>
  <c r="AB192" i="72"/>
  <c r="AA192" i="72"/>
  <c r="Z192" i="72"/>
  <c r="Y192" i="72"/>
  <c r="X192" i="72"/>
  <c r="W192" i="72"/>
  <c r="V192" i="72"/>
  <c r="U192" i="72"/>
  <c r="T192" i="72"/>
  <c r="S192" i="72"/>
  <c r="R192" i="72"/>
  <c r="Q192" i="72"/>
  <c r="P192" i="72"/>
  <c r="O192" i="72"/>
  <c r="N192" i="72"/>
  <c r="M192" i="72"/>
  <c r="L192" i="72"/>
  <c r="K192" i="72"/>
  <c r="AJ191" i="72"/>
  <c r="AI191" i="72"/>
  <c r="AH191" i="72"/>
  <c r="AG191" i="72"/>
  <c r="AF191" i="72"/>
  <c r="AE191" i="72"/>
  <c r="AD191" i="72"/>
  <c r="AC191" i="72"/>
  <c r="AB191" i="72"/>
  <c r="AA191" i="72"/>
  <c r="Z191" i="72"/>
  <c r="Y191" i="72"/>
  <c r="X191" i="72"/>
  <c r="W191" i="72"/>
  <c r="V191" i="72"/>
  <c r="U191" i="72"/>
  <c r="T191" i="72"/>
  <c r="S191" i="72"/>
  <c r="R191" i="72"/>
  <c r="Q191" i="72"/>
  <c r="P191" i="72"/>
  <c r="O191" i="72"/>
  <c r="N191" i="72"/>
  <c r="M191" i="72"/>
  <c r="L191" i="72"/>
  <c r="K191" i="72"/>
  <c r="J191" i="72"/>
  <c r="AJ190" i="72"/>
  <c r="AI190" i="72"/>
  <c r="AH190" i="72"/>
  <c r="AG190" i="72"/>
  <c r="AF190" i="72"/>
  <c r="AE190" i="72"/>
  <c r="AD190" i="72"/>
  <c r="AC190" i="72"/>
  <c r="AB190" i="72"/>
  <c r="AA190" i="72"/>
  <c r="Z190" i="72"/>
  <c r="Y190" i="72"/>
  <c r="X190" i="72"/>
  <c r="W190" i="72"/>
  <c r="V190" i="72"/>
  <c r="U190" i="72"/>
  <c r="T190" i="72"/>
  <c r="S190" i="72"/>
  <c r="R190" i="72"/>
  <c r="Q190" i="72"/>
  <c r="P190" i="72"/>
  <c r="O190" i="72"/>
  <c r="N190" i="72"/>
  <c r="M190" i="72"/>
  <c r="L190" i="72"/>
  <c r="K190" i="72"/>
  <c r="J190" i="72"/>
  <c r="I190" i="72"/>
  <c r="AJ189" i="72"/>
  <c r="AI189" i="72"/>
  <c r="AH189" i="72"/>
  <c r="AG189" i="72"/>
  <c r="AF189" i="72"/>
  <c r="AE189" i="72"/>
  <c r="AD189" i="72"/>
  <c r="AC189" i="72"/>
  <c r="AB189" i="72"/>
  <c r="AA189" i="72"/>
  <c r="Z189" i="72"/>
  <c r="Y189" i="72"/>
  <c r="X189" i="72"/>
  <c r="W189" i="72"/>
  <c r="V189" i="72"/>
  <c r="U189" i="72"/>
  <c r="T189" i="72"/>
  <c r="S189" i="72"/>
  <c r="R189" i="72"/>
  <c r="Q189" i="72"/>
  <c r="P189" i="72"/>
  <c r="O189" i="72"/>
  <c r="N189" i="72"/>
  <c r="M189" i="72"/>
  <c r="L189" i="72"/>
  <c r="K189" i="72"/>
  <c r="J189" i="72"/>
  <c r="I189" i="72"/>
  <c r="H189" i="72"/>
  <c r="AJ188" i="72"/>
  <c r="AI188" i="72"/>
  <c r="AH188" i="72"/>
  <c r="AG188" i="72"/>
  <c r="AF188" i="72"/>
  <c r="AE188" i="72"/>
  <c r="AD188" i="72"/>
  <c r="AC188" i="72"/>
  <c r="AB188" i="72"/>
  <c r="AA188" i="72"/>
  <c r="Z188" i="72"/>
  <c r="Y188" i="72"/>
  <c r="X188" i="72"/>
  <c r="W188" i="72"/>
  <c r="V188" i="72"/>
  <c r="U188" i="72"/>
  <c r="T188" i="72"/>
  <c r="S188" i="72"/>
  <c r="R188" i="72"/>
  <c r="Q188" i="72"/>
  <c r="P188" i="72"/>
  <c r="O188" i="72"/>
  <c r="N188" i="72"/>
  <c r="M188" i="72"/>
  <c r="L188" i="72"/>
  <c r="K188" i="72"/>
  <c r="J188" i="72"/>
  <c r="I188" i="72"/>
  <c r="H188" i="72"/>
  <c r="G188" i="72"/>
  <c r="AJ186" i="72"/>
  <c r="AJ185" i="72"/>
  <c r="AI185" i="72"/>
  <c r="AJ184" i="72"/>
  <c r="AI184" i="72"/>
  <c r="AH184" i="72"/>
  <c r="AJ183" i="72"/>
  <c r="AI183" i="72"/>
  <c r="AH183" i="72"/>
  <c r="AG183" i="72"/>
  <c r="AJ182" i="72"/>
  <c r="AI182" i="72"/>
  <c r="AH182" i="72"/>
  <c r="AG182" i="72"/>
  <c r="AF182" i="72"/>
  <c r="AJ181" i="72"/>
  <c r="AI181" i="72"/>
  <c r="AH181" i="72"/>
  <c r="AG181" i="72"/>
  <c r="AF181" i="72"/>
  <c r="AE181" i="72"/>
  <c r="AJ180" i="72"/>
  <c r="AI180" i="72"/>
  <c r="AH180" i="72"/>
  <c r="AG180" i="72"/>
  <c r="AF180" i="72"/>
  <c r="AE180" i="72"/>
  <c r="AD180" i="72"/>
  <c r="AJ179" i="72"/>
  <c r="AI179" i="72"/>
  <c r="AH179" i="72"/>
  <c r="AG179" i="72"/>
  <c r="AF179" i="72"/>
  <c r="AE179" i="72"/>
  <c r="AD179" i="72"/>
  <c r="AC179" i="72"/>
  <c r="AJ178" i="72"/>
  <c r="AI178" i="72"/>
  <c r="AH178" i="72"/>
  <c r="AG178" i="72"/>
  <c r="AF178" i="72"/>
  <c r="AE178" i="72"/>
  <c r="AD178" i="72"/>
  <c r="AC178" i="72"/>
  <c r="AB178" i="72"/>
  <c r="AJ177" i="72"/>
  <c r="AI177" i="72"/>
  <c r="AH177" i="72"/>
  <c r="AG177" i="72"/>
  <c r="AF177" i="72"/>
  <c r="AE177" i="72"/>
  <c r="AD177" i="72"/>
  <c r="AC177" i="72"/>
  <c r="AB177" i="72"/>
  <c r="AA177" i="72"/>
  <c r="AJ176" i="72"/>
  <c r="AI176" i="72"/>
  <c r="AH176" i="72"/>
  <c r="AG176" i="72"/>
  <c r="AF176" i="72"/>
  <c r="AE176" i="72"/>
  <c r="AD176" i="72"/>
  <c r="AC176" i="72"/>
  <c r="AB176" i="72"/>
  <c r="AA176" i="72"/>
  <c r="Z176" i="72"/>
  <c r="AJ175" i="72"/>
  <c r="AI175" i="72"/>
  <c r="AH175" i="72"/>
  <c r="AG175" i="72"/>
  <c r="AF175" i="72"/>
  <c r="AE175" i="72"/>
  <c r="AD175" i="72"/>
  <c r="AC175" i="72"/>
  <c r="AB175" i="72"/>
  <c r="AA175" i="72"/>
  <c r="Z175" i="72"/>
  <c r="Y175" i="72"/>
  <c r="AJ174" i="72"/>
  <c r="AI174" i="72"/>
  <c r="AH174" i="72"/>
  <c r="AG174" i="72"/>
  <c r="AF174" i="72"/>
  <c r="AE174" i="72"/>
  <c r="AD174" i="72"/>
  <c r="AC174" i="72"/>
  <c r="AB174" i="72"/>
  <c r="AA174" i="72"/>
  <c r="Z174" i="72"/>
  <c r="Y174" i="72"/>
  <c r="X174" i="72"/>
  <c r="AJ173" i="72"/>
  <c r="AI173" i="72"/>
  <c r="AH173" i="72"/>
  <c r="AG173" i="72"/>
  <c r="AF173" i="72"/>
  <c r="AE173" i="72"/>
  <c r="AD173" i="72"/>
  <c r="AC173" i="72"/>
  <c r="AB173" i="72"/>
  <c r="AA173" i="72"/>
  <c r="Z173" i="72"/>
  <c r="Y173" i="72"/>
  <c r="X173" i="72"/>
  <c r="W173" i="72"/>
  <c r="AJ172" i="72"/>
  <c r="AI172" i="72"/>
  <c r="AH172" i="72"/>
  <c r="AG172" i="72"/>
  <c r="AF172" i="72"/>
  <c r="AE172" i="72"/>
  <c r="AD172" i="72"/>
  <c r="AC172" i="72"/>
  <c r="AB172" i="72"/>
  <c r="AA172" i="72"/>
  <c r="Z172" i="72"/>
  <c r="Y172" i="72"/>
  <c r="X172" i="72"/>
  <c r="W172" i="72"/>
  <c r="V172" i="72"/>
  <c r="AJ171" i="72"/>
  <c r="AI171" i="72"/>
  <c r="AH171" i="72"/>
  <c r="AG171" i="72"/>
  <c r="AF171" i="72"/>
  <c r="AE171" i="72"/>
  <c r="AD171" i="72"/>
  <c r="AC171" i="72"/>
  <c r="AB171" i="72"/>
  <c r="AA171" i="72"/>
  <c r="Z171" i="72"/>
  <c r="Y171" i="72"/>
  <c r="X171" i="72"/>
  <c r="W171" i="72"/>
  <c r="V171" i="72"/>
  <c r="U171" i="72"/>
  <c r="AJ170" i="72"/>
  <c r="AI170" i="72"/>
  <c r="AH170" i="72"/>
  <c r="AG170" i="72"/>
  <c r="AF170" i="72"/>
  <c r="AE170" i="72"/>
  <c r="AD170" i="72"/>
  <c r="AC170" i="72"/>
  <c r="AB170" i="72"/>
  <c r="AA170" i="72"/>
  <c r="Z170" i="72"/>
  <c r="Y170" i="72"/>
  <c r="X170" i="72"/>
  <c r="W170" i="72"/>
  <c r="V170" i="72"/>
  <c r="U170" i="72"/>
  <c r="T170" i="72"/>
  <c r="AJ169" i="72"/>
  <c r="AI169" i="72"/>
  <c r="AH169" i="72"/>
  <c r="AG169" i="72"/>
  <c r="AF169" i="72"/>
  <c r="AE169" i="72"/>
  <c r="AD169" i="72"/>
  <c r="AC169" i="72"/>
  <c r="AB169" i="72"/>
  <c r="AA169" i="72"/>
  <c r="Z169" i="72"/>
  <c r="Y169" i="72"/>
  <c r="X169" i="72"/>
  <c r="W169" i="72"/>
  <c r="V169" i="72"/>
  <c r="U169" i="72"/>
  <c r="T169" i="72"/>
  <c r="S169" i="72"/>
  <c r="AJ168" i="72"/>
  <c r="AI168" i="72"/>
  <c r="AH168" i="72"/>
  <c r="AG168" i="72"/>
  <c r="AF168" i="72"/>
  <c r="AE168" i="72"/>
  <c r="AD168" i="72"/>
  <c r="AC168" i="72"/>
  <c r="AB168" i="72"/>
  <c r="AA168" i="72"/>
  <c r="Z168" i="72"/>
  <c r="Y168" i="72"/>
  <c r="X168" i="72"/>
  <c r="W168" i="72"/>
  <c r="V168" i="72"/>
  <c r="U168" i="72"/>
  <c r="T168" i="72"/>
  <c r="S168" i="72"/>
  <c r="R168" i="72"/>
  <c r="AJ167" i="72"/>
  <c r="AI167" i="72"/>
  <c r="AH167" i="72"/>
  <c r="AG167" i="72"/>
  <c r="AF167" i="72"/>
  <c r="AE167" i="72"/>
  <c r="AD167" i="72"/>
  <c r="AC167" i="72"/>
  <c r="AB167" i="72"/>
  <c r="AA167" i="72"/>
  <c r="Z167" i="72"/>
  <c r="Y167" i="72"/>
  <c r="X167" i="72"/>
  <c r="W167" i="72"/>
  <c r="V167" i="72"/>
  <c r="U167" i="72"/>
  <c r="T167" i="72"/>
  <c r="S167" i="72"/>
  <c r="R167" i="72"/>
  <c r="Q167" i="72"/>
  <c r="AJ166" i="72"/>
  <c r="AI166" i="72"/>
  <c r="AH166" i="72"/>
  <c r="AG166" i="72"/>
  <c r="AF166" i="72"/>
  <c r="AE166" i="72"/>
  <c r="AD166" i="72"/>
  <c r="AC166" i="72"/>
  <c r="AB166" i="72"/>
  <c r="AA166" i="72"/>
  <c r="Z166" i="72"/>
  <c r="Y166" i="72"/>
  <c r="X166" i="72"/>
  <c r="W166" i="72"/>
  <c r="V166" i="72"/>
  <c r="U166" i="72"/>
  <c r="T166" i="72"/>
  <c r="S166" i="72"/>
  <c r="R166" i="72"/>
  <c r="Q166" i="72"/>
  <c r="P166" i="72"/>
  <c r="AJ165" i="72"/>
  <c r="AI165" i="72"/>
  <c r="AH165" i="72"/>
  <c r="AG165" i="72"/>
  <c r="AF165" i="72"/>
  <c r="AE165" i="72"/>
  <c r="AD165" i="72"/>
  <c r="AC165" i="72"/>
  <c r="AB165" i="72"/>
  <c r="AA165" i="72"/>
  <c r="Z165" i="72"/>
  <c r="Y165" i="72"/>
  <c r="X165" i="72"/>
  <c r="W165" i="72"/>
  <c r="V165" i="72"/>
  <c r="U165" i="72"/>
  <c r="T165" i="72"/>
  <c r="S165" i="72"/>
  <c r="R165" i="72"/>
  <c r="Q165" i="72"/>
  <c r="P165" i="72"/>
  <c r="O165" i="72"/>
  <c r="AJ164" i="72"/>
  <c r="AI164" i="72"/>
  <c r="AH164" i="72"/>
  <c r="AG164" i="72"/>
  <c r="AF164" i="72"/>
  <c r="AE164" i="72"/>
  <c r="AD164" i="72"/>
  <c r="AC164" i="72"/>
  <c r="AB164" i="72"/>
  <c r="AA164" i="72"/>
  <c r="Z164" i="72"/>
  <c r="Y164" i="72"/>
  <c r="X164" i="72"/>
  <c r="W164" i="72"/>
  <c r="V164" i="72"/>
  <c r="U164" i="72"/>
  <c r="T164" i="72"/>
  <c r="S164" i="72"/>
  <c r="R164" i="72"/>
  <c r="Q164" i="72"/>
  <c r="P164" i="72"/>
  <c r="O164" i="72"/>
  <c r="N164" i="72"/>
  <c r="AJ163" i="72"/>
  <c r="AI163" i="72"/>
  <c r="AH163" i="72"/>
  <c r="AG163" i="72"/>
  <c r="AF163" i="72"/>
  <c r="AE163" i="72"/>
  <c r="AD163" i="72"/>
  <c r="AC163" i="72"/>
  <c r="AB163" i="72"/>
  <c r="AA163" i="72"/>
  <c r="Z163" i="72"/>
  <c r="Y163" i="72"/>
  <c r="X163" i="72"/>
  <c r="W163" i="72"/>
  <c r="V163" i="72"/>
  <c r="U163" i="72"/>
  <c r="T163" i="72"/>
  <c r="S163" i="72"/>
  <c r="R163" i="72"/>
  <c r="Q163" i="72"/>
  <c r="P163" i="72"/>
  <c r="O163" i="72"/>
  <c r="N163" i="72"/>
  <c r="M163" i="72"/>
  <c r="AJ162" i="72"/>
  <c r="AI162" i="72"/>
  <c r="AH162" i="72"/>
  <c r="AG162" i="72"/>
  <c r="AF162" i="72"/>
  <c r="AE162" i="72"/>
  <c r="AD162" i="72"/>
  <c r="AC162" i="72"/>
  <c r="AB162" i="72"/>
  <c r="AA162" i="72"/>
  <c r="Z162" i="72"/>
  <c r="Y162" i="72"/>
  <c r="X162" i="72"/>
  <c r="W162" i="72"/>
  <c r="V162" i="72"/>
  <c r="U162" i="72"/>
  <c r="T162" i="72"/>
  <c r="S162" i="72"/>
  <c r="R162" i="72"/>
  <c r="Q162" i="72"/>
  <c r="P162" i="72"/>
  <c r="O162" i="72"/>
  <c r="N162" i="72"/>
  <c r="M162" i="72"/>
  <c r="L162" i="72"/>
  <c r="AJ161" i="72"/>
  <c r="AI161" i="72"/>
  <c r="AH161" i="72"/>
  <c r="AG161" i="72"/>
  <c r="AF161" i="72"/>
  <c r="AE161" i="72"/>
  <c r="AD161" i="72"/>
  <c r="AC161" i="72"/>
  <c r="AB161" i="72"/>
  <c r="AA161" i="72"/>
  <c r="Z161" i="72"/>
  <c r="Y161" i="72"/>
  <c r="X161" i="72"/>
  <c r="W161" i="72"/>
  <c r="V161" i="72"/>
  <c r="U161" i="72"/>
  <c r="T161" i="72"/>
  <c r="S161" i="72"/>
  <c r="R161" i="72"/>
  <c r="Q161" i="72"/>
  <c r="P161" i="72"/>
  <c r="O161" i="72"/>
  <c r="N161" i="72"/>
  <c r="M161" i="72"/>
  <c r="L161" i="72"/>
  <c r="K161" i="72"/>
  <c r="AJ160" i="72"/>
  <c r="AI160" i="72"/>
  <c r="AH160" i="72"/>
  <c r="AG160" i="72"/>
  <c r="AF160" i="72"/>
  <c r="AE160" i="72"/>
  <c r="AD160" i="72"/>
  <c r="AC160" i="72"/>
  <c r="AB160" i="72"/>
  <c r="AA160" i="72"/>
  <c r="Z160" i="72"/>
  <c r="Y160" i="72"/>
  <c r="X160" i="72"/>
  <c r="W160" i="72"/>
  <c r="V160" i="72"/>
  <c r="U160" i="72"/>
  <c r="T160" i="72"/>
  <c r="S160" i="72"/>
  <c r="R160" i="72"/>
  <c r="Q160" i="72"/>
  <c r="P160" i="72"/>
  <c r="O160" i="72"/>
  <c r="N160" i="72"/>
  <c r="M160" i="72"/>
  <c r="L160" i="72"/>
  <c r="K160" i="72"/>
  <c r="J160" i="72"/>
  <c r="AJ159" i="72"/>
  <c r="AI159" i="72"/>
  <c r="AH159" i="72"/>
  <c r="AG159" i="72"/>
  <c r="AF159" i="72"/>
  <c r="AE159" i="72"/>
  <c r="AD159" i="72"/>
  <c r="AC159" i="72"/>
  <c r="AB159" i="72"/>
  <c r="AA159" i="72"/>
  <c r="Z159" i="72"/>
  <c r="Y159" i="72"/>
  <c r="X159" i="72"/>
  <c r="W159" i="72"/>
  <c r="V159" i="72"/>
  <c r="U159" i="72"/>
  <c r="T159" i="72"/>
  <c r="S159" i="72"/>
  <c r="R159" i="72"/>
  <c r="Q159" i="72"/>
  <c r="P159" i="72"/>
  <c r="O159" i="72"/>
  <c r="N159" i="72"/>
  <c r="M159" i="72"/>
  <c r="L159" i="72"/>
  <c r="K159" i="72"/>
  <c r="J159" i="72"/>
  <c r="I159" i="72"/>
  <c r="AJ158" i="72"/>
  <c r="AI158" i="72"/>
  <c r="AH158" i="72"/>
  <c r="AG158" i="72"/>
  <c r="AF158" i="72"/>
  <c r="AE158" i="72"/>
  <c r="AD158" i="72"/>
  <c r="AC158" i="72"/>
  <c r="AB158" i="72"/>
  <c r="AA158" i="72"/>
  <c r="Z158" i="72"/>
  <c r="Y158" i="72"/>
  <c r="X158" i="72"/>
  <c r="W158" i="72"/>
  <c r="V158" i="72"/>
  <c r="U158" i="72"/>
  <c r="T158" i="72"/>
  <c r="S158" i="72"/>
  <c r="R158" i="72"/>
  <c r="Q158" i="72"/>
  <c r="P158" i="72"/>
  <c r="O158" i="72"/>
  <c r="N158" i="72"/>
  <c r="M158" i="72"/>
  <c r="L158" i="72"/>
  <c r="K158" i="72"/>
  <c r="J158" i="72"/>
  <c r="I158" i="72"/>
  <c r="H158" i="72"/>
  <c r="AJ157" i="72"/>
  <c r="AI157" i="72"/>
  <c r="AH157" i="72"/>
  <c r="AG157" i="72"/>
  <c r="AF157" i="72"/>
  <c r="AE157" i="72"/>
  <c r="AD157" i="72"/>
  <c r="AC157" i="72"/>
  <c r="AB157" i="72"/>
  <c r="AA157" i="72"/>
  <c r="Z157" i="72"/>
  <c r="Y157" i="72"/>
  <c r="X157" i="72"/>
  <c r="W157" i="72"/>
  <c r="V157" i="72"/>
  <c r="U157" i="72"/>
  <c r="T157" i="72"/>
  <c r="S157" i="72"/>
  <c r="R157" i="72"/>
  <c r="Q157" i="72"/>
  <c r="P157" i="72"/>
  <c r="O157" i="72"/>
  <c r="N157" i="72"/>
  <c r="M157" i="72"/>
  <c r="L157" i="72"/>
  <c r="K157" i="72"/>
  <c r="J157" i="72"/>
  <c r="I157" i="72"/>
  <c r="H157" i="72"/>
  <c r="G157" i="72"/>
  <c r="AJ155" i="72"/>
  <c r="AJ154" i="72"/>
  <c r="AI154" i="72"/>
  <c r="AJ153" i="72"/>
  <c r="AI153" i="72"/>
  <c r="AH153" i="72"/>
  <c r="AJ152" i="72"/>
  <c r="AI152" i="72"/>
  <c r="AH152" i="72"/>
  <c r="AG152" i="72"/>
  <c r="AJ151" i="72"/>
  <c r="AI151" i="72"/>
  <c r="AH151" i="72"/>
  <c r="AG151" i="72"/>
  <c r="AF151" i="72"/>
  <c r="AJ150" i="72"/>
  <c r="AI150" i="72"/>
  <c r="AH150" i="72"/>
  <c r="AG150" i="72"/>
  <c r="AF150" i="72"/>
  <c r="AE150" i="72"/>
  <c r="AJ149" i="72"/>
  <c r="AI149" i="72"/>
  <c r="AH149" i="72"/>
  <c r="AG149" i="72"/>
  <c r="AF149" i="72"/>
  <c r="AE149" i="72"/>
  <c r="AD149" i="72"/>
  <c r="AJ148" i="72"/>
  <c r="AI148" i="72"/>
  <c r="AH148" i="72"/>
  <c r="AG148" i="72"/>
  <c r="AF148" i="72"/>
  <c r="AE148" i="72"/>
  <c r="AD148" i="72"/>
  <c r="AC148" i="72"/>
  <c r="AJ147" i="72"/>
  <c r="AI147" i="72"/>
  <c r="AH147" i="72"/>
  <c r="AG147" i="72"/>
  <c r="AF147" i="72"/>
  <c r="AE147" i="72"/>
  <c r="AD147" i="72"/>
  <c r="AC147" i="72"/>
  <c r="AB147" i="72"/>
  <c r="AJ146" i="72"/>
  <c r="AI146" i="72"/>
  <c r="AH146" i="72"/>
  <c r="AG146" i="72"/>
  <c r="AF146" i="72"/>
  <c r="AE146" i="72"/>
  <c r="AD146" i="72"/>
  <c r="AC146" i="72"/>
  <c r="AB146" i="72"/>
  <c r="AA146" i="72"/>
  <c r="AJ145" i="72"/>
  <c r="AI145" i="72"/>
  <c r="AH145" i="72"/>
  <c r="AG145" i="72"/>
  <c r="AF145" i="72"/>
  <c r="AE145" i="72"/>
  <c r="AD145" i="72"/>
  <c r="AC145" i="72"/>
  <c r="AB145" i="72"/>
  <c r="AA145" i="72"/>
  <c r="Z145" i="72"/>
  <c r="AJ144" i="72"/>
  <c r="AI144" i="72"/>
  <c r="AH144" i="72"/>
  <c r="AG144" i="72"/>
  <c r="AF144" i="72"/>
  <c r="AE144" i="72"/>
  <c r="AD144" i="72"/>
  <c r="AC144" i="72"/>
  <c r="AB144" i="72"/>
  <c r="AA144" i="72"/>
  <c r="Z144" i="72"/>
  <c r="Y144" i="72"/>
  <c r="AJ143" i="72"/>
  <c r="AI143" i="72"/>
  <c r="AH143" i="72"/>
  <c r="AG143" i="72"/>
  <c r="AF143" i="72"/>
  <c r="AE143" i="72"/>
  <c r="AD143" i="72"/>
  <c r="AC143" i="72"/>
  <c r="AB143" i="72"/>
  <c r="AA143" i="72"/>
  <c r="Z143" i="72"/>
  <c r="Y143" i="72"/>
  <c r="X143" i="72"/>
  <c r="AJ142" i="72"/>
  <c r="AI142" i="72"/>
  <c r="AH142" i="72"/>
  <c r="AG142" i="72"/>
  <c r="AF142" i="72"/>
  <c r="AE142" i="72"/>
  <c r="AD142" i="72"/>
  <c r="AC142" i="72"/>
  <c r="AB142" i="72"/>
  <c r="AA142" i="72"/>
  <c r="Z142" i="72"/>
  <c r="Y142" i="72"/>
  <c r="X142" i="72"/>
  <c r="W142" i="72"/>
  <c r="AJ141" i="72"/>
  <c r="AI141" i="72"/>
  <c r="AH141" i="72"/>
  <c r="AG141" i="72"/>
  <c r="AF141" i="72"/>
  <c r="AE141" i="72"/>
  <c r="AD141" i="72"/>
  <c r="AC141" i="72"/>
  <c r="AB141" i="72"/>
  <c r="AA141" i="72"/>
  <c r="Z141" i="72"/>
  <c r="Y141" i="72"/>
  <c r="X141" i="72"/>
  <c r="W141" i="72"/>
  <c r="V141" i="72"/>
  <c r="AJ140" i="72"/>
  <c r="AI140" i="72"/>
  <c r="AH140" i="72"/>
  <c r="AG140" i="72"/>
  <c r="AF140" i="72"/>
  <c r="AE140" i="72"/>
  <c r="AD140" i="72"/>
  <c r="AC140" i="72"/>
  <c r="AB140" i="72"/>
  <c r="AA140" i="72"/>
  <c r="Z140" i="72"/>
  <c r="Y140" i="72"/>
  <c r="X140" i="72"/>
  <c r="W140" i="72"/>
  <c r="V140" i="72"/>
  <c r="U140" i="72"/>
  <c r="AJ139" i="72"/>
  <c r="AI139" i="72"/>
  <c r="AH139" i="72"/>
  <c r="AG139" i="72"/>
  <c r="AF139" i="72"/>
  <c r="AE139" i="72"/>
  <c r="AD139" i="72"/>
  <c r="AC139" i="72"/>
  <c r="AB139" i="72"/>
  <c r="AA139" i="72"/>
  <c r="Z139" i="72"/>
  <c r="Y139" i="72"/>
  <c r="X139" i="72"/>
  <c r="W139" i="72"/>
  <c r="V139" i="72"/>
  <c r="U139" i="72"/>
  <c r="T139" i="72"/>
  <c r="AJ138" i="72"/>
  <c r="AI138" i="72"/>
  <c r="AH138" i="72"/>
  <c r="AG138" i="72"/>
  <c r="AF138" i="72"/>
  <c r="AE138" i="72"/>
  <c r="AD138" i="72"/>
  <c r="AC138" i="72"/>
  <c r="AB138" i="72"/>
  <c r="AA138" i="72"/>
  <c r="Z138" i="72"/>
  <c r="Y138" i="72"/>
  <c r="X138" i="72"/>
  <c r="W138" i="72"/>
  <c r="V138" i="72"/>
  <c r="U138" i="72"/>
  <c r="T138" i="72"/>
  <c r="S138" i="72"/>
  <c r="AJ137" i="72"/>
  <c r="AI137" i="72"/>
  <c r="AH137" i="72"/>
  <c r="AG137" i="72"/>
  <c r="AF137" i="72"/>
  <c r="AE137" i="72"/>
  <c r="AD137" i="72"/>
  <c r="AC137" i="72"/>
  <c r="AB137" i="72"/>
  <c r="AA137" i="72"/>
  <c r="Z137" i="72"/>
  <c r="Y137" i="72"/>
  <c r="X137" i="72"/>
  <c r="W137" i="72"/>
  <c r="V137" i="72"/>
  <c r="U137" i="72"/>
  <c r="T137" i="72"/>
  <c r="S137" i="72"/>
  <c r="R137" i="72"/>
  <c r="AJ136" i="72"/>
  <c r="AI136" i="72"/>
  <c r="AH136" i="72"/>
  <c r="AG136" i="72"/>
  <c r="AF136" i="72"/>
  <c r="AE136" i="72"/>
  <c r="AD136" i="72"/>
  <c r="AC136" i="72"/>
  <c r="AB136" i="72"/>
  <c r="AA136" i="72"/>
  <c r="Z136" i="72"/>
  <c r="Y136" i="72"/>
  <c r="X136" i="72"/>
  <c r="W136" i="72"/>
  <c r="V136" i="72"/>
  <c r="U136" i="72"/>
  <c r="T136" i="72"/>
  <c r="S136" i="72"/>
  <c r="R136" i="72"/>
  <c r="Q136" i="72"/>
  <c r="AJ135" i="72"/>
  <c r="AI135" i="72"/>
  <c r="AH135" i="72"/>
  <c r="AG135" i="72"/>
  <c r="AF135" i="72"/>
  <c r="AE135" i="72"/>
  <c r="AD135" i="72"/>
  <c r="AC135" i="72"/>
  <c r="AB135" i="72"/>
  <c r="AA135" i="72"/>
  <c r="Z135" i="72"/>
  <c r="Y135" i="72"/>
  <c r="X135" i="72"/>
  <c r="W135" i="72"/>
  <c r="V135" i="72"/>
  <c r="U135" i="72"/>
  <c r="T135" i="72"/>
  <c r="S135" i="72"/>
  <c r="R135" i="72"/>
  <c r="Q135" i="72"/>
  <c r="P135" i="72"/>
  <c r="AJ134" i="72"/>
  <c r="AI134" i="72"/>
  <c r="AH134" i="72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AJ133" i="72"/>
  <c r="AI133" i="72"/>
  <c r="AH133" i="72"/>
  <c r="AG133" i="72"/>
  <c r="AF133" i="72"/>
  <c r="AE133" i="72"/>
  <c r="AD133" i="72"/>
  <c r="AC133" i="72"/>
  <c r="AB133" i="72"/>
  <c r="AA133" i="72"/>
  <c r="Z133" i="72"/>
  <c r="Y133" i="72"/>
  <c r="X133" i="72"/>
  <c r="W133" i="72"/>
  <c r="V133" i="72"/>
  <c r="U133" i="72"/>
  <c r="T133" i="72"/>
  <c r="S133" i="72"/>
  <c r="R133" i="72"/>
  <c r="Q133" i="72"/>
  <c r="P133" i="72"/>
  <c r="O133" i="72"/>
  <c r="N133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AJ131" i="72"/>
  <c r="AI131" i="72"/>
  <c r="AH131" i="72"/>
  <c r="AG131" i="72"/>
  <c r="AF131" i="72"/>
  <c r="AE131" i="72"/>
  <c r="AD131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AJ128" i="72"/>
  <c r="AI128" i="72"/>
  <c r="AH128" i="72"/>
  <c r="AG128" i="72"/>
  <c r="AF128" i="72"/>
  <c r="AE128" i="72"/>
  <c r="AD128" i="72"/>
  <c r="AC128" i="72"/>
  <c r="AB128" i="72"/>
  <c r="AA128" i="72"/>
  <c r="Z128" i="72"/>
  <c r="Y128" i="72"/>
  <c r="X128" i="72"/>
  <c r="W128" i="72"/>
  <c r="V128" i="72"/>
  <c r="U128" i="72"/>
  <c r="T128" i="72"/>
  <c r="S128" i="72"/>
  <c r="R128" i="72"/>
  <c r="Q128" i="72"/>
  <c r="P128" i="72"/>
  <c r="O128" i="72"/>
  <c r="N128" i="72"/>
  <c r="M128" i="72"/>
  <c r="L128" i="72"/>
  <c r="K128" i="72"/>
  <c r="J128" i="72"/>
  <c r="I128" i="72"/>
  <c r="AJ127" i="72"/>
  <c r="AI127" i="72"/>
  <c r="AH127" i="72"/>
  <c r="AG127" i="72"/>
  <c r="AF127" i="72"/>
  <c r="AE127" i="72"/>
  <c r="AD127" i="72"/>
  <c r="AC127" i="72"/>
  <c r="AB127" i="72"/>
  <c r="AA127" i="72"/>
  <c r="Z127" i="72"/>
  <c r="Y127" i="72"/>
  <c r="X127" i="72"/>
  <c r="W127" i="72"/>
  <c r="V127" i="72"/>
  <c r="U127" i="72"/>
  <c r="T127" i="72"/>
  <c r="S127" i="72"/>
  <c r="R127" i="72"/>
  <c r="Q127" i="72"/>
  <c r="P127" i="72"/>
  <c r="O127" i="72"/>
  <c r="N127" i="72"/>
  <c r="M127" i="72"/>
  <c r="L127" i="72"/>
  <c r="K127" i="72"/>
  <c r="J127" i="72"/>
  <c r="I127" i="72"/>
  <c r="H127" i="72"/>
  <c r="AJ126" i="72"/>
  <c r="AI126" i="72"/>
  <c r="AH126" i="72"/>
  <c r="AG126" i="72"/>
  <c r="AF126" i="72"/>
  <c r="AE126" i="72"/>
  <c r="AD126" i="72"/>
  <c r="AC126" i="72"/>
  <c r="AB126" i="72"/>
  <c r="AA126" i="72"/>
  <c r="Z126" i="72"/>
  <c r="Y126" i="72"/>
  <c r="X126" i="72"/>
  <c r="W126" i="72"/>
  <c r="V126" i="72"/>
  <c r="U126" i="72"/>
  <c r="T126" i="72"/>
  <c r="S126" i="72"/>
  <c r="R126" i="72"/>
  <c r="Q126" i="72"/>
  <c r="P126" i="72"/>
  <c r="O126" i="72"/>
  <c r="N126" i="72"/>
  <c r="M126" i="72"/>
  <c r="L126" i="72"/>
  <c r="K126" i="72"/>
  <c r="J126" i="72"/>
  <c r="I126" i="72"/>
  <c r="H126" i="72"/>
  <c r="G126" i="72"/>
  <c r="AJ124" i="72"/>
  <c r="AJ123" i="72"/>
  <c r="AI123" i="72"/>
  <c r="AJ122" i="72"/>
  <c r="AI122" i="72"/>
  <c r="AH122" i="72"/>
  <c r="AJ121" i="72"/>
  <c r="AI121" i="72"/>
  <c r="AH121" i="72"/>
  <c r="AG121" i="72"/>
  <c r="AJ120" i="72"/>
  <c r="AI120" i="72"/>
  <c r="AH120" i="72"/>
  <c r="AG120" i="72"/>
  <c r="AF120" i="72"/>
  <c r="AJ119" i="72"/>
  <c r="AI119" i="72"/>
  <c r="AH119" i="72"/>
  <c r="AG119" i="72"/>
  <c r="AF119" i="72"/>
  <c r="AE119" i="72"/>
  <c r="AJ118" i="72"/>
  <c r="AI118" i="72"/>
  <c r="AH118" i="72"/>
  <c r="AG118" i="72"/>
  <c r="AF118" i="72"/>
  <c r="AE118" i="72"/>
  <c r="AD118" i="72"/>
  <c r="AJ117" i="72"/>
  <c r="AI117" i="72"/>
  <c r="AH117" i="72"/>
  <c r="AG117" i="72"/>
  <c r="AF117" i="72"/>
  <c r="AE117" i="72"/>
  <c r="AD117" i="72"/>
  <c r="AC117" i="72"/>
  <c r="AJ116" i="72"/>
  <c r="AI116" i="72"/>
  <c r="AH116" i="72"/>
  <c r="AG116" i="72"/>
  <c r="AF116" i="72"/>
  <c r="AE116" i="72"/>
  <c r="AD116" i="72"/>
  <c r="AC116" i="72"/>
  <c r="AB116" i="72"/>
  <c r="AJ115" i="72"/>
  <c r="AI115" i="72"/>
  <c r="AH115" i="72"/>
  <c r="AG115" i="72"/>
  <c r="AF115" i="72"/>
  <c r="AE115" i="72"/>
  <c r="AD115" i="72"/>
  <c r="AC115" i="72"/>
  <c r="AB115" i="72"/>
  <c r="AA115" i="72"/>
  <c r="AJ114" i="72"/>
  <c r="AI114" i="72"/>
  <c r="AH114" i="72"/>
  <c r="AG114" i="72"/>
  <c r="AF114" i="72"/>
  <c r="AE114" i="72"/>
  <c r="AD114" i="72"/>
  <c r="AC114" i="72"/>
  <c r="AB114" i="72"/>
  <c r="AA114" i="72"/>
  <c r="Z114" i="72"/>
  <c r="AJ113" i="72"/>
  <c r="AI113" i="72"/>
  <c r="AH113" i="72"/>
  <c r="AG113" i="72"/>
  <c r="AF113" i="72"/>
  <c r="AE113" i="72"/>
  <c r="AD113" i="72"/>
  <c r="AC113" i="72"/>
  <c r="AB113" i="72"/>
  <c r="AA113" i="72"/>
  <c r="Z113" i="72"/>
  <c r="Y113" i="72"/>
  <c r="AJ112" i="72"/>
  <c r="AI112" i="72"/>
  <c r="AH112" i="72"/>
  <c r="AG112" i="72"/>
  <c r="AF112" i="72"/>
  <c r="AE112" i="72"/>
  <c r="AD112" i="72"/>
  <c r="AC112" i="72"/>
  <c r="AB112" i="72"/>
  <c r="AA112" i="72"/>
  <c r="Z112" i="72"/>
  <c r="Y112" i="72"/>
  <c r="X112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AJ110" i="72"/>
  <c r="AI110" i="72"/>
  <c r="AH110" i="72"/>
  <c r="AG110" i="72"/>
  <c r="AF110" i="72"/>
  <c r="AE110" i="72"/>
  <c r="AD110" i="72"/>
  <c r="AC110" i="72"/>
  <c r="AB110" i="72"/>
  <c r="AA110" i="72"/>
  <c r="Z110" i="72"/>
  <c r="Y110" i="72"/>
  <c r="X110" i="72"/>
  <c r="W110" i="72"/>
  <c r="V110" i="72"/>
  <c r="AJ109" i="72"/>
  <c r="AI109" i="72"/>
  <c r="AH109" i="72"/>
  <c r="AG109" i="72"/>
  <c r="AF109" i="72"/>
  <c r="AE109" i="72"/>
  <c r="AD109" i="72"/>
  <c r="AC109" i="72"/>
  <c r="AB109" i="72"/>
  <c r="AA109" i="72"/>
  <c r="Z109" i="72"/>
  <c r="Y109" i="72"/>
  <c r="X109" i="72"/>
  <c r="W109" i="72"/>
  <c r="V109" i="72"/>
  <c r="U109" i="72"/>
  <c r="AJ108" i="72"/>
  <c r="AI108" i="72"/>
  <c r="AH108" i="72"/>
  <c r="AG108" i="72"/>
  <c r="AF108" i="72"/>
  <c r="AE108" i="72"/>
  <c r="AD108" i="72"/>
  <c r="AC108" i="72"/>
  <c r="AB108" i="72"/>
  <c r="AA108" i="72"/>
  <c r="Z108" i="72"/>
  <c r="Y108" i="72"/>
  <c r="X108" i="72"/>
  <c r="W108" i="72"/>
  <c r="V108" i="72"/>
  <c r="U108" i="72"/>
  <c r="T108" i="72"/>
  <c r="AJ107" i="72"/>
  <c r="AI107" i="72"/>
  <c r="AH107" i="72"/>
  <c r="AG107" i="72"/>
  <c r="AF107" i="72"/>
  <c r="AE107" i="72"/>
  <c r="AD107" i="72"/>
  <c r="AC107" i="72"/>
  <c r="AB107" i="72"/>
  <c r="AA107" i="72"/>
  <c r="Z107" i="72"/>
  <c r="Y107" i="72"/>
  <c r="X107" i="72"/>
  <c r="W107" i="72"/>
  <c r="V107" i="72"/>
  <c r="U107" i="72"/>
  <c r="T107" i="72"/>
  <c r="S107" i="72"/>
  <c r="AJ106" i="72"/>
  <c r="AI106" i="72"/>
  <c r="AH106" i="72"/>
  <c r="AG106" i="72"/>
  <c r="AF106" i="72"/>
  <c r="AE106" i="72"/>
  <c r="AD106" i="72"/>
  <c r="AC106" i="72"/>
  <c r="AB106" i="72"/>
  <c r="AA106" i="72"/>
  <c r="Z106" i="72"/>
  <c r="Y106" i="72"/>
  <c r="X106" i="72"/>
  <c r="W106" i="72"/>
  <c r="V106" i="72"/>
  <c r="U106" i="72"/>
  <c r="T106" i="72"/>
  <c r="S106" i="72"/>
  <c r="R106" i="72"/>
  <c r="AJ105" i="72"/>
  <c r="AI105" i="72"/>
  <c r="AH105" i="72"/>
  <c r="AG105" i="72"/>
  <c r="AF105" i="72"/>
  <c r="AE105" i="72"/>
  <c r="AD105" i="72"/>
  <c r="AC105" i="72"/>
  <c r="AB105" i="72"/>
  <c r="AA105" i="72"/>
  <c r="Z105" i="72"/>
  <c r="Y105" i="72"/>
  <c r="X105" i="72"/>
  <c r="W105" i="72"/>
  <c r="V105" i="72"/>
  <c r="U105" i="72"/>
  <c r="T105" i="72"/>
  <c r="S105" i="72"/>
  <c r="R105" i="72"/>
  <c r="Q105" i="72"/>
  <c r="AJ104" i="72"/>
  <c r="AI104" i="72"/>
  <c r="AH104" i="72"/>
  <c r="AG104" i="72"/>
  <c r="AF104" i="72"/>
  <c r="AE104" i="72"/>
  <c r="AD104" i="72"/>
  <c r="AC104" i="72"/>
  <c r="AB104" i="72"/>
  <c r="AA104" i="72"/>
  <c r="Z104" i="72"/>
  <c r="Y104" i="72"/>
  <c r="X104" i="72"/>
  <c r="W104" i="72"/>
  <c r="V104" i="72"/>
  <c r="U104" i="72"/>
  <c r="T104" i="72"/>
  <c r="S104" i="72"/>
  <c r="R104" i="72"/>
  <c r="Q104" i="72"/>
  <c r="P104" i="72"/>
  <c r="AJ103" i="72"/>
  <c r="AI103" i="72"/>
  <c r="AH103" i="72"/>
  <c r="AG103" i="72"/>
  <c r="AF103" i="72"/>
  <c r="AE103" i="72"/>
  <c r="AD103" i="72"/>
  <c r="AC103" i="72"/>
  <c r="AB103" i="72"/>
  <c r="AA103" i="72"/>
  <c r="Z103" i="72"/>
  <c r="Y103" i="72"/>
  <c r="X103" i="72"/>
  <c r="W103" i="72"/>
  <c r="V103" i="72"/>
  <c r="U103" i="72"/>
  <c r="T103" i="72"/>
  <c r="S103" i="72"/>
  <c r="R103" i="72"/>
  <c r="Q103" i="72"/>
  <c r="P103" i="72"/>
  <c r="O103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AJ101" i="72"/>
  <c r="AI101" i="72"/>
  <c r="AH101" i="72"/>
  <c r="AG101" i="72"/>
  <c r="AF101" i="72"/>
  <c r="AE101" i="72"/>
  <c r="AD101" i="72"/>
  <c r="AC101" i="72"/>
  <c r="AB101" i="72"/>
  <c r="AA101" i="72"/>
  <c r="Z101" i="72"/>
  <c r="Y101" i="72"/>
  <c r="X101" i="72"/>
  <c r="W101" i="72"/>
  <c r="V101" i="72"/>
  <c r="U101" i="72"/>
  <c r="T101" i="72"/>
  <c r="S101" i="72"/>
  <c r="R101" i="72"/>
  <c r="Q101" i="72"/>
  <c r="P101" i="72"/>
  <c r="O101" i="72"/>
  <c r="N101" i="72"/>
  <c r="M101" i="72"/>
  <c r="AJ100" i="72"/>
  <c r="AI100" i="72"/>
  <c r="AH100" i="72"/>
  <c r="AG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AJ99" i="72"/>
  <c r="AI99" i="72"/>
  <c r="AH99" i="72"/>
  <c r="AG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AJ97" i="72"/>
  <c r="AI97" i="72"/>
  <c r="AH97" i="72"/>
  <c r="AG97" i="72"/>
  <c r="AF97" i="72"/>
  <c r="AE97" i="72"/>
  <c r="AD97" i="72"/>
  <c r="AC97" i="72"/>
  <c r="AB97" i="72"/>
  <c r="AA97" i="72"/>
  <c r="Z97" i="72"/>
  <c r="Y97" i="72"/>
  <c r="X97" i="72"/>
  <c r="W97" i="72"/>
  <c r="V97" i="72"/>
  <c r="U97" i="72"/>
  <c r="T97" i="72"/>
  <c r="S97" i="72"/>
  <c r="R97" i="72"/>
  <c r="Q97" i="72"/>
  <c r="P97" i="72"/>
  <c r="O97" i="72"/>
  <c r="N97" i="72"/>
  <c r="M97" i="72"/>
  <c r="L97" i="72"/>
  <c r="K97" i="72"/>
  <c r="J97" i="72"/>
  <c r="I97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G95" i="72"/>
  <c r="AJ93" i="72"/>
  <c r="AJ92" i="72"/>
  <c r="AI92" i="72"/>
  <c r="AJ91" i="72"/>
  <c r="AI91" i="72"/>
  <c r="AH91" i="72"/>
  <c r="AJ90" i="72"/>
  <c r="AI90" i="72"/>
  <c r="AH90" i="72"/>
  <c r="AG90" i="72"/>
  <c r="AJ89" i="72"/>
  <c r="AI89" i="72"/>
  <c r="AH89" i="72"/>
  <c r="AG89" i="72"/>
  <c r="AF89" i="72"/>
  <c r="AJ88" i="72"/>
  <c r="AI88" i="72"/>
  <c r="AH88" i="72"/>
  <c r="AG88" i="72"/>
  <c r="AF88" i="72"/>
  <c r="AE88" i="72"/>
  <c r="AJ87" i="72"/>
  <c r="AI87" i="72"/>
  <c r="AH87" i="72"/>
  <c r="AG87" i="72"/>
  <c r="AF87" i="72"/>
  <c r="AE87" i="72"/>
  <c r="AD87" i="72"/>
  <c r="AJ86" i="72"/>
  <c r="AI86" i="72"/>
  <c r="AH86" i="72"/>
  <c r="AG86" i="72"/>
  <c r="AF86" i="72"/>
  <c r="AE86" i="72"/>
  <c r="AD86" i="72"/>
  <c r="AC86" i="72"/>
  <c r="AJ85" i="72"/>
  <c r="AI85" i="72"/>
  <c r="AH85" i="72"/>
  <c r="AG85" i="72"/>
  <c r="AF85" i="72"/>
  <c r="AE85" i="72"/>
  <c r="AD85" i="72"/>
  <c r="AC85" i="72"/>
  <c r="AB85" i="72"/>
  <c r="AJ84" i="72"/>
  <c r="AI84" i="72"/>
  <c r="AH84" i="72"/>
  <c r="AG84" i="72"/>
  <c r="AF84" i="72"/>
  <c r="AE84" i="72"/>
  <c r="AD84" i="72"/>
  <c r="AC84" i="72"/>
  <c r="AB84" i="72"/>
  <c r="AA84" i="72"/>
  <c r="AJ83" i="72"/>
  <c r="AI83" i="72"/>
  <c r="AH83" i="72"/>
  <c r="AG83" i="72"/>
  <c r="AF83" i="72"/>
  <c r="AE83" i="72"/>
  <c r="AD83" i="72"/>
  <c r="AC83" i="72"/>
  <c r="AB83" i="72"/>
  <c r="AA83" i="72"/>
  <c r="Z83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AJ62" i="72"/>
  <c r="AJ61" i="72"/>
  <c r="AI61" i="72"/>
  <c r="AJ60" i="72"/>
  <c r="AI60" i="72"/>
  <c r="AH60" i="72"/>
  <c r="AJ59" i="72"/>
  <c r="AI59" i="72"/>
  <c r="AH59" i="72"/>
  <c r="AG59" i="72"/>
  <c r="AJ58" i="72"/>
  <c r="AI58" i="72"/>
  <c r="AH58" i="72"/>
  <c r="AG58" i="72"/>
  <c r="AF58" i="72"/>
  <c r="AJ57" i="72"/>
  <c r="AI57" i="72"/>
  <c r="AH57" i="72"/>
  <c r="AG57" i="72"/>
  <c r="AF57" i="72"/>
  <c r="AE57" i="72"/>
  <c r="AJ56" i="72"/>
  <c r="AI56" i="72"/>
  <c r="AH56" i="72"/>
  <c r="AG56" i="72"/>
  <c r="AF56" i="72"/>
  <c r="AE56" i="72"/>
  <c r="AD56" i="72"/>
  <c r="AJ55" i="72"/>
  <c r="AI55" i="72"/>
  <c r="AH55" i="72"/>
  <c r="AG55" i="72"/>
  <c r="AF55" i="72"/>
  <c r="AE55" i="72"/>
  <c r="AD55" i="72"/>
  <c r="AC55" i="72"/>
  <c r="AJ54" i="72"/>
  <c r="AI54" i="72"/>
  <c r="AH54" i="72"/>
  <c r="AG54" i="72"/>
  <c r="AF54" i="72"/>
  <c r="AE54" i="72"/>
  <c r="AD54" i="72"/>
  <c r="AC54" i="72"/>
  <c r="AB54" i="72"/>
  <c r="AJ53" i="72"/>
  <c r="AI53" i="72"/>
  <c r="AH53" i="72"/>
  <c r="AG53" i="72"/>
  <c r="AF53" i="72"/>
  <c r="AE53" i="72"/>
  <c r="AD53" i="72"/>
  <c r="AC53" i="72"/>
  <c r="AB53" i="72"/>
  <c r="AA53" i="72"/>
  <c r="AJ52" i="72"/>
  <c r="AI52" i="72"/>
  <c r="AH52" i="72"/>
  <c r="AG52" i="72"/>
  <c r="AF52" i="72"/>
  <c r="AE52" i="72"/>
  <c r="AD52" i="72"/>
  <c r="AC52" i="72"/>
  <c r="AB52" i="72"/>
  <c r="AA52" i="72"/>
  <c r="Z52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AJ44" i="72"/>
  <c r="AI44" i="72"/>
  <c r="AH44" i="72"/>
  <c r="AG44" i="72"/>
  <c r="AF44" i="72"/>
  <c r="AE44" i="72"/>
  <c r="AD44" i="72"/>
  <c r="AC44" i="72"/>
  <c r="AB44" i="72"/>
  <c r="AA44" i="72"/>
  <c r="Z44" i="72"/>
  <c r="Y44" i="72"/>
  <c r="X44" i="72"/>
  <c r="W44" i="72"/>
  <c r="V44" i="72"/>
  <c r="U44" i="72"/>
  <c r="T44" i="72"/>
  <c r="S44" i="72"/>
  <c r="R44" i="72"/>
  <c r="AJ43" i="72"/>
  <c r="AI43" i="72"/>
  <c r="AH43" i="72"/>
  <c r="AG43" i="72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R43" i="72"/>
  <c r="Q43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AJ41" i="72"/>
  <c r="AI41" i="72"/>
  <c r="AH41" i="72"/>
  <c r="AG41" i="72"/>
  <c r="AF41" i="72"/>
  <c r="AE41" i="72"/>
  <c r="AD41" i="72"/>
  <c r="AC41" i="72"/>
  <c r="AB41" i="72"/>
  <c r="AA41" i="72"/>
  <c r="Z41" i="72"/>
  <c r="Y41" i="72"/>
  <c r="X41" i="72"/>
  <c r="W41" i="72"/>
  <c r="V41" i="72"/>
  <c r="U41" i="72"/>
  <c r="T41" i="72"/>
  <c r="S41" i="72"/>
  <c r="R41" i="72"/>
  <c r="Q41" i="72"/>
  <c r="P41" i="72"/>
  <c r="O41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AJ35" i="72"/>
  <c r="AI35" i="72"/>
  <c r="AH35" i="72"/>
  <c r="AG35" i="72"/>
  <c r="AF35" i="72"/>
  <c r="AE35" i="72"/>
  <c r="AD35" i="72"/>
  <c r="AC35" i="72"/>
  <c r="AB35" i="72"/>
  <c r="AA35" i="72"/>
  <c r="Z35" i="72"/>
  <c r="Y35" i="72"/>
  <c r="X35" i="72"/>
  <c r="W35" i="72"/>
  <c r="V35" i="72"/>
  <c r="U35" i="72"/>
  <c r="T35" i="72"/>
  <c r="S35" i="72"/>
  <c r="R35" i="72"/>
  <c r="Q35" i="72"/>
  <c r="P35" i="72"/>
  <c r="O35" i="72"/>
  <c r="N35" i="72"/>
  <c r="M35" i="72"/>
  <c r="L35" i="72"/>
  <c r="K35" i="72"/>
  <c r="J35" i="72"/>
  <c r="I35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AJ31" i="72"/>
  <c r="AJ30" i="72"/>
  <c r="AI30" i="72"/>
  <c r="AJ29" i="72"/>
  <c r="AI29" i="72"/>
  <c r="AH29" i="72"/>
  <c r="AJ28" i="72"/>
  <c r="AI28" i="72"/>
  <c r="AH28" i="72"/>
  <c r="AG28" i="72"/>
  <c r="AJ27" i="72"/>
  <c r="AI27" i="72"/>
  <c r="AH27" i="72"/>
  <c r="AG27" i="72"/>
  <c r="AF27" i="72"/>
  <c r="AJ26" i="72"/>
  <c r="AI26" i="72"/>
  <c r="AH26" i="72"/>
  <c r="AG26" i="72"/>
  <c r="AF26" i="72"/>
  <c r="AE26" i="72"/>
  <c r="AJ25" i="72"/>
  <c r="AI25" i="72"/>
  <c r="AH25" i="72"/>
  <c r="AG25" i="72"/>
  <c r="AF25" i="72"/>
  <c r="AE25" i="72"/>
  <c r="AD25" i="72"/>
  <c r="AJ24" i="72"/>
  <c r="AI24" i="72"/>
  <c r="AH24" i="72"/>
  <c r="AG24" i="72"/>
  <c r="AF24" i="72"/>
  <c r="AE24" i="72"/>
  <c r="AD24" i="72"/>
  <c r="AC24" i="72"/>
  <c r="AJ23" i="72"/>
  <c r="AI23" i="72"/>
  <c r="AH23" i="72"/>
  <c r="AG23" i="72"/>
  <c r="AF23" i="72"/>
  <c r="AE23" i="72"/>
  <c r="AD23" i="72"/>
  <c r="AC23" i="72"/>
  <c r="AB23" i="72"/>
  <c r="AJ22" i="72"/>
  <c r="AI22" i="72"/>
  <c r="AH22" i="72"/>
  <c r="AG22" i="72"/>
  <c r="AF22" i="72"/>
  <c r="AE22" i="72"/>
  <c r="AD22" i="72"/>
  <c r="AC22" i="72"/>
  <c r="AB22" i="72"/>
  <c r="AA22" i="72"/>
  <c r="AJ21" i="72"/>
  <c r="AI21" i="72"/>
  <c r="AH21" i="72"/>
  <c r="AG21" i="72"/>
  <c r="AF21" i="72"/>
  <c r="AE21" i="72"/>
  <c r="AD21" i="72"/>
  <c r="AC21" i="72"/>
  <c r="AB21" i="72"/>
  <c r="AA21" i="72"/>
  <c r="Z21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AJ18" i="72"/>
  <c r="AI18" i="72"/>
  <c r="AH18" i="72"/>
  <c r="AG18" i="72"/>
  <c r="AF18" i="72"/>
  <c r="AE18" i="72"/>
  <c r="AD18" i="72"/>
  <c r="AC18" i="72"/>
  <c r="AB18" i="72"/>
  <c r="AA18" i="72"/>
  <c r="Z18" i="72"/>
  <c r="Y18" i="72"/>
  <c r="X18" i="72"/>
  <c r="W18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AJ15" i="72"/>
  <c r="AI15" i="72"/>
  <c r="AH15" i="72"/>
  <c r="AG15" i="72"/>
  <c r="AF15" i="72"/>
  <c r="AE15" i="72"/>
  <c r="AD15" i="72"/>
  <c r="AC15" i="72"/>
  <c r="AB15" i="72"/>
  <c r="AA15" i="72"/>
  <c r="Z15" i="72"/>
  <c r="Y15" i="72"/>
  <c r="X15" i="72"/>
  <c r="W15" i="72"/>
  <c r="V15" i="72"/>
  <c r="U15" i="72"/>
  <c r="T15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AJ2" i="72"/>
  <c r="AI2" i="72"/>
  <c r="AH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B60" i="26"/>
  <c r="C60" i="26" s="1"/>
  <c r="D60" i="26" s="1"/>
  <c r="B59" i="26"/>
  <c r="D58" i="26"/>
  <c r="C58" i="26"/>
  <c r="B58" i="26"/>
  <c r="B54" i="26"/>
  <c r="B53" i="26"/>
  <c r="B52" i="26"/>
  <c r="B51" i="26"/>
  <c r="B50" i="26"/>
  <c r="J48" i="26"/>
  <c r="I48" i="26"/>
  <c r="H48" i="26"/>
  <c r="G48" i="26"/>
  <c r="F48" i="26"/>
  <c r="E48" i="26"/>
  <c r="D48" i="26"/>
  <c r="C48" i="26"/>
  <c r="B48" i="26"/>
  <c r="H21" i="26"/>
  <c r="G21" i="26"/>
  <c r="F21" i="26"/>
  <c r="E21" i="26"/>
  <c r="D21" i="26"/>
  <c r="C21" i="26"/>
  <c r="D18" i="26"/>
  <c r="C18" i="26"/>
  <c r="D12" i="26"/>
  <c r="C12" i="26"/>
  <c r="B12" i="26"/>
  <c r="A17" i="34"/>
  <c r="C202" i="38" s="1"/>
  <c r="C217" i="38" s="1"/>
  <c r="C232" i="38" s="1"/>
  <c r="A16" i="34"/>
  <c r="C16" i="34" s="1"/>
  <c r="A15" i="34"/>
  <c r="C200" i="38" s="1"/>
  <c r="C215" i="38" s="1"/>
  <c r="C230" i="38" s="1"/>
  <c r="A14" i="34"/>
  <c r="C199" i="38" s="1"/>
  <c r="C214" i="38" s="1"/>
  <c r="A13" i="34"/>
  <c r="C13" i="34" s="1"/>
  <c r="A12" i="34"/>
  <c r="C197" i="38" s="1"/>
  <c r="C212" i="38" s="1"/>
  <c r="A11" i="34"/>
  <c r="C11" i="34" s="1"/>
  <c r="E11" i="34" s="1"/>
  <c r="A10" i="34"/>
  <c r="C10" i="34" s="1"/>
  <c r="E10" i="34" s="1"/>
  <c r="A9" i="34"/>
  <c r="C9" i="34" s="1"/>
  <c r="E9" i="34" s="1"/>
  <c r="A8" i="34"/>
  <c r="C193" i="38" s="1"/>
  <c r="C208" i="38" s="1"/>
  <c r="A7" i="34"/>
  <c r="C192" i="38" s="1"/>
  <c r="C207" i="38" s="1"/>
  <c r="C222" i="38" s="1"/>
  <c r="A6" i="34"/>
  <c r="C6" i="34" s="1"/>
  <c r="E6" i="34" s="1"/>
  <c r="A5" i="34"/>
  <c r="C190" i="38" s="1"/>
  <c r="C205" i="38" s="1"/>
  <c r="C220" i="38" s="1"/>
  <c r="A4" i="34"/>
  <c r="C4" i="34" s="1"/>
  <c r="E4" i="34" s="1"/>
  <c r="A3" i="34"/>
  <c r="C3" i="34" s="1"/>
  <c r="E2" i="34"/>
  <c r="D2" i="34"/>
  <c r="C2" i="34"/>
  <c r="D31" i="76"/>
  <c r="D30" i="76"/>
  <c r="D29" i="76"/>
  <c r="D28" i="76"/>
  <c r="D27" i="76"/>
  <c r="D26" i="76"/>
  <c r="D25" i="76"/>
  <c r="D24" i="76"/>
  <c r="D23" i="76"/>
  <c r="D22" i="76"/>
  <c r="D21" i="76"/>
  <c r="D20" i="76"/>
  <c r="D19" i="76"/>
  <c r="D18" i="76"/>
  <c r="D17" i="76"/>
  <c r="D16" i="76"/>
  <c r="D15" i="76"/>
  <c r="F13" i="76"/>
  <c r="D14" i="76"/>
  <c r="D13" i="76"/>
  <c r="D12" i="76"/>
  <c r="D11" i="76"/>
  <c r="D10" i="76"/>
  <c r="D9" i="76"/>
  <c r="D8" i="76"/>
  <c r="D7" i="76"/>
  <c r="D6" i="76"/>
  <c r="D5" i="76"/>
  <c r="D4" i="76"/>
  <c r="D3" i="76"/>
  <c r="G2" i="76"/>
  <c r="F2" i="76"/>
  <c r="E2" i="76"/>
  <c r="C51" i="17"/>
  <c r="E50" i="17"/>
  <c r="D50" i="17"/>
  <c r="C50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E31" i="17"/>
  <c r="D31" i="17"/>
  <c r="C31" i="17"/>
  <c r="B27" i="17"/>
  <c r="B26" i="17"/>
  <c r="B25" i="17"/>
  <c r="B24" i="17"/>
  <c r="B23" i="17"/>
  <c r="B22" i="17"/>
  <c r="E21" i="17"/>
  <c r="D21" i="17"/>
  <c r="C21" i="17"/>
  <c r="E18" i="17"/>
  <c r="E17" i="17"/>
  <c r="D17" i="17"/>
  <c r="E16" i="17"/>
  <c r="E15" i="17"/>
  <c r="D15" i="17"/>
  <c r="D18" i="17" s="1"/>
  <c r="C15" i="17"/>
  <c r="D16" i="17" s="1"/>
  <c r="E12" i="17"/>
  <c r="E10" i="17"/>
  <c r="D10" i="17"/>
  <c r="C10" i="17"/>
  <c r="C5" i="17"/>
  <c r="E4" i="17"/>
  <c r="D4" i="17"/>
  <c r="C4" i="17"/>
  <c r="J39" i="9"/>
  <c r="E51" i="22" s="1"/>
  <c r="I39" i="9"/>
  <c r="I38" i="9"/>
  <c r="I37" i="9"/>
  <c r="I36" i="9"/>
  <c r="I35" i="9"/>
  <c r="R34" i="9"/>
  <c r="Q34" i="9"/>
  <c r="P34" i="9"/>
  <c r="O34" i="9"/>
  <c r="N34" i="9"/>
  <c r="M34" i="9"/>
  <c r="L34" i="9"/>
  <c r="K34" i="9"/>
  <c r="J34" i="9"/>
  <c r="R33" i="9"/>
  <c r="Q33" i="9"/>
  <c r="P33" i="9"/>
  <c r="L33" i="9"/>
  <c r="K33" i="9"/>
  <c r="J33" i="9"/>
  <c r="I29" i="9"/>
  <c r="I28" i="9"/>
  <c r="I27" i="9"/>
  <c r="I26" i="9"/>
  <c r="I25" i="9"/>
  <c r="R24" i="9"/>
  <c r="Q24" i="9"/>
  <c r="P24" i="9"/>
  <c r="O24" i="9"/>
  <c r="N24" i="9"/>
  <c r="M24" i="9"/>
  <c r="L24" i="9"/>
  <c r="K24" i="9"/>
  <c r="J24" i="9"/>
  <c r="R23" i="9"/>
  <c r="Q23" i="9"/>
  <c r="P23" i="9"/>
  <c r="O23" i="9"/>
  <c r="N23" i="9"/>
  <c r="M23" i="9"/>
  <c r="L23" i="9"/>
  <c r="K23" i="9"/>
  <c r="J23" i="9"/>
  <c r="T14" i="9"/>
  <c r="L9" i="9"/>
  <c r="K9" i="9"/>
  <c r="I9" i="9"/>
  <c r="I8" i="9"/>
  <c r="L7" i="9"/>
  <c r="K7" i="9"/>
  <c r="I7" i="9"/>
  <c r="I6" i="9"/>
  <c r="L5" i="9"/>
  <c r="K5" i="9"/>
  <c r="I5" i="9"/>
  <c r="R4" i="9"/>
  <c r="Q4" i="9"/>
  <c r="P4" i="9"/>
  <c r="O4" i="9"/>
  <c r="N4" i="9"/>
  <c r="M4" i="9"/>
  <c r="L4" i="9"/>
  <c r="K4" i="9"/>
  <c r="J4" i="9"/>
  <c r="R3" i="9"/>
  <c r="Q3" i="9"/>
  <c r="P3" i="9"/>
  <c r="O3" i="9"/>
  <c r="N3" i="9"/>
  <c r="M3" i="9"/>
  <c r="L3" i="9"/>
  <c r="K3" i="9"/>
  <c r="J3" i="9"/>
  <c r="D2" i="9"/>
  <c r="C6" i="9" s="1"/>
  <c r="C2" i="9"/>
  <c r="P38" i="70"/>
  <c r="P37" i="70"/>
  <c r="P36" i="70"/>
  <c r="Q38" i="70"/>
  <c r="Q37" i="70"/>
  <c r="Q36" i="70"/>
  <c r="E101" i="74" l="1"/>
  <c r="E104" i="74"/>
  <c r="E107" i="74"/>
  <c r="E110" i="74"/>
  <c r="E113" i="74"/>
  <c r="E116" i="74"/>
  <c r="E119" i="74"/>
  <c r="E122" i="74"/>
  <c r="E125" i="74"/>
  <c r="E128" i="74"/>
  <c r="E131" i="74"/>
  <c r="E134" i="74"/>
  <c r="E137" i="74"/>
  <c r="E140" i="74"/>
  <c r="E143" i="74"/>
  <c r="E146" i="74"/>
  <c r="E102" i="74"/>
  <c r="E105" i="74"/>
  <c r="E108" i="74"/>
  <c r="E111" i="74"/>
  <c r="E114" i="74"/>
  <c r="E117" i="74"/>
  <c r="E120" i="74"/>
  <c r="E123" i="74"/>
  <c r="E126" i="74"/>
  <c r="E129" i="74"/>
  <c r="E132" i="74"/>
  <c r="E135" i="74"/>
  <c r="E138" i="74"/>
  <c r="E141" i="74"/>
  <c r="E144" i="74"/>
  <c r="E147" i="74"/>
  <c r="E100" i="74"/>
  <c r="E103" i="74"/>
  <c r="E106" i="74"/>
  <c r="E109" i="74"/>
  <c r="E112" i="74"/>
  <c r="E115" i="74"/>
  <c r="E118" i="74"/>
  <c r="E121" i="74"/>
  <c r="E124" i="74"/>
  <c r="E127" i="74"/>
  <c r="E130" i="74"/>
  <c r="E133" i="74"/>
  <c r="E136" i="74"/>
  <c r="E139" i="74"/>
  <c r="E142" i="74"/>
  <c r="E145" i="74"/>
  <c r="C56" i="74"/>
  <c r="C82" i="74"/>
  <c r="I75" i="66"/>
  <c r="I80" i="66"/>
  <c r="I202" i="66"/>
  <c r="I205" i="66"/>
  <c r="I220" i="66"/>
  <c r="I61" i="66"/>
  <c r="A115" i="66"/>
  <c r="I115" i="66" s="1"/>
  <c r="I78" i="66"/>
  <c r="I89" i="66"/>
  <c r="I196" i="66"/>
  <c r="I59" i="66"/>
  <c r="I203" i="66"/>
  <c r="I221" i="66"/>
  <c r="I76" i="66"/>
  <c r="I87" i="66"/>
  <c r="I92" i="66"/>
  <c r="I232" i="66"/>
  <c r="I243" i="66"/>
  <c r="I207" i="66"/>
  <c r="I52" i="66"/>
  <c r="I204" i="66"/>
  <c r="I219" i="66"/>
  <c r="I222" i="66"/>
  <c r="I60" i="66"/>
  <c r="I233" i="66"/>
  <c r="C71" i="74"/>
  <c r="C91" i="74"/>
  <c r="C83" i="74"/>
  <c r="C52" i="74"/>
  <c r="C76" i="74"/>
  <c r="C80" i="74"/>
  <c r="C94" i="74"/>
  <c r="C64" i="74"/>
  <c r="D16" i="34"/>
  <c r="A114" i="66"/>
  <c r="I114" i="66" s="1"/>
  <c r="A119" i="66"/>
  <c r="I119" i="66" s="1"/>
  <c r="A131" i="66"/>
  <c r="I131" i="66" s="1"/>
  <c r="A143" i="66"/>
  <c r="I143" i="66" s="1"/>
  <c r="A258" i="66"/>
  <c r="I258" i="66" s="1"/>
  <c r="A263" i="66"/>
  <c r="I263" i="66" s="1"/>
  <c r="A275" i="66"/>
  <c r="I275" i="66" s="1"/>
  <c r="A287" i="66"/>
  <c r="I287" i="66" s="1"/>
  <c r="I56" i="66"/>
  <c r="I73" i="66"/>
  <c r="I85" i="66"/>
  <c r="I97" i="66"/>
  <c r="A112" i="66"/>
  <c r="I112" i="66" s="1"/>
  <c r="A117" i="66"/>
  <c r="I117" i="66" s="1"/>
  <c r="A129" i="66"/>
  <c r="I129" i="66" s="1"/>
  <c r="A141" i="66"/>
  <c r="I141" i="66" s="1"/>
  <c r="I200" i="66"/>
  <c r="I217" i="66"/>
  <c r="I229" i="66"/>
  <c r="I241" i="66"/>
  <c r="A256" i="66"/>
  <c r="I256" i="66" s="1"/>
  <c r="A261" i="66"/>
  <c r="I261" i="66" s="1"/>
  <c r="A273" i="66"/>
  <c r="I273" i="66" s="1"/>
  <c r="A285" i="66"/>
  <c r="I285" i="66" s="1"/>
  <c r="A105" i="66"/>
  <c r="I105" i="66" s="1"/>
  <c r="A122" i="66"/>
  <c r="I122" i="66" s="1"/>
  <c r="A134" i="66"/>
  <c r="I134" i="66" s="1"/>
  <c r="A146" i="66"/>
  <c r="I146" i="66" s="1"/>
  <c r="A249" i="66"/>
  <c r="I249" i="66" s="1"/>
  <c r="A266" i="66"/>
  <c r="I266" i="66" s="1"/>
  <c r="A278" i="66"/>
  <c r="I278" i="66" s="1"/>
  <c r="A290" i="66"/>
  <c r="I290" i="66" s="1"/>
  <c r="A103" i="66"/>
  <c r="A110" i="66"/>
  <c r="I110" i="66" s="1"/>
  <c r="A127" i="66"/>
  <c r="I127" i="66" s="1"/>
  <c r="A139" i="66"/>
  <c r="I139" i="66" s="1"/>
  <c r="A247" i="66"/>
  <c r="A254" i="66"/>
  <c r="I254" i="66" s="1"/>
  <c r="A271" i="66"/>
  <c r="I271" i="66" s="1"/>
  <c r="A283" i="66"/>
  <c r="I283" i="66" s="1"/>
  <c r="A144" i="66"/>
  <c r="I144" i="66" s="1"/>
  <c r="A264" i="66"/>
  <c r="I264" i="66" s="1"/>
  <c r="A276" i="66"/>
  <c r="I276" i="66" s="1"/>
  <c r="A113" i="66"/>
  <c r="I113" i="66" s="1"/>
  <c r="A118" i="66"/>
  <c r="I118" i="66" s="1"/>
  <c r="A130" i="66"/>
  <c r="I130" i="66" s="1"/>
  <c r="A142" i="66"/>
  <c r="I142" i="66" s="1"/>
  <c r="A257" i="66"/>
  <c r="I257" i="66" s="1"/>
  <c r="A262" i="66"/>
  <c r="I262" i="66" s="1"/>
  <c r="A274" i="66"/>
  <c r="I274" i="66" s="1"/>
  <c r="A286" i="66"/>
  <c r="I286" i="66" s="1"/>
  <c r="I55" i="66"/>
  <c r="I199" i="66"/>
  <c r="A259" i="66"/>
  <c r="I259" i="66" s="1"/>
  <c r="I72" i="66"/>
  <c r="I84" i="66"/>
  <c r="I240" i="66"/>
  <c r="G50" i="39"/>
  <c r="C58" i="74"/>
  <c r="C88" i="74"/>
  <c r="C67" i="74"/>
  <c r="C59" i="74"/>
  <c r="C70" i="74"/>
  <c r="C92" i="74"/>
  <c r="C68" i="74"/>
  <c r="C79" i="74"/>
  <c r="C95" i="74"/>
  <c r="C283" i="38"/>
  <c r="C289" i="38" s="1"/>
  <c r="C301" i="38" s="1"/>
  <c r="C313" i="38" s="1"/>
  <c r="C325" i="38" s="1"/>
  <c r="C337" i="38" s="1"/>
  <c r="C349" i="38" s="1"/>
  <c r="F3" i="76"/>
  <c r="F5" i="76"/>
  <c r="F26" i="76"/>
  <c r="F14" i="76"/>
  <c r="F22" i="76"/>
  <c r="F16" i="76"/>
  <c r="F18" i="76"/>
  <c r="F30" i="76"/>
  <c r="F15" i="76"/>
  <c r="F29" i="76"/>
  <c r="C5" i="34"/>
  <c r="E5" i="34" s="1"/>
  <c r="G44" i="39"/>
  <c r="G47" i="39"/>
  <c r="C66" i="74"/>
  <c r="C78" i="74"/>
  <c r="C90" i="74"/>
  <c r="A105" i="74"/>
  <c r="C105" i="74" s="1"/>
  <c r="A117" i="74"/>
  <c r="C117" i="74" s="1"/>
  <c r="A129" i="74"/>
  <c r="C129" i="74" s="1"/>
  <c r="A141" i="74"/>
  <c r="C141" i="74" s="1"/>
  <c r="A103" i="74"/>
  <c r="A110" i="74"/>
  <c r="C110" i="74" s="1"/>
  <c r="A122" i="74"/>
  <c r="C122" i="74" s="1"/>
  <c r="A134" i="74"/>
  <c r="C134" i="74" s="1"/>
  <c r="A146" i="74"/>
  <c r="C146" i="74" s="1"/>
  <c r="X6" i="20"/>
  <c r="C52" i="20"/>
  <c r="X4" i="20" s="1"/>
  <c r="C17" i="34"/>
  <c r="D17" i="34" s="1"/>
  <c r="O50" i="39"/>
  <c r="C55" i="74"/>
  <c r="A101" i="74"/>
  <c r="C101" i="74" s="1"/>
  <c r="A108" i="74"/>
  <c r="C108" i="74" s="1"/>
  <c r="A120" i="74"/>
  <c r="C120" i="74" s="1"/>
  <c r="A132" i="74"/>
  <c r="C132" i="74" s="1"/>
  <c r="A144" i="74"/>
  <c r="C144" i="74" s="1"/>
  <c r="P20" i="39"/>
  <c r="Q20" i="39" s="1"/>
  <c r="A113" i="74"/>
  <c r="C113" i="74" s="1"/>
  <c r="A125" i="74"/>
  <c r="C125" i="74" s="1"/>
  <c r="A137" i="74"/>
  <c r="C137" i="74" s="1"/>
  <c r="G40" i="39"/>
  <c r="B61" i="26"/>
  <c r="A111" i="74"/>
  <c r="C111" i="74" s="1"/>
  <c r="A123" i="74"/>
  <c r="C123" i="74" s="1"/>
  <c r="A135" i="74"/>
  <c r="C135" i="74" s="1"/>
  <c r="A147" i="74"/>
  <c r="C147" i="74" s="1"/>
  <c r="C198" i="38"/>
  <c r="C213" i="38" s="1"/>
  <c r="C228" i="38" s="1"/>
  <c r="C243" i="38" s="1"/>
  <c r="A102" i="74"/>
  <c r="C102" i="74" s="1"/>
  <c r="A109" i="74"/>
  <c r="C109" i="74" s="1"/>
  <c r="A121" i="74"/>
  <c r="C121" i="74" s="1"/>
  <c r="A133" i="74"/>
  <c r="C133" i="74" s="1"/>
  <c r="A145" i="74"/>
  <c r="C145" i="74" s="1"/>
  <c r="E250" i="72"/>
  <c r="G52" i="39"/>
  <c r="A2" i="53"/>
  <c r="A8" i="53" s="1"/>
  <c r="C15" i="34"/>
  <c r="O53" i="39"/>
  <c r="C7" i="34"/>
  <c r="P19" i="39"/>
  <c r="Q19" i="39" s="1"/>
  <c r="O52" i="39"/>
  <c r="O43" i="39"/>
  <c r="G48" i="39"/>
  <c r="C194" i="38"/>
  <c r="C209" i="38" s="1"/>
  <c r="C224" i="38" s="1"/>
  <c r="C239" i="38" s="1"/>
  <c r="O46" i="39"/>
  <c r="P18" i="39"/>
  <c r="Q18" i="39" s="1"/>
  <c r="G49" i="39"/>
  <c r="G55" i="39"/>
  <c r="J8" i="58"/>
  <c r="I8" i="58"/>
  <c r="I9" i="58"/>
  <c r="G240" i="66" s="1"/>
  <c r="I10" i="58"/>
  <c r="I7" i="37"/>
  <c r="G80" i="66" s="1"/>
  <c r="H9" i="58"/>
  <c r="G192" i="66" s="1"/>
  <c r="H25" i="37"/>
  <c r="H7" i="37"/>
  <c r="G32" i="66" s="1"/>
  <c r="J10" i="58"/>
  <c r="I6" i="37"/>
  <c r="J7" i="37"/>
  <c r="G128" i="66" s="1"/>
  <c r="H6" i="37"/>
  <c r="D10" i="34"/>
  <c r="A9" i="53"/>
  <c r="C286" i="38"/>
  <c r="C298" i="38" s="1"/>
  <c r="C310" i="38" s="1"/>
  <c r="C292" i="38"/>
  <c r="C304" i="38" s="1"/>
  <c r="D4" i="34"/>
  <c r="C288" i="38"/>
  <c r="C294" i="38"/>
  <c r="C306" i="38" s="1"/>
  <c r="C188" i="38"/>
  <c r="C203" i="38" s="1"/>
  <c r="C218" i="38" s="1"/>
  <c r="A16" i="41"/>
  <c r="O42" i="39"/>
  <c r="I7" i="58"/>
  <c r="G224" i="66" s="1"/>
  <c r="E95" i="72"/>
  <c r="P22" i="39"/>
  <c r="Q22" i="39" s="1"/>
  <c r="P24" i="39"/>
  <c r="Q24" i="39" s="1"/>
  <c r="G54" i="39"/>
  <c r="C189" i="38"/>
  <c r="C204" i="38" s="1"/>
  <c r="C195" i="38"/>
  <c r="C210" i="38" s="1"/>
  <c r="C225" i="38" s="1"/>
  <c r="C201" i="38"/>
  <c r="C216" i="38" s="1"/>
  <c r="A4" i="53"/>
  <c r="A10" i="53" s="1"/>
  <c r="A16" i="53" s="1"/>
  <c r="H5" i="37"/>
  <c r="G21" i="66" s="1"/>
  <c r="J6" i="37"/>
  <c r="D437" i="41"/>
  <c r="C274" i="66" s="1"/>
  <c r="P274" i="66" s="1"/>
  <c r="G39" i="39"/>
  <c r="G41" i="39"/>
  <c r="G53" i="39"/>
  <c r="O55" i="39"/>
  <c r="I5" i="37"/>
  <c r="G69" i="66" s="1"/>
  <c r="D431" i="41"/>
  <c r="J9" i="58"/>
  <c r="G288" i="66" s="1"/>
  <c r="B21" i="41"/>
  <c r="C59" i="26"/>
  <c r="E188" i="72"/>
  <c r="C8" i="34"/>
  <c r="C12" i="34"/>
  <c r="E12" i="34" s="1"/>
  <c r="E64" i="72"/>
  <c r="C196" i="38"/>
  <c r="C211" i="38" s="1"/>
  <c r="C226" i="38" s="1"/>
  <c r="C241" i="38" s="1"/>
  <c r="C278" i="38"/>
  <c r="G70" i="66"/>
  <c r="G49" i="66"/>
  <c r="G145" i="66"/>
  <c r="G64" i="66"/>
  <c r="G97" i="66"/>
  <c r="G16" i="66"/>
  <c r="G123" i="66"/>
  <c r="F3" i="41"/>
  <c r="J5" i="37"/>
  <c r="G117" i="66" s="1"/>
  <c r="H10" i="37"/>
  <c r="A436" i="41"/>
  <c r="J7" i="58"/>
  <c r="G272" i="66" s="1"/>
  <c r="H7" i="58"/>
  <c r="E157" i="72"/>
  <c r="A6" i="53"/>
  <c r="A12" i="53" s="1"/>
  <c r="A430" i="41"/>
  <c r="A494" i="41"/>
  <c r="A4" i="41"/>
  <c r="G45" i="39"/>
  <c r="O48" i="39"/>
  <c r="I10" i="37"/>
  <c r="E281" i="72"/>
  <c r="C191" i="38"/>
  <c r="C206" i="38" s="1"/>
  <c r="C221" i="38" s="1"/>
  <c r="C279" i="38"/>
  <c r="C291" i="38" s="1"/>
  <c r="H9" i="37"/>
  <c r="G48" i="66" s="1"/>
  <c r="J10" i="37"/>
  <c r="J6" i="58"/>
  <c r="F5" i="41"/>
  <c r="E33" i="72"/>
  <c r="O54" i="39"/>
  <c r="A17" i="8"/>
  <c r="A7" i="53"/>
  <c r="I9" i="37"/>
  <c r="G96" i="66" s="1"/>
  <c r="J3" i="58"/>
  <c r="G51" i="39"/>
  <c r="A18" i="8"/>
  <c r="H8" i="37"/>
  <c r="J9" i="37"/>
  <c r="G144" i="66" s="1"/>
  <c r="H8" i="58"/>
  <c r="J3" i="37"/>
  <c r="A19" i="8"/>
  <c r="I8" i="37"/>
  <c r="A32" i="41"/>
  <c r="E126" i="72"/>
  <c r="C14" i="34"/>
  <c r="E2" i="72"/>
  <c r="J8" i="37"/>
  <c r="H49" i="37"/>
  <c r="H61" i="37"/>
  <c r="H85" i="37"/>
  <c r="A429" i="41"/>
  <c r="E219" i="72"/>
  <c r="J5" i="58"/>
  <c r="H10" i="58"/>
  <c r="H6" i="58"/>
  <c r="I6" i="58"/>
  <c r="H5" i="58"/>
  <c r="I5" i="58"/>
  <c r="G219" i="66"/>
  <c r="G160" i="66"/>
  <c r="G214" i="66"/>
  <c r="G241" i="66"/>
  <c r="G193" i="66"/>
  <c r="G289" i="66"/>
  <c r="G166" i="66"/>
  <c r="G208" i="66"/>
  <c r="C51" i="20"/>
  <c r="P20" i="18" s="1"/>
  <c r="P31" i="18"/>
  <c r="G262" i="66"/>
  <c r="R36" i="70"/>
  <c r="R38" i="70"/>
  <c r="R37" i="70"/>
  <c r="F4" i="76"/>
  <c r="D9" i="34"/>
  <c r="J25" i="9"/>
  <c r="J29" i="9"/>
  <c r="F12" i="76"/>
  <c r="F21" i="76"/>
  <c r="F25" i="76"/>
  <c r="D6" i="34"/>
  <c r="D13" i="17"/>
  <c r="F17" i="76"/>
  <c r="D3" i="34"/>
  <c r="D13" i="34"/>
  <c r="E12" i="38"/>
  <c r="E24" i="38"/>
  <c r="E36" i="38"/>
  <c r="E48" i="38"/>
  <c r="E60" i="38"/>
  <c r="E72" i="38"/>
  <c r="E84" i="38"/>
  <c r="C235" i="38"/>
  <c r="E6" i="38"/>
  <c r="E18" i="38"/>
  <c r="E30" i="38"/>
  <c r="E42" i="38"/>
  <c r="E54" i="38"/>
  <c r="E66" i="38"/>
  <c r="E78" i="38"/>
  <c r="E7" i="38"/>
  <c r="E13" i="38"/>
  <c r="E19" i="38"/>
  <c r="E25" i="38"/>
  <c r="E31" i="38"/>
  <c r="E37" i="38"/>
  <c r="E43" i="38"/>
  <c r="E49" i="38"/>
  <c r="E55" i="38"/>
  <c r="E61" i="38"/>
  <c r="E67" i="38"/>
  <c r="E73" i="38"/>
  <c r="E79" i="38"/>
  <c r="E85" i="38"/>
  <c r="C223" i="38"/>
  <c r="C229" i="38"/>
  <c r="C237" i="38"/>
  <c r="C245" i="38"/>
  <c r="E8" i="38"/>
  <c r="E20" i="38"/>
  <c r="E32" i="38"/>
  <c r="E56" i="38"/>
  <c r="E68" i="38"/>
  <c r="E80" i="38"/>
  <c r="J27" i="9"/>
  <c r="H109" i="58"/>
  <c r="H103" i="58"/>
  <c r="H97" i="58"/>
  <c r="H135" i="58"/>
  <c r="H129" i="58"/>
  <c r="H123" i="58"/>
  <c r="H117" i="58"/>
  <c r="H110" i="58"/>
  <c r="H104" i="58"/>
  <c r="H98" i="58"/>
  <c r="H136" i="58"/>
  <c r="H130" i="58"/>
  <c r="H124" i="58"/>
  <c r="H118" i="58"/>
  <c r="H111" i="58"/>
  <c r="H105" i="58"/>
  <c r="H99" i="58"/>
  <c r="H137" i="58"/>
  <c r="H131" i="58"/>
  <c r="H125" i="58"/>
  <c r="H119" i="58"/>
  <c r="H112" i="58"/>
  <c r="H106" i="58"/>
  <c r="H100" i="58"/>
  <c r="H138" i="58"/>
  <c r="H132" i="58"/>
  <c r="H126" i="58"/>
  <c r="H120" i="58"/>
  <c r="H113" i="58"/>
  <c r="H107" i="58"/>
  <c r="H101" i="58"/>
  <c r="H95" i="58"/>
  <c r="H114" i="58"/>
  <c r="H108" i="58"/>
  <c r="H102" i="58"/>
  <c r="H96" i="58"/>
  <c r="H140" i="58"/>
  <c r="H115" i="58"/>
  <c r="H138" i="37"/>
  <c r="H132" i="37"/>
  <c r="H126" i="37"/>
  <c r="H121" i="58"/>
  <c r="H127" i="58"/>
  <c r="H116" i="58"/>
  <c r="H133" i="58"/>
  <c r="H122" i="58"/>
  <c r="H139" i="58"/>
  <c r="H128" i="58"/>
  <c r="H134" i="58"/>
  <c r="H133" i="37"/>
  <c r="H101" i="37"/>
  <c r="H96" i="37"/>
  <c r="H125" i="37"/>
  <c r="H106" i="37"/>
  <c r="H129" i="37"/>
  <c r="H121" i="37"/>
  <c r="H116" i="37"/>
  <c r="H111" i="37"/>
  <c r="H102" i="37"/>
  <c r="H97" i="37"/>
  <c r="H107" i="37"/>
  <c r="H134" i="37"/>
  <c r="H130" i="37"/>
  <c r="H112" i="37"/>
  <c r="H139" i="37"/>
  <c r="H117" i="37"/>
  <c r="H108" i="37"/>
  <c r="H103" i="37"/>
  <c r="H98" i="37"/>
  <c r="H131" i="37"/>
  <c r="H122" i="37"/>
  <c r="H113" i="37"/>
  <c r="H135" i="37"/>
  <c r="H127" i="37"/>
  <c r="H118" i="37"/>
  <c r="H114" i="37"/>
  <c r="H109" i="37"/>
  <c r="H104" i="37"/>
  <c r="H99" i="37"/>
  <c r="H140" i="37"/>
  <c r="H136" i="37"/>
  <c r="H123" i="37"/>
  <c r="H119" i="37"/>
  <c r="H100" i="37"/>
  <c r="H95" i="37"/>
  <c r="H137" i="37"/>
  <c r="H128" i="37"/>
  <c r="H124" i="37"/>
  <c r="H120" i="37"/>
  <c r="H115" i="37"/>
  <c r="H110" i="37"/>
  <c r="H105" i="37"/>
  <c r="F27" i="76"/>
  <c r="E2" i="38"/>
  <c r="E14" i="38"/>
  <c r="E26" i="38"/>
  <c r="E38" i="38"/>
  <c r="E50" i="38"/>
  <c r="E62" i="38"/>
  <c r="E74" i="38"/>
  <c r="E117" i="38"/>
  <c r="I472" i="37" s="1"/>
  <c r="E100" i="38"/>
  <c r="H472" i="37" s="1"/>
  <c r="G202" i="35"/>
  <c r="G196" i="35"/>
  <c r="G190" i="35"/>
  <c r="G201" i="35"/>
  <c r="G195" i="35"/>
  <c r="G189" i="35"/>
  <c r="G205" i="35"/>
  <c r="G199" i="35"/>
  <c r="G193" i="35"/>
  <c r="G187" i="35"/>
  <c r="G204" i="35"/>
  <c r="G198" i="35"/>
  <c r="G192" i="35"/>
  <c r="G186" i="35"/>
  <c r="E3" i="38"/>
  <c r="E9" i="38"/>
  <c r="E15" i="38"/>
  <c r="E21" i="38"/>
  <c r="E27" i="38"/>
  <c r="E33" i="38"/>
  <c r="E39" i="38"/>
  <c r="E45" i="38"/>
  <c r="E51" i="38"/>
  <c r="E57" i="38"/>
  <c r="E63" i="38"/>
  <c r="E69" i="38"/>
  <c r="E75" i="38"/>
  <c r="E81" i="38"/>
  <c r="C231" i="38"/>
  <c r="C247" i="38"/>
  <c r="D11" i="17"/>
  <c r="F23" i="76"/>
  <c r="D11" i="34"/>
  <c r="D5" i="34"/>
  <c r="G191" i="35"/>
  <c r="G200" i="35"/>
  <c r="F6" i="76"/>
  <c r="F19" i="76"/>
  <c r="F31" i="76"/>
  <c r="D12" i="17"/>
  <c r="F11" i="76"/>
  <c r="F20" i="76"/>
  <c r="F24" i="76"/>
  <c r="F28" i="76"/>
  <c r="E4" i="38"/>
  <c r="E16" i="38"/>
  <c r="E28" i="38"/>
  <c r="E40" i="38"/>
  <c r="E52" i="38"/>
  <c r="E64" i="38"/>
  <c r="E76" i="38"/>
  <c r="E134" i="38"/>
  <c r="J472" i="37" s="1"/>
  <c r="E168" i="38"/>
  <c r="I472" i="58" s="1"/>
  <c r="E151" i="38"/>
  <c r="H472" i="58" s="1"/>
  <c r="E10" i="38"/>
  <c r="E22" i="38"/>
  <c r="E34" i="38"/>
  <c r="E46" i="38"/>
  <c r="E58" i="38"/>
  <c r="E70" i="38"/>
  <c r="E82" i="38"/>
  <c r="E185" i="38"/>
  <c r="J472" i="58" s="1"/>
  <c r="E5" i="38"/>
  <c r="E11" i="38"/>
  <c r="E17" i="38"/>
  <c r="E23" i="38"/>
  <c r="E29" i="38"/>
  <c r="E35" i="38"/>
  <c r="E41" i="38"/>
  <c r="E47" i="38"/>
  <c r="E53" i="38"/>
  <c r="E59" i="38"/>
  <c r="E65" i="38"/>
  <c r="E71" i="38"/>
  <c r="E77" i="38"/>
  <c r="E83" i="38"/>
  <c r="C227" i="38"/>
  <c r="C303" i="38"/>
  <c r="C285" i="38"/>
  <c r="C295" i="38"/>
  <c r="C307" i="38" s="1"/>
  <c r="C319" i="38" s="1"/>
  <c r="C331" i="38" s="1"/>
  <c r="C343" i="38" s="1"/>
  <c r="E44" i="38"/>
  <c r="C300" i="38"/>
  <c r="A15" i="53"/>
  <c r="G27" i="66"/>
  <c r="G22" i="66"/>
  <c r="I19" i="74"/>
  <c r="G75" i="66"/>
  <c r="G112" i="66"/>
  <c r="G118" i="66"/>
  <c r="I14" i="74"/>
  <c r="G171" i="66"/>
  <c r="G267" i="66"/>
  <c r="G256" i="66"/>
  <c r="I71" i="74"/>
  <c r="I6" i="74"/>
  <c r="I57" i="74"/>
  <c r="P3" i="18"/>
  <c r="I107" i="74"/>
  <c r="I104" i="74"/>
  <c r="P12" i="18"/>
  <c r="X7" i="20"/>
  <c r="P13" i="18"/>
  <c r="C26" i="20"/>
  <c r="X8" i="20"/>
  <c r="F16" i="63"/>
  <c r="F26" i="63" s="1"/>
  <c r="F36" i="63" s="1"/>
  <c r="F46" i="63" s="1"/>
  <c r="F56" i="63" s="1"/>
  <c r="F14" i="63"/>
  <c r="F24" i="63" s="1"/>
  <c r="F34" i="63" s="1"/>
  <c r="F44" i="63" s="1"/>
  <c r="F54" i="63" s="1"/>
  <c r="F15" i="63"/>
  <c r="F25" i="63" s="1"/>
  <c r="F35" i="63" s="1"/>
  <c r="F45" i="63" s="1"/>
  <c r="F55" i="63" s="1"/>
  <c r="I140" i="74"/>
  <c r="I123" i="74"/>
  <c r="C24" i="20"/>
  <c r="P11" i="18"/>
  <c r="I125" i="74" l="1"/>
  <c r="I137" i="74"/>
  <c r="D7" i="34"/>
  <c r="I147" i="74"/>
  <c r="I94" i="74"/>
  <c r="I62" i="74"/>
  <c r="I7" i="74"/>
  <c r="I31" i="74"/>
  <c r="I22" i="74"/>
  <c r="I50" i="74"/>
  <c r="I93" i="74"/>
  <c r="I59" i="74"/>
  <c r="I108" i="74"/>
  <c r="I91" i="74"/>
  <c r="I15" i="74"/>
  <c r="I95" i="74"/>
  <c r="I76" i="74"/>
  <c r="I72" i="74"/>
  <c r="I29" i="74"/>
  <c r="I26" i="74"/>
  <c r="I92" i="74"/>
  <c r="I67" i="74"/>
  <c r="I115" i="74"/>
  <c r="I8" i="74"/>
  <c r="I100" i="74"/>
  <c r="I17" i="74"/>
  <c r="I35" i="74"/>
  <c r="I10" i="74"/>
  <c r="I77" i="74"/>
  <c r="I37" i="74"/>
  <c r="I138" i="74"/>
  <c r="C42" i="66"/>
  <c r="C79" i="66"/>
  <c r="P79" i="66" s="1"/>
  <c r="V79" i="66" s="1"/>
  <c r="C180" i="66"/>
  <c r="F7" i="76"/>
  <c r="C190" i="66"/>
  <c r="I143" i="74"/>
  <c r="I6" i="41"/>
  <c r="I134" i="74"/>
  <c r="D12" i="34"/>
  <c r="I142" i="74"/>
  <c r="E6" i="53"/>
  <c r="F9" i="76"/>
  <c r="I122" i="74"/>
  <c r="I131" i="74"/>
  <c r="I129" i="74"/>
  <c r="I114" i="74"/>
  <c r="I118" i="74"/>
  <c r="I73" i="74"/>
  <c r="I85" i="74"/>
  <c r="I56" i="74"/>
  <c r="I130" i="74"/>
  <c r="I110" i="74"/>
  <c r="I141" i="74"/>
  <c r="I97" i="74"/>
  <c r="H9" i="41"/>
  <c r="K55" i="39" s="1"/>
  <c r="E153" i="38" s="1"/>
  <c r="C60" i="66"/>
  <c r="C287" i="66"/>
  <c r="P287" i="66" s="1"/>
  <c r="R287" i="66" s="1"/>
  <c r="C73" i="66"/>
  <c r="P73" i="66" s="1"/>
  <c r="R73" i="66" s="1"/>
  <c r="D108" i="74"/>
  <c r="C89" i="66"/>
  <c r="D81" i="74"/>
  <c r="P81" i="74" s="1"/>
  <c r="R81" i="74" s="1"/>
  <c r="C5" i="66"/>
  <c r="P5" i="66" s="1"/>
  <c r="C48" i="66"/>
  <c r="C90" i="66"/>
  <c r="C132" i="66"/>
  <c r="C157" i="66"/>
  <c r="P157" i="66" s="1"/>
  <c r="V157" i="66" s="1"/>
  <c r="C8" i="66"/>
  <c r="P8" i="66" s="1"/>
  <c r="V8" i="66" s="1"/>
  <c r="C210" i="66"/>
  <c r="P210" i="66" s="1"/>
  <c r="R210" i="66" s="1"/>
  <c r="C56" i="66"/>
  <c r="P56" i="66" s="1"/>
  <c r="V56" i="66" s="1"/>
  <c r="I98" i="74"/>
  <c r="I34" i="74"/>
  <c r="I89" i="74"/>
  <c r="I40" i="74"/>
  <c r="I133" i="74"/>
  <c r="I146" i="74"/>
  <c r="I38" i="74"/>
  <c r="I55" i="74"/>
  <c r="I121" i="74"/>
  <c r="I45" i="74"/>
  <c r="I136" i="74"/>
  <c r="I119" i="74"/>
  <c r="I124" i="74"/>
  <c r="I99" i="74"/>
  <c r="I128" i="74"/>
  <c r="I33" i="74"/>
  <c r="I82" i="74"/>
  <c r="I5" i="74"/>
  <c r="I25" i="74"/>
  <c r="I51" i="74"/>
  <c r="I47" i="74"/>
  <c r="I86" i="74"/>
  <c r="I18" i="74"/>
  <c r="I120" i="74"/>
  <c r="G70" i="74"/>
  <c r="S103" i="66"/>
  <c r="I103" i="66"/>
  <c r="I111" i="74"/>
  <c r="I106" i="74"/>
  <c r="I54" i="74"/>
  <c r="I69" i="74"/>
  <c r="I27" i="74"/>
  <c r="I46" i="74"/>
  <c r="I135" i="74"/>
  <c r="I44" i="74"/>
  <c r="I81" i="74"/>
  <c r="I32" i="74"/>
  <c r="C139" i="66"/>
  <c r="P139" i="66" s="1"/>
  <c r="V139" i="66" s="1"/>
  <c r="I75" i="74"/>
  <c r="I139" i="74"/>
  <c r="I79" i="74"/>
  <c r="I70" i="74"/>
  <c r="I53" i="74"/>
  <c r="I87" i="74"/>
  <c r="I63" i="74"/>
  <c r="I24" i="74"/>
  <c r="I117" i="74"/>
  <c r="I65" i="74"/>
  <c r="I23" i="74"/>
  <c r="I127" i="74"/>
  <c r="I64" i="74"/>
  <c r="I144" i="74"/>
  <c r="I42" i="74"/>
  <c r="I80" i="74"/>
  <c r="I4" i="74"/>
  <c r="I41" i="74"/>
  <c r="I9" i="74"/>
  <c r="I113" i="74"/>
  <c r="I13" i="74"/>
  <c r="I101" i="74"/>
  <c r="I16" i="74"/>
  <c r="I49" i="74"/>
  <c r="I105" i="74"/>
  <c r="I61" i="74"/>
  <c r="I30" i="74"/>
  <c r="I58" i="74"/>
  <c r="I52" i="74"/>
  <c r="I66" i="74"/>
  <c r="I39" i="74"/>
  <c r="I102" i="74"/>
  <c r="I43" i="74"/>
  <c r="I96" i="74"/>
  <c r="I90" i="74"/>
  <c r="I48" i="74"/>
  <c r="I109" i="74"/>
  <c r="I78" i="74"/>
  <c r="I12" i="74"/>
  <c r="I132" i="74"/>
  <c r="I112" i="74"/>
  <c r="I36" i="74"/>
  <c r="I74" i="74"/>
  <c r="I21" i="74"/>
  <c r="I83" i="74"/>
  <c r="I145" i="74"/>
  <c r="I84" i="74"/>
  <c r="I88" i="74"/>
  <c r="I11" i="74"/>
  <c r="I126" i="74"/>
  <c r="I60" i="74"/>
  <c r="I28" i="74"/>
  <c r="S247" i="66"/>
  <c r="I247" i="66"/>
  <c r="G144" i="74"/>
  <c r="G48" i="74"/>
  <c r="G97" i="74"/>
  <c r="H137" i="41"/>
  <c r="C12" i="66"/>
  <c r="G49" i="74"/>
  <c r="J9" i="41"/>
  <c r="M55" i="39" s="1"/>
  <c r="E187" i="38" s="1"/>
  <c r="C47" i="63"/>
  <c r="I9" i="41"/>
  <c r="D55" i="39" s="1"/>
  <c r="E119" i="38" s="1"/>
  <c r="I469" i="37" s="1"/>
  <c r="I10" i="41"/>
  <c r="H5" i="41"/>
  <c r="K52" i="39" s="1"/>
  <c r="E150" i="38" s="1"/>
  <c r="G123" i="74"/>
  <c r="G16" i="74"/>
  <c r="G75" i="74"/>
  <c r="C7" i="63"/>
  <c r="G128" i="74"/>
  <c r="C31" i="66"/>
  <c r="P31" i="66" s="1"/>
  <c r="V31" i="66" s="1"/>
  <c r="C109" i="66"/>
  <c r="P109" i="66" s="1"/>
  <c r="V109" i="66" s="1"/>
  <c r="C119" i="66"/>
  <c r="C28" i="66"/>
  <c r="C95" i="66"/>
  <c r="P95" i="66" s="1"/>
  <c r="V95" i="66" s="1"/>
  <c r="C131" i="66"/>
  <c r="C161" i="66"/>
  <c r="C192" i="66"/>
  <c r="D17" i="74"/>
  <c r="D53" i="74"/>
  <c r="P53" i="74" s="1"/>
  <c r="C32" i="66"/>
  <c r="C75" i="66"/>
  <c r="P75" i="66" s="1"/>
  <c r="R75" i="66" s="1"/>
  <c r="C41" i="66"/>
  <c r="C70" i="66"/>
  <c r="P70" i="66" s="1"/>
  <c r="R70" i="66" s="1"/>
  <c r="C105" i="66"/>
  <c r="C147" i="66"/>
  <c r="P147" i="66" s="1"/>
  <c r="R147" i="66" s="1"/>
  <c r="C233" i="66"/>
  <c r="C209" i="66"/>
  <c r="D54" i="74"/>
  <c r="D95" i="74"/>
  <c r="P95" i="74" s="1"/>
  <c r="R95" i="74" s="1"/>
  <c r="C7" i="66"/>
  <c r="C67" i="66"/>
  <c r="P67" i="66" s="1"/>
  <c r="V67" i="66" s="1"/>
  <c r="C86" i="66"/>
  <c r="P86" i="66" s="1"/>
  <c r="V86" i="66" s="1"/>
  <c r="C78" i="66"/>
  <c r="C155" i="66"/>
  <c r="P155" i="66" s="1"/>
  <c r="R155" i="66" s="1"/>
  <c r="C175" i="66"/>
  <c r="P175" i="66" s="1"/>
  <c r="R175" i="66" s="1"/>
  <c r="C129" i="66"/>
  <c r="P129" i="66" s="1"/>
  <c r="V129" i="66" s="1"/>
  <c r="C264" i="66"/>
  <c r="P264" i="66" s="1"/>
  <c r="R264" i="66" s="1"/>
  <c r="D9" i="74"/>
  <c r="D122" i="74"/>
  <c r="C10" i="66"/>
  <c r="C9" i="66"/>
  <c r="C72" i="66"/>
  <c r="P72" i="66" s="1"/>
  <c r="R72" i="66" s="1"/>
  <c r="C63" i="66"/>
  <c r="P63" i="66" s="1"/>
  <c r="V63" i="66" s="1"/>
  <c r="C83" i="66"/>
  <c r="C97" i="66"/>
  <c r="C146" i="66"/>
  <c r="C141" i="66"/>
  <c r="C223" i="66"/>
  <c r="P223" i="66" s="1"/>
  <c r="R223" i="66" s="1"/>
  <c r="D61" i="74"/>
  <c r="P61" i="74" s="1"/>
  <c r="R61" i="74" s="1"/>
  <c r="D114" i="74"/>
  <c r="P114" i="74" s="1"/>
  <c r="V114" i="74" s="1"/>
  <c r="C16" i="66"/>
  <c r="C23" i="66"/>
  <c r="C76" i="66"/>
  <c r="C124" i="66"/>
  <c r="C116" i="66"/>
  <c r="C199" i="66"/>
  <c r="C154" i="66"/>
  <c r="C178" i="66"/>
  <c r="P178" i="66" s="1"/>
  <c r="R178" i="66" s="1"/>
  <c r="C257" i="66"/>
  <c r="D72" i="74"/>
  <c r="P72" i="74" s="1"/>
  <c r="R72" i="74" s="1"/>
  <c r="D112" i="74"/>
  <c r="C22" i="66"/>
  <c r="P22" i="66" s="1"/>
  <c r="R22" i="66" s="1"/>
  <c r="C46" i="66"/>
  <c r="C144" i="66"/>
  <c r="C91" i="66"/>
  <c r="P91" i="66" s="1"/>
  <c r="V91" i="66" s="1"/>
  <c r="C103" i="66"/>
  <c r="C13" i="66"/>
  <c r="P13" i="66" s="1"/>
  <c r="V13" i="66" s="1"/>
  <c r="C53" i="66"/>
  <c r="P53" i="66" s="1"/>
  <c r="R53" i="66" s="1"/>
  <c r="C239" i="66"/>
  <c r="P239" i="66" s="1"/>
  <c r="V239" i="66" s="1"/>
  <c r="C236" i="66"/>
  <c r="P236" i="66" s="1"/>
  <c r="V236" i="66" s="1"/>
  <c r="D106" i="74"/>
  <c r="D129" i="74"/>
  <c r="P129" i="74" s="1"/>
  <c r="V129" i="74" s="1"/>
  <c r="C55" i="66"/>
  <c r="C17" i="66"/>
  <c r="C65" i="66"/>
  <c r="C94" i="66"/>
  <c r="C80" i="66"/>
  <c r="C25" i="66"/>
  <c r="P25" i="66" s="1"/>
  <c r="C123" i="66"/>
  <c r="P123" i="66" s="1"/>
  <c r="V123" i="66" s="1"/>
  <c r="C197" i="66"/>
  <c r="P197" i="66" s="1"/>
  <c r="D12" i="74"/>
  <c r="D46" i="74"/>
  <c r="D121" i="74"/>
  <c r="P121" i="74" s="1"/>
  <c r="C29" i="66"/>
  <c r="P29" i="66" s="1"/>
  <c r="R29" i="66" s="1"/>
  <c r="C19" i="66"/>
  <c r="P19" i="66" s="1"/>
  <c r="R19" i="66" s="1"/>
  <c r="C82" i="66"/>
  <c r="P82" i="66" s="1"/>
  <c r="V82" i="66" s="1"/>
  <c r="C66" i="66"/>
  <c r="P66" i="66" s="1"/>
  <c r="R66" i="66" s="1"/>
  <c r="C85" i="66"/>
  <c r="C112" i="66"/>
  <c r="C138" i="66"/>
  <c r="C207" i="66"/>
  <c r="P207" i="66" s="1"/>
  <c r="R207" i="66" s="1"/>
  <c r="D18" i="74"/>
  <c r="P18" i="74" s="1"/>
  <c r="V18" i="74" s="1"/>
  <c r="D23" i="74"/>
  <c r="D146" i="74"/>
  <c r="C114" i="66"/>
  <c r="P114" i="66" s="1"/>
  <c r="R114" i="66" s="1"/>
  <c r="C21" i="66"/>
  <c r="C24" i="66"/>
  <c r="P24" i="66" s="1"/>
  <c r="R24" i="66" s="1"/>
  <c r="C71" i="66"/>
  <c r="C98" i="66"/>
  <c r="C128" i="66"/>
  <c r="C134" i="66"/>
  <c r="P134" i="66" s="1"/>
  <c r="R134" i="66" s="1"/>
  <c r="C271" i="66"/>
  <c r="P271" i="66" s="1"/>
  <c r="V271" i="66" s="1"/>
  <c r="C250" i="66"/>
  <c r="D24" i="74"/>
  <c r="P24" i="74" s="1"/>
  <c r="R24" i="74" s="1"/>
  <c r="D120" i="74"/>
  <c r="P120" i="74" s="1"/>
  <c r="V120" i="74" s="1"/>
  <c r="C49" i="66"/>
  <c r="C34" i="66"/>
  <c r="P34" i="66" s="1"/>
  <c r="R34" i="66" s="1"/>
  <c r="C44" i="66"/>
  <c r="P44" i="66" s="1"/>
  <c r="R44" i="66" s="1"/>
  <c r="C88" i="66"/>
  <c r="P88" i="66" s="1"/>
  <c r="C126" i="66"/>
  <c r="C104" i="66"/>
  <c r="P104" i="66" s="1"/>
  <c r="R104" i="66" s="1"/>
  <c r="C162" i="66"/>
  <c r="P162" i="66" s="1"/>
  <c r="V162" i="66" s="1"/>
  <c r="C286" i="66"/>
  <c r="C266" i="66"/>
  <c r="D102" i="74"/>
  <c r="H135" i="41"/>
  <c r="H113" i="41"/>
  <c r="C27" i="63"/>
  <c r="J8" i="41"/>
  <c r="H8" i="41"/>
  <c r="G64" i="74"/>
  <c r="H129" i="41"/>
  <c r="C69" i="66"/>
  <c r="C35" i="66"/>
  <c r="C101" i="66"/>
  <c r="P101" i="66" s="1"/>
  <c r="R101" i="66" s="1"/>
  <c r="C150" i="66"/>
  <c r="C111" i="66"/>
  <c r="P111" i="66" s="1"/>
  <c r="V111" i="66" s="1"/>
  <c r="C113" i="66"/>
  <c r="C120" i="66"/>
  <c r="P120" i="66" s="1"/>
  <c r="V120" i="66" s="1"/>
  <c r="C107" i="66"/>
  <c r="P107" i="66" s="1"/>
  <c r="V107" i="66" s="1"/>
  <c r="C130" i="66"/>
  <c r="P130" i="66" s="1"/>
  <c r="V130" i="66" s="1"/>
  <c r="C229" i="66"/>
  <c r="C216" i="66"/>
  <c r="P216" i="66" s="1"/>
  <c r="V216" i="66" s="1"/>
  <c r="C133" i="66"/>
  <c r="C121" i="66"/>
  <c r="P121" i="66" s="1"/>
  <c r="C238" i="66"/>
  <c r="C196" i="66"/>
  <c r="P196" i="66" s="1"/>
  <c r="R196" i="66" s="1"/>
  <c r="C285" i="66"/>
  <c r="C189" i="66"/>
  <c r="C203" i="66"/>
  <c r="P203" i="66" s="1"/>
  <c r="V203" i="66" s="1"/>
  <c r="C222" i="66"/>
  <c r="C230" i="66"/>
  <c r="P230" i="66" s="1"/>
  <c r="V230" i="66" s="1"/>
  <c r="D16" i="74"/>
  <c r="C265" i="66"/>
  <c r="P265" i="66" s="1"/>
  <c r="C280" i="66"/>
  <c r="P280" i="66" s="1"/>
  <c r="D32" i="74"/>
  <c r="D57" i="74"/>
  <c r="D44" i="74"/>
  <c r="P44" i="74" s="1"/>
  <c r="V44" i="74" s="1"/>
  <c r="D92" i="74"/>
  <c r="P92" i="74" s="1"/>
  <c r="R92" i="74" s="1"/>
  <c r="D88" i="74"/>
  <c r="P88" i="74" s="1"/>
  <c r="D75" i="74"/>
  <c r="P75" i="74" s="1"/>
  <c r="V75" i="74" s="1"/>
  <c r="D101" i="74"/>
  <c r="P101" i="74" s="1"/>
  <c r="D117" i="74"/>
  <c r="D130" i="74"/>
  <c r="P130" i="74" s="1"/>
  <c r="R130" i="74" s="1"/>
  <c r="D141" i="74"/>
  <c r="G165" i="66"/>
  <c r="G21" i="74" s="1"/>
  <c r="C30" i="66"/>
  <c r="C15" i="66"/>
  <c r="P15" i="66" s="1"/>
  <c r="R15" i="66" s="1"/>
  <c r="C43" i="66"/>
  <c r="P43" i="66" s="1"/>
  <c r="V43" i="66" s="1"/>
  <c r="C47" i="66"/>
  <c r="P47" i="66" s="1"/>
  <c r="R47" i="66" s="1"/>
  <c r="C68" i="66"/>
  <c r="C20" i="66"/>
  <c r="C125" i="66"/>
  <c r="P125" i="66" s="1"/>
  <c r="V125" i="66" s="1"/>
  <c r="C36" i="66"/>
  <c r="C92" i="66"/>
  <c r="P92" i="66" s="1"/>
  <c r="R92" i="66" s="1"/>
  <c r="C117" i="66"/>
  <c r="C143" i="66"/>
  <c r="P143" i="66" s="1"/>
  <c r="V143" i="66" s="1"/>
  <c r="C122" i="66"/>
  <c r="C158" i="66"/>
  <c r="P158" i="66" s="1"/>
  <c r="V158" i="66" s="1"/>
  <c r="C145" i="66"/>
  <c r="C135" i="66"/>
  <c r="P135" i="66" s="1"/>
  <c r="R135" i="66" s="1"/>
  <c r="C177" i="66"/>
  <c r="P177" i="66" s="1"/>
  <c r="V177" i="66" s="1"/>
  <c r="C272" i="66"/>
  <c r="C290" i="66"/>
  <c r="C191" i="66"/>
  <c r="P191" i="66" s="1"/>
  <c r="R191" i="66" s="1"/>
  <c r="C215" i="66"/>
  <c r="C253" i="66"/>
  <c r="P253" i="66" s="1"/>
  <c r="R253" i="66" s="1"/>
  <c r="C242" i="66"/>
  <c r="C246" i="66"/>
  <c r="C273" i="66"/>
  <c r="P273" i="66" s="1"/>
  <c r="R273" i="66" s="1"/>
  <c r="C291" i="66"/>
  <c r="P291" i="66" s="1"/>
  <c r="R291" i="66" s="1"/>
  <c r="C288" i="66"/>
  <c r="D65" i="74"/>
  <c r="D45" i="74"/>
  <c r="D69" i="74"/>
  <c r="D105" i="74"/>
  <c r="D93" i="74"/>
  <c r="D97" i="74"/>
  <c r="D111" i="74"/>
  <c r="P111" i="74" s="1"/>
  <c r="V111" i="74" s="1"/>
  <c r="D144" i="74"/>
  <c r="D147" i="74"/>
  <c r="P147" i="74" s="1"/>
  <c r="V147" i="74" s="1"/>
  <c r="S103" i="74"/>
  <c r="C103" i="74"/>
  <c r="H6" i="41"/>
  <c r="C40" i="66"/>
  <c r="P40" i="66" s="1"/>
  <c r="R40" i="66" s="1"/>
  <c r="C38" i="66"/>
  <c r="P38" i="66" s="1"/>
  <c r="V38" i="66" s="1"/>
  <c r="C58" i="66"/>
  <c r="C115" i="66"/>
  <c r="P115" i="66" s="1"/>
  <c r="V115" i="66" s="1"/>
  <c r="C136" i="66"/>
  <c r="P136" i="66" s="1"/>
  <c r="C149" i="66"/>
  <c r="P149" i="66" s="1"/>
  <c r="R149" i="66" s="1"/>
  <c r="C152" i="66"/>
  <c r="P152" i="66" s="1"/>
  <c r="R152" i="66" s="1"/>
  <c r="C169" i="66"/>
  <c r="P169" i="66" s="1"/>
  <c r="C167" i="66"/>
  <c r="C165" i="66"/>
  <c r="C201" i="66"/>
  <c r="C248" i="66"/>
  <c r="P248" i="66" s="1"/>
  <c r="V248" i="66" s="1"/>
  <c r="C181" i="66"/>
  <c r="C193" i="66"/>
  <c r="C240" i="66"/>
  <c r="D10" i="74"/>
  <c r="C243" i="66"/>
  <c r="P243" i="66" s="1"/>
  <c r="R243" i="66" s="1"/>
  <c r="C256" i="66"/>
  <c r="C267" i="66"/>
  <c r="P267" i="66" s="1"/>
  <c r="R267" i="66" s="1"/>
  <c r="D6" i="74"/>
  <c r="D15" i="74"/>
  <c r="P15" i="74" s="1"/>
  <c r="V15" i="74" s="1"/>
  <c r="D78" i="74"/>
  <c r="D47" i="74"/>
  <c r="P47" i="74" s="1"/>
  <c r="V47" i="74" s="1"/>
  <c r="D25" i="74"/>
  <c r="P25" i="74" s="1"/>
  <c r="R25" i="74" s="1"/>
  <c r="D115" i="74"/>
  <c r="P115" i="74" s="1"/>
  <c r="R115" i="74" s="1"/>
  <c r="D68" i="74"/>
  <c r="D132" i="74"/>
  <c r="D113" i="74"/>
  <c r="D124" i="74"/>
  <c r="D126" i="74"/>
  <c r="C84" i="66"/>
  <c r="C39" i="66"/>
  <c r="P39" i="66" s="1"/>
  <c r="R39" i="66" s="1"/>
  <c r="C52" i="66"/>
  <c r="P52" i="66" s="1"/>
  <c r="R52" i="66" s="1"/>
  <c r="C50" i="66"/>
  <c r="C74" i="66"/>
  <c r="C127" i="66"/>
  <c r="P127" i="66" s="1"/>
  <c r="R127" i="66" s="1"/>
  <c r="C137" i="66"/>
  <c r="C159" i="66"/>
  <c r="P159" i="66" s="1"/>
  <c r="R159" i="66" s="1"/>
  <c r="C198" i="66"/>
  <c r="C100" i="66"/>
  <c r="P100" i="66" s="1"/>
  <c r="V100" i="66" s="1"/>
  <c r="C213" i="66"/>
  <c r="C171" i="66"/>
  <c r="P171" i="66" s="1"/>
  <c r="V171" i="66" s="1"/>
  <c r="C151" i="66"/>
  <c r="C252" i="66"/>
  <c r="C182" i="66"/>
  <c r="P182" i="66" s="1"/>
  <c r="R182" i="66" s="1"/>
  <c r="C194" i="66"/>
  <c r="C259" i="66"/>
  <c r="P259" i="66" s="1"/>
  <c r="V259" i="66" s="1"/>
  <c r="D19" i="74"/>
  <c r="P19" i="74" s="1"/>
  <c r="V19" i="74" s="1"/>
  <c r="C245" i="66"/>
  <c r="P245" i="66" s="1"/>
  <c r="R245" i="66" s="1"/>
  <c r="C262" i="66"/>
  <c r="P262" i="66" s="1"/>
  <c r="R262" i="66" s="1"/>
  <c r="C275" i="66"/>
  <c r="D56" i="74"/>
  <c r="P56" i="74" s="1"/>
  <c r="V56" i="74" s="1"/>
  <c r="D21" i="74"/>
  <c r="D100" i="74"/>
  <c r="P100" i="74" s="1"/>
  <c r="R100" i="74" s="1"/>
  <c r="D48" i="74"/>
  <c r="D26" i="74"/>
  <c r="D135" i="74"/>
  <c r="P135" i="74" s="1"/>
  <c r="R135" i="74" s="1"/>
  <c r="D85" i="74"/>
  <c r="D59" i="74"/>
  <c r="P59" i="74" s="1"/>
  <c r="R59" i="74" s="1"/>
  <c r="D123" i="74"/>
  <c r="P123" i="74" s="1"/>
  <c r="V123" i="74" s="1"/>
  <c r="D136" i="74"/>
  <c r="P136" i="74" s="1"/>
  <c r="D138" i="74"/>
  <c r="C37" i="66"/>
  <c r="H123" i="41"/>
  <c r="C51" i="66"/>
  <c r="P51" i="66" s="1"/>
  <c r="R51" i="66" s="1"/>
  <c r="C62" i="66"/>
  <c r="P62" i="66" s="1"/>
  <c r="R62" i="66" s="1"/>
  <c r="C81" i="66"/>
  <c r="P81" i="66" s="1"/>
  <c r="V81" i="66" s="1"/>
  <c r="C106" i="66"/>
  <c r="C61" i="66"/>
  <c r="P61" i="66" s="1"/>
  <c r="R61" i="66" s="1"/>
  <c r="C54" i="66"/>
  <c r="C59" i="66"/>
  <c r="P59" i="66" s="1"/>
  <c r="R59" i="66" s="1"/>
  <c r="C77" i="66"/>
  <c r="P77" i="66" s="1"/>
  <c r="V77" i="66" s="1"/>
  <c r="C140" i="66"/>
  <c r="P140" i="66" s="1"/>
  <c r="R140" i="66" s="1"/>
  <c r="C102" i="66"/>
  <c r="C168" i="66"/>
  <c r="P168" i="66" s="1"/>
  <c r="V168" i="66" s="1"/>
  <c r="C206" i="66"/>
  <c r="P206" i="66" s="1"/>
  <c r="V206" i="66" s="1"/>
  <c r="C153" i="66"/>
  <c r="C218" i="66"/>
  <c r="C179" i="66"/>
  <c r="C176" i="66"/>
  <c r="C258" i="66"/>
  <c r="P258" i="66" s="1"/>
  <c r="V258" i="66" s="1"/>
  <c r="C183" i="66"/>
  <c r="P183" i="66" s="1"/>
  <c r="C195" i="66"/>
  <c r="P195" i="66" s="1"/>
  <c r="V195" i="66" s="1"/>
  <c r="C270" i="66"/>
  <c r="D8" i="74"/>
  <c r="P8" i="74" s="1"/>
  <c r="C247" i="66"/>
  <c r="C268" i="66"/>
  <c r="C276" i="66"/>
  <c r="D62" i="74"/>
  <c r="P62" i="74" s="1"/>
  <c r="V62" i="74" s="1"/>
  <c r="D33" i="74"/>
  <c r="P33" i="74" s="1"/>
  <c r="V33" i="74" s="1"/>
  <c r="D104" i="74"/>
  <c r="P104" i="74" s="1"/>
  <c r="V104" i="74" s="1"/>
  <c r="D49" i="74"/>
  <c r="D27" i="74"/>
  <c r="P27" i="74" s="1"/>
  <c r="R27" i="74" s="1"/>
  <c r="D51" i="74"/>
  <c r="P51" i="74" s="1"/>
  <c r="V51" i="74" s="1"/>
  <c r="D89" i="74"/>
  <c r="D71" i="74"/>
  <c r="D109" i="74"/>
  <c r="P109" i="74" s="1"/>
  <c r="R109" i="74" s="1"/>
  <c r="D99" i="74"/>
  <c r="P99" i="74" s="1"/>
  <c r="R99" i="74" s="1"/>
  <c r="D91" i="74"/>
  <c r="P91" i="74" s="1"/>
  <c r="V91" i="74" s="1"/>
  <c r="C156" i="66"/>
  <c r="C160" i="66"/>
  <c r="C244" i="66"/>
  <c r="P244" i="66" s="1"/>
  <c r="R244" i="66" s="1"/>
  <c r="C212" i="66"/>
  <c r="C219" i="66"/>
  <c r="P219" i="66" s="1"/>
  <c r="V219" i="66" s="1"/>
  <c r="C263" i="66"/>
  <c r="C184" i="66"/>
  <c r="P184" i="66" s="1"/>
  <c r="R184" i="66" s="1"/>
  <c r="C202" i="66"/>
  <c r="C205" i="66"/>
  <c r="P205" i="66" s="1"/>
  <c r="V205" i="66" s="1"/>
  <c r="C254" i="66"/>
  <c r="P254" i="66" s="1"/>
  <c r="R254" i="66" s="1"/>
  <c r="C249" i="66"/>
  <c r="D4" i="74"/>
  <c r="P4" i="74" s="1"/>
  <c r="V4" i="74" s="1"/>
  <c r="C277" i="66"/>
  <c r="D74" i="74"/>
  <c r="D34" i="74"/>
  <c r="P34" i="74" s="1"/>
  <c r="V34" i="74" s="1"/>
  <c r="D39" i="74"/>
  <c r="P39" i="74" s="1"/>
  <c r="R39" i="74" s="1"/>
  <c r="D52" i="74"/>
  <c r="P52" i="74" s="1"/>
  <c r="V52" i="74" s="1"/>
  <c r="D80" i="74"/>
  <c r="D58" i="74"/>
  <c r="D98" i="74"/>
  <c r="D77" i="74"/>
  <c r="P77" i="74" s="1"/>
  <c r="R77" i="74" s="1"/>
  <c r="D110" i="74"/>
  <c r="P110" i="74" s="1"/>
  <c r="V110" i="74" s="1"/>
  <c r="D128" i="74"/>
  <c r="D103" i="74"/>
  <c r="J3" i="41"/>
  <c r="C164" i="66"/>
  <c r="C172" i="66"/>
  <c r="C231" i="66"/>
  <c r="P231" i="66" s="1"/>
  <c r="C251" i="66"/>
  <c r="P251" i="66" s="1"/>
  <c r="R251" i="66" s="1"/>
  <c r="C204" i="66"/>
  <c r="C281" i="66"/>
  <c r="C185" i="66"/>
  <c r="C208" i="66"/>
  <c r="C211" i="66"/>
  <c r="P211" i="66" s="1"/>
  <c r="V211" i="66" s="1"/>
  <c r="C260" i="66"/>
  <c r="C255" i="66"/>
  <c r="P255" i="66" s="1"/>
  <c r="V255" i="66" s="1"/>
  <c r="D20" i="74"/>
  <c r="C278" i="66"/>
  <c r="P278" i="66" s="1"/>
  <c r="V278" i="66" s="1"/>
  <c r="D28" i="74"/>
  <c r="D35" i="74"/>
  <c r="D40" i="74"/>
  <c r="P40" i="74" s="1"/>
  <c r="R40" i="74" s="1"/>
  <c r="D60" i="74"/>
  <c r="D83" i="74"/>
  <c r="D70" i="74"/>
  <c r="P70" i="74" s="1"/>
  <c r="R70" i="74" s="1"/>
  <c r="D116" i="74"/>
  <c r="D82" i="74"/>
  <c r="P82" i="74" s="1"/>
  <c r="V82" i="74" s="1"/>
  <c r="D131" i="74"/>
  <c r="D140" i="74"/>
  <c r="P140" i="74" s="1"/>
  <c r="R140" i="74" s="1"/>
  <c r="D107" i="74"/>
  <c r="P107" i="74" s="1"/>
  <c r="V107" i="74" s="1"/>
  <c r="C6" i="66"/>
  <c r="P21" i="18"/>
  <c r="C7" i="17"/>
  <c r="D7" i="17" s="1"/>
  <c r="C225" i="66"/>
  <c r="P225" i="66" s="1"/>
  <c r="V225" i="66" s="1"/>
  <c r="C282" i="66"/>
  <c r="C186" i="66"/>
  <c r="C214" i="66"/>
  <c r="P214" i="66" s="1"/>
  <c r="V214" i="66" s="1"/>
  <c r="C217" i="66"/>
  <c r="P217" i="66" s="1"/>
  <c r="R217" i="66" s="1"/>
  <c r="D5" i="74"/>
  <c r="P5" i="74" s="1"/>
  <c r="R5" i="74" s="1"/>
  <c r="C261" i="66"/>
  <c r="D22" i="74"/>
  <c r="P22" i="74" s="1"/>
  <c r="R22" i="74" s="1"/>
  <c r="D13" i="74"/>
  <c r="P13" i="74" s="1"/>
  <c r="R13" i="74" s="1"/>
  <c r="D29" i="74"/>
  <c r="P29" i="74" s="1"/>
  <c r="V29" i="74" s="1"/>
  <c r="D36" i="74"/>
  <c r="D41" i="74"/>
  <c r="D118" i="74"/>
  <c r="P118" i="74" s="1"/>
  <c r="R118" i="74" s="1"/>
  <c r="D87" i="74"/>
  <c r="P87" i="74" s="1"/>
  <c r="D76" i="74"/>
  <c r="D73" i="74"/>
  <c r="P73" i="74" s="1"/>
  <c r="D86" i="74"/>
  <c r="P86" i="74" s="1"/>
  <c r="R86" i="74" s="1"/>
  <c r="D139" i="74"/>
  <c r="P139" i="74" s="1"/>
  <c r="V139" i="74" s="1"/>
  <c r="D142" i="74"/>
  <c r="D119" i="74"/>
  <c r="C4" i="66"/>
  <c r="P4" i="66" s="1"/>
  <c r="R4" i="66" s="1"/>
  <c r="C14" i="66"/>
  <c r="P14" i="66" s="1"/>
  <c r="C64" i="66"/>
  <c r="C96" i="66"/>
  <c r="C108" i="66"/>
  <c r="C110" i="66"/>
  <c r="P110" i="66" s="1"/>
  <c r="R110" i="66" s="1"/>
  <c r="C33" i="66"/>
  <c r="P33" i="66" s="1"/>
  <c r="V33" i="66" s="1"/>
  <c r="C163" i="66"/>
  <c r="P163" i="66" s="1"/>
  <c r="R163" i="66" s="1"/>
  <c r="C166" i="66"/>
  <c r="P166" i="66" s="1"/>
  <c r="R166" i="66" s="1"/>
  <c r="C148" i="66"/>
  <c r="P148" i="66" s="1"/>
  <c r="R148" i="66" s="1"/>
  <c r="C174" i="66"/>
  <c r="C226" i="66"/>
  <c r="P226" i="66" s="1"/>
  <c r="V226" i="66" s="1"/>
  <c r="C228" i="66"/>
  <c r="C232" i="66"/>
  <c r="P232" i="66" s="1"/>
  <c r="R232" i="66" s="1"/>
  <c r="C283" i="66"/>
  <c r="P283" i="66" s="1"/>
  <c r="V283" i="66" s="1"/>
  <c r="C187" i="66"/>
  <c r="P187" i="66" s="1"/>
  <c r="V187" i="66" s="1"/>
  <c r="C241" i="66"/>
  <c r="C220" i="66"/>
  <c r="D7" i="74"/>
  <c r="C289" i="66"/>
  <c r="D11" i="74"/>
  <c r="P11" i="74" s="1"/>
  <c r="R11" i="74" s="1"/>
  <c r="D55" i="74"/>
  <c r="D30" i="74"/>
  <c r="D37" i="74"/>
  <c r="D42" i="74"/>
  <c r="D64" i="74"/>
  <c r="D127" i="74"/>
  <c r="P127" i="74" s="1"/>
  <c r="R127" i="74" s="1"/>
  <c r="D50" i="74"/>
  <c r="D79" i="74"/>
  <c r="P79" i="74" s="1"/>
  <c r="V79" i="74" s="1"/>
  <c r="D90" i="74"/>
  <c r="D143" i="74"/>
  <c r="P143" i="74" s="1"/>
  <c r="R143" i="74" s="1"/>
  <c r="D145" i="74"/>
  <c r="D125" i="74"/>
  <c r="P125" i="74" s="1"/>
  <c r="R125" i="74" s="1"/>
  <c r="C27" i="66"/>
  <c r="P27" i="66" s="1"/>
  <c r="V27" i="66" s="1"/>
  <c r="C18" i="66"/>
  <c r="P18" i="66" s="1"/>
  <c r="R18" i="66" s="1"/>
  <c r="C11" i="66"/>
  <c r="P11" i="66" s="1"/>
  <c r="R11" i="66" s="1"/>
  <c r="C57" i="66"/>
  <c r="C26" i="66"/>
  <c r="C87" i="66"/>
  <c r="P87" i="66" s="1"/>
  <c r="C93" i="66"/>
  <c r="C99" i="66"/>
  <c r="P99" i="66" s="1"/>
  <c r="R99" i="66" s="1"/>
  <c r="C118" i="66"/>
  <c r="P118" i="66" s="1"/>
  <c r="V118" i="66" s="1"/>
  <c r="C142" i="66"/>
  <c r="C45" i="66"/>
  <c r="C170" i="66"/>
  <c r="C173" i="66"/>
  <c r="P173" i="66" s="1"/>
  <c r="R173" i="66" s="1"/>
  <c r="C200" i="66"/>
  <c r="P200" i="66" s="1"/>
  <c r="R200" i="66" s="1"/>
  <c r="C227" i="66"/>
  <c r="C235" i="66"/>
  <c r="P235" i="66" s="1"/>
  <c r="R235" i="66" s="1"/>
  <c r="C237" i="66"/>
  <c r="C234" i="66"/>
  <c r="C284" i="66"/>
  <c r="P284" i="66" s="1"/>
  <c r="R284" i="66" s="1"/>
  <c r="C188" i="66"/>
  <c r="P188" i="66" s="1"/>
  <c r="V188" i="66" s="1"/>
  <c r="C269" i="66"/>
  <c r="P269" i="66" s="1"/>
  <c r="R269" i="66" s="1"/>
  <c r="C221" i="66"/>
  <c r="P221" i="66" s="1"/>
  <c r="V221" i="66" s="1"/>
  <c r="C224" i="66"/>
  <c r="D14" i="74"/>
  <c r="P14" i="74" s="1"/>
  <c r="R14" i="74" s="1"/>
  <c r="D66" i="74"/>
  <c r="P66" i="74" s="1"/>
  <c r="V66" i="74" s="1"/>
  <c r="C279" i="66"/>
  <c r="P279" i="66" s="1"/>
  <c r="D31" i="74"/>
  <c r="P31" i="74" s="1"/>
  <c r="R31" i="74" s="1"/>
  <c r="D38" i="74"/>
  <c r="P38" i="74" s="1"/>
  <c r="R38" i="74" s="1"/>
  <c r="D43" i="74"/>
  <c r="P43" i="74" s="1"/>
  <c r="V43" i="74" s="1"/>
  <c r="D67" i="74"/>
  <c r="P67" i="74" s="1"/>
  <c r="V67" i="74" s="1"/>
  <c r="D84" i="74"/>
  <c r="D63" i="74"/>
  <c r="P63" i="74" s="1"/>
  <c r="R63" i="74" s="1"/>
  <c r="D94" i="74"/>
  <c r="D96" i="74"/>
  <c r="D134" i="74"/>
  <c r="P134" i="74" s="1"/>
  <c r="R134" i="74" s="1"/>
  <c r="D133" i="74"/>
  <c r="D137" i="74"/>
  <c r="H97" i="41"/>
  <c r="C18" i="34"/>
  <c r="G156" i="66"/>
  <c r="C17" i="63"/>
  <c r="G190" i="66"/>
  <c r="H103" i="41"/>
  <c r="G4" i="66"/>
  <c r="H118" i="41"/>
  <c r="H110" i="41"/>
  <c r="G145" i="74"/>
  <c r="D8" i="34"/>
  <c r="J10" i="41"/>
  <c r="G118" i="74"/>
  <c r="H105" i="41"/>
  <c r="H111" i="41"/>
  <c r="H127" i="41"/>
  <c r="C37" i="63"/>
  <c r="H477" i="58"/>
  <c r="E370" i="38" s="1"/>
  <c r="H139" i="41"/>
  <c r="G96" i="74"/>
  <c r="H107" i="41"/>
  <c r="I8" i="41"/>
  <c r="H124" i="41"/>
  <c r="H114" i="41"/>
  <c r="G38" i="66"/>
  <c r="H106" i="41"/>
  <c r="J7" i="41"/>
  <c r="M54" i="39" s="1"/>
  <c r="E186" i="38" s="1"/>
  <c r="G80" i="74"/>
  <c r="H119" i="41"/>
  <c r="H134" i="41"/>
  <c r="G22" i="74"/>
  <c r="G27" i="74"/>
  <c r="H136" i="41"/>
  <c r="H108" i="41"/>
  <c r="H116" i="41"/>
  <c r="M5" i="41" s="1"/>
  <c r="H121" i="41"/>
  <c r="G154" i="66"/>
  <c r="H477" i="37"/>
  <c r="E197" i="38"/>
  <c r="E202" i="38"/>
  <c r="G148" i="66"/>
  <c r="H138" i="41"/>
  <c r="H115" i="41"/>
  <c r="E196" i="38"/>
  <c r="H120" i="41"/>
  <c r="H140" i="41"/>
  <c r="G10" i="66"/>
  <c r="H122" i="41"/>
  <c r="G28" i="66"/>
  <c r="H104" i="41"/>
  <c r="H131" i="41"/>
  <c r="H98" i="41"/>
  <c r="H102" i="41"/>
  <c r="H117" i="41"/>
  <c r="H132" i="41"/>
  <c r="H33" i="37"/>
  <c r="H77" i="37"/>
  <c r="H73" i="37"/>
  <c r="H17" i="37"/>
  <c r="H57" i="37"/>
  <c r="J472" i="41"/>
  <c r="H37" i="37"/>
  <c r="H41" i="37"/>
  <c r="H81" i="37"/>
  <c r="H65" i="37"/>
  <c r="H89" i="37"/>
  <c r="C22" i="17"/>
  <c r="D22" i="17" s="1"/>
  <c r="H21" i="37"/>
  <c r="H45" i="37"/>
  <c r="G112" i="74"/>
  <c r="H69" i="37"/>
  <c r="H93" i="37"/>
  <c r="H29" i="37"/>
  <c r="H95" i="41"/>
  <c r="H433" i="37"/>
  <c r="H432" i="37"/>
  <c r="H430" i="37"/>
  <c r="H431" i="37"/>
  <c r="E201" i="38"/>
  <c r="H53" i="37"/>
  <c r="H109" i="41"/>
  <c r="H436" i="37"/>
  <c r="H437" i="37"/>
  <c r="H434" i="37"/>
  <c r="H435" i="37"/>
  <c r="C45" i="17"/>
  <c r="H438" i="58"/>
  <c r="G157" i="66" s="1"/>
  <c r="H439" i="58"/>
  <c r="I3" i="58"/>
  <c r="I3" i="37"/>
  <c r="H112" i="41"/>
  <c r="H429" i="37"/>
  <c r="H427" i="37"/>
  <c r="H426" i="37"/>
  <c r="H428" i="37"/>
  <c r="H431" i="58"/>
  <c r="H433" i="58"/>
  <c r="H430" i="58"/>
  <c r="G191" i="66" s="1"/>
  <c r="H432" i="58"/>
  <c r="G182" i="66"/>
  <c r="H427" i="58"/>
  <c r="H429" i="58"/>
  <c r="G173" i="66" s="1"/>
  <c r="H428" i="58"/>
  <c r="H426" i="58"/>
  <c r="G175" i="66" s="1"/>
  <c r="J37" i="9"/>
  <c r="J7" i="9" s="1"/>
  <c r="H436" i="58"/>
  <c r="H437" i="58"/>
  <c r="H435" i="58"/>
  <c r="H434" i="58"/>
  <c r="G177" i="66" s="1"/>
  <c r="C38" i="17"/>
  <c r="H125" i="41"/>
  <c r="H439" i="37"/>
  <c r="H438" i="37"/>
  <c r="H3" i="37"/>
  <c r="H3" i="58"/>
  <c r="L114" i="58"/>
  <c r="K41" i="39"/>
  <c r="E139" i="38" s="1"/>
  <c r="G172" i="66"/>
  <c r="C37" i="17"/>
  <c r="C61" i="26"/>
  <c r="D59" i="26"/>
  <c r="D61" i="26" s="1"/>
  <c r="I7" i="41"/>
  <c r="L54" i="39" s="1"/>
  <c r="E169" i="38" s="1"/>
  <c r="J35" i="9"/>
  <c r="J5" i="9" s="1"/>
  <c r="J6" i="41"/>
  <c r="C57" i="63"/>
  <c r="C284" i="38"/>
  <c r="C296" i="38" s="1"/>
  <c r="C308" i="38" s="1"/>
  <c r="C320" i="38" s="1"/>
  <c r="C290" i="38"/>
  <c r="C302" i="38" s="1"/>
  <c r="C314" i="38" s="1"/>
  <c r="I5" i="41"/>
  <c r="D52" i="39" s="1"/>
  <c r="E116" i="38" s="1"/>
  <c r="H10" i="41"/>
  <c r="J5" i="41"/>
  <c r="E52" i="39" s="1"/>
  <c r="E133" i="38" s="1"/>
  <c r="A13" i="53"/>
  <c r="G176" i="66"/>
  <c r="G32" i="74" s="1"/>
  <c r="G213" i="66"/>
  <c r="G69" i="74" s="1"/>
  <c r="G261" i="66"/>
  <c r="G117" i="74" s="1"/>
  <c r="H7" i="41"/>
  <c r="C54" i="39" s="1"/>
  <c r="E101" i="38" s="1"/>
  <c r="P4" i="18"/>
  <c r="X5" i="20"/>
  <c r="C8" i="17"/>
  <c r="D8" i="17" s="1"/>
  <c r="P2" i="18"/>
  <c r="X3" i="20"/>
  <c r="C6" i="17"/>
  <c r="D6" i="17" s="1"/>
  <c r="R274" i="66"/>
  <c r="V274" i="66"/>
  <c r="R8" i="74"/>
  <c r="V8" i="74"/>
  <c r="C312" i="38"/>
  <c r="E199" i="38"/>
  <c r="C246" i="38"/>
  <c r="G12" i="66"/>
  <c r="H126" i="41"/>
  <c r="C64" i="77" s="1"/>
  <c r="C41" i="39"/>
  <c r="E88" i="38" s="1"/>
  <c r="E4" i="22"/>
  <c r="C22" i="26"/>
  <c r="C238" i="38"/>
  <c r="A22" i="53"/>
  <c r="C240" i="38"/>
  <c r="H472" i="41"/>
  <c r="A18" i="53"/>
  <c r="E6" i="22"/>
  <c r="J9" i="9"/>
  <c r="T9" i="9" s="1"/>
  <c r="E188" i="38"/>
  <c r="C297" i="38"/>
  <c r="E193" i="38"/>
  <c r="E189" i="38"/>
  <c r="E2" i="22"/>
  <c r="C219" i="38"/>
  <c r="D16" i="53" s="1"/>
  <c r="C322" i="38"/>
  <c r="E241" i="38"/>
  <c r="C256" i="38"/>
  <c r="G46" i="66"/>
  <c r="H96" i="41"/>
  <c r="E245" i="38"/>
  <c r="C260" i="38"/>
  <c r="E243" i="38"/>
  <c r="C258" i="38"/>
  <c r="C315" i="38"/>
  <c r="A14" i="53"/>
  <c r="H130" i="41"/>
  <c r="C3" i="63"/>
  <c r="H101" i="41"/>
  <c r="C33" i="63"/>
  <c r="E237" i="38"/>
  <c r="C252" i="38"/>
  <c r="E235" i="38"/>
  <c r="C250" i="38"/>
  <c r="C318" i="38"/>
  <c r="H99" i="41"/>
  <c r="R189" i="38"/>
  <c r="C242" i="38"/>
  <c r="E12" i="53"/>
  <c r="E190" i="38"/>
  <c r="E247" i="38"/>
  <c r="C262" i="38"/>
  <c r="E200" i="38"/>
  <c r="C233" i="38"/>
  <c r="F8" i="76"/>
  <c r="I472" i="41"/>
  <c r="A21" i="53"/>
  <c r="C316" i="38"/>
  <c r="C236" i="38"/>
  <c r="E194" i="38"/>
  <c r="H128" i="41"/>
  <c r="H100" i="41"/>
  <c r="C244" i="38"/>
  <c r="E198" i="38"/>
  <c r="E191" i="38"/>
  <c r="E239" i="38"/>
  <c r="C254" i="38"/>
  <c r="H133" i="41"/>
  <c r="E192" i="38"/>
  <c r="E195" i="38"/>
  <c r="C62" i="77" l="1"/>
  <c r="C63" i="77"/>
  <c r="C65" i="77"/>
  <c r="T7" i="9"/>
  <c r="I14" i="9"/>
  <c r="R79" i="66"/>
  <c r="R51" i="74"/>
  <c r="R104" i="74"/>
  <c r="R123" i="74"/>
  <c r="R147" i="74"/>
  <c r="V81" i="74"/>
  <c r="V99" i="74"/>
  <c r="C55" i="39"/>
  <c r="E102" i="38" s="1"/>
  <c r="H469" i="37" s="1"/>
  <c r="R157" i="66"/>
  <c r="V210" i="66"/>
  <c r="C20" i="34"/>
  <c r="C21" i="34" s="1"/>
  <c r="R143" i="66"/>
  <c r="R130" i="66"/>
  <c r="V44" i="66"/>
  <c r="R129" i="74"/>
  <c r="V273" i="66"/>
  <c r="V72" i="74"/>
  <c r="R265" i="66"/>
  <c r="V223" i="66"/>
  <c r="V29" i="66"/>
  <c r="E55" i="39"/>
  <c r="E136" i="38" s="1"/>
  <c r="J469" i="37" s="1"/>
  <c r="R129" i="66"/>
  <c r="V178" i="66"/>
  <c r="R121" i="74"/>
  <c r="R15" i="74"/>
  <c r="R139" i="66"/>
  <c r="V110" i="66"/>
  <c r="R87" i="74"/>
  <c r="V287" i="66"/>
  <c r="R56" i="66"/>
  <c r="R120" i="74"/>
  <c r="V75" i="66"/>
  <c r="V291" i="66"/>
  <c r="R88" i="66"/>
  <c r="R5" i="66"/>
  <c r="V147" i="66"/>
  <c r="R216" i="66"/>
  <c r="V243" i="66"/>
  <c r="R75" i="74"/>
  <c r="R8" i="66"/>
  <c r="D15" i="53"/>
  <c r="I103" i="74"/>
  <c r="R118" i="66"/>
  <c r="V269" i="66"/>
  <c r="R114" i="74"/>
  <c r="V86" i="74"/>
  <c r="R158" i="66"/>
  <c r="V70" i="74"/>
  <c r="L55" i="39"/>
  <c r="E170" i="38" s="1"/>
  <c r="I469" i="58" s="1"/>
  <c r="I469" i="41" s="1"/>
  <c r="R73" i="74"/>
  <c r="V134" i="74"/>
  <c r="R95" i="66"/>
  <c r="R280" i="66"/>
  <c r="V163" i="66"/>
  <c r="R82" i="66"/>
  <c r="R214" i="66"/>
  <c r="V22" i="66"/>
  <c r="R195" i="66"/>
  <c r="C52" i="39"/>
  <c r="E99" i="38" s="1"/>
  <c r="D6" i="53" s="1"/>
  <c r="F6" i="53" s="1"/>
  <c r="V61" i="74"/>
  <c r="V19" i="66"/>
  <c r="V264" i="66"/>
  <c r="V24" i="66"/>
  <c r="V143" i="74"/>
  <c r="R183" i="66"/>
  <c r="V92" i="74"/>
  <c r="R255" i="66"/>
  <c r="R271" i="66"/>
  <c r="R25" i="66"/>
  <c r="V140" i="74"/>
  <c r="R91" i="74"/>
  <c r="R197" i="66"/>
  <c r="V72" i="66"/>
  <c r="V196" i="66"/>
  <c r="V22" i="74"/>
  <c r="D5" i="53"/>
  <c r="R4" i="74"/>
  <c r="R168" i="66"/>
  <c r="R226" i="66"/>
  <c r="R219" i="66"/>
  <c r="V175" i="66"/>
  <c r="V114" i="66"/>
  <c r="R109" i="66"/>
  <c r="V70" i="66"/>
  <c r="R43" i="66"/>
  <c r="V34" i="66"/>
  <c r="R230" i="66"/>
  <c r="R139" i="74"/>
  <c r="V99" i="66"/>
  <c r="V251" i="66"/>
  <c r="V118" i="74"/>
  <c r="V11" i="66"/>
  <c r="V62" i="66"/>
  <c r="R67" i="74"/>
  <c r="R239" i="66"/>
  <c r="R283" i="66"/>
  <c r="R236" i="66"/>
  <c r="V155" i="66"/>
  <c r="R81" i="66"/>
  <c r="R120" i="66"/>
  <c r="V92" i="66"/>
  <c r="V253" i="66"/>
  <c r="R31" i="66"/>
  <c r="V127" i="66"/>
  <c r="V104" i="66"/>
  <c r="V166" i="66"/>
  <c r="V14" i="74"/>
  <c r="V125" i="74"/>
  <c r="R77" i="66"/>
  <c r="V66" i="66"/>
  <c r="V15" i="66"/>
  <c r="V11" i="74"/>
  <c r="R205" i="66"/>
  <c r="V109" i="74"/>
  <c r="V77" i="74"/>
  <c r="R19" i="74"/>
  <c r="V140" i="66"/>
  <c r="R248" i="66"/>
  <c r="R121" i="66"/>
  <c r="V254" i="66"/>
  <c r="V148" i="66"/>
  <c r="R110" i="74"/>
  <c r="R136" i="74"/>
  <c r="V159" i="66"/>
  <c r="R44" i="74"/>
  <c r="V18" i="66"/>
  <c r="R177" i="66"/>
  <c r="R66" i="74"/>
  <c r="R82" i="74"/>
  <c r="R162" i="66"/>
  <c r="R211" i="66"/>
  <c r="R27" i="66"/>
  <c r="V200" i="66"/>
  <c r="V115" i="74"/>
  <c r="V262" i="66"/>
  <c r="V134" i="66"/>
  <c r="V95" i="74"/>
  <c r="V173" i="66"/>
  <c r="R38" i="66"/>
  <c r="R91" i="66"/>
  <c r="V47" i="66"/>
  <c r="R279" i="66"/>
  <c r="R136" i="66"/>
  <c r="R43" i="74"/>
  <c r="R86" i="66"/>
  <c r="R278" i="66"/>
  <c r="V24" i="74"/>
  <c r="R18" i="74"/>
  <c r="R62" i="74"/>
  <c r="R111" i="66"/>
  <c r="V51" i="66"/>
  <c r="R125" i="66"/>
  <c r="R29" i="74"/>
  <c r="V191" i="66"/>
  <c r="G38" i="74"/>
  <c r="R206" i="66"/>
  <c r="R53" i="74"/>
  <c r="R115" i="66"/>
  <c r="R107" i="74"/>
  <c r="R100" i="66"/>
  <c r="V235" i="66"/>
  <c r="R123" i="66"/>
  <c r="V38" i="74"/>
  <c r="V13" i="74"/>
  <c r="R56" i="74"/>
  <c r="R63" i="66"/>
  <c r="V4" i="66"/>
  <c r="V207" i="66"/>
  <c r="R13" i="66"/>
  <c r="R67" i="66"/>
  <c r="R88" i="74"/>
  <c r="B7" i="39"/>
  <c r="C43" i="39" s="1"/>
  <c r="E92" i="38" s="1"/>
  <c r="H463" i="37" s="1"/>
  <c r="R101" i="74"/>
  <c r="R87" i="66"/>
  <c r="R33" i="74"/>
  <c r="R171" i="66"/>
  <c r="R188" i="66"/>
  <c r="V100" i="74"/>
  <c r="R203" i="66"/>
  <c r="V31" i="74"/>
  <c r="V244" i="66"/>
  <c r="R79" i="74"/>
  <c r="V127" i="74"/>
  <c r="B4" i="39"/>
  <c r="C40" i="39" s="1"/>
  <c r="E87" i="38" s="1"/>
  <c r="H461" i="37" s="1"/>
  <c r="R34" i="74"/>
  <c r="R111" i="74"/>
  <c r="V267" i="66"/>
  <c r="V284" i="66"/>
  <c r="R231" i="66"/>
  <c r="H477" i="41"/>
  <c r="C14" i="39"/>
  <c r="P14" i="39" s="1"/>
  <c r="Q14" i="39" s="1"/>
  <c r="V152" i="66"/>
  <c r="R187" i="66"/>
  <c r="E352" i="38"/>
  <c r="R47" i="74"/>
  <c r="G4" i="74"/>
  <c r="R33" i="66"/>
  <c r="R107" i="66"/>
  <c r="V63" i="74"/>
  <c r="R225" i="66"/>
  <c r="R258" i="66"/>
  <c r="V61" i="66"/>
  <c r="V59" i="74"/>
  <c r="R169" i="66"/>
  <c r="R14" i="66"/>
  <c r="V14" i="66"/>
  <c r="D3" i="53"/>
  <c r="R259" i="66"/>
  <c r="V52" i="66"/>
  <c r="R221" i="66"/>
  <c r="V59" i="66"/>
  <c r="G52" i="20"/>
  <c r="M52" i="39"/>
  <c r="E184" i="38" s="1"/>
  <c r="J470" i="58" s="1"/>
  <c r="D4" i="53"/>
  <c r="V130" i="74"/>
  <c r="B3" i="39"/>
  <c r="C39" i="39" s="1"/>
  <c r="E86" i="38" s="1"/>
  <c r="V27" i="74"/>
  <c r="V182" i="66"/>
  <c r="R52" i="74"/>
  <c r="H439" i="41"/>
  <c r="M4" i="41"/>
  <c r="G28" i="74"/>
  <c r="G10" i="74"/>
  <c r="E54" i="39"/>
  <c r="E135" i="38" s="1"/>
  <c r="J468" i="37" s="1"/>
  <c r="G187" i="66"/>
  <c r="M6" i="41"/>
  <c r="G167" i="66"/>
  <c r="H468" i="37"/>
  <c r="I468" i="58"/>
  <c r="I470" i="37"/>
  <c r="M39" i="9" a="1"/>
  <c r="M39" i="9" s="1"/>
  <c r="E66" i="22" s="1"/>
  <c r="K36" i="9"/>
  <c r="M46" i="20" s="1"/>
  <c r="L36" i="9"/>
  <c r="E46" i="20" s="1"/>
  <c r="N35" i="9" a="1"/>
  <c r="N35" i="9" s="1"/>
  <c r="L38" i="9"/>
  <c r="K38" i="9"/>
  <c r="N37" i="9" a="1"/>
  <c r="N37" i="9" s="1"/>
  <c r="E69" i="22" s="1"/>
  <c r="Q37" i="9" a="1"/>
  <c r="Q37" i="9" s="1"/>
  <c r="E84" i="22" s="1"/>
  <c r="N39" i="9" a="1"/>
  <c r="N39" i="9" s="1"/>
  <c r="E71" i="22" s="1"/>
  <c r="Q39" i="9" a="1"/>
  <c r="Q39" i="9" s="1"/>
  <c r="E86" i="22" s="1"/>
  <c r="R39" i="9" a="1"/>
  <c r="R39" i="9" s="1"/>
  <c r="E91" i="22" s="1"/>
  <c r="R35" i="9" a="1"/>
  <c r="R35" i="9" s="1"/>
  <c r="O39" i="9" a="1"/>
  <c r="O39" i="9" s="1"/>
  <c r="E76" i="22" s="1"/>
  <c r="O37" i="9" a="1"/>
  <c r="O37" i="9" s="1"/>
  <c r="E74" i="22" s="1"/>
  <c r="Q35" i="9" a="1"/>
  <c r="Q35" i="9" s="1"/>
  <c r="O35" i="9" a="1"/>
  <c r="O35" i="9" s="1"/>
  <c r="R37" i="9" a="1"/>
  <c r="R37" i="9" s="1"/>
  <c r="E89" i="22" s="1"/>
  <c r="P39" i="9" a="1"/>
  <c r="P39" i="9" s="1"/>
  <c r="E81" i="22" s="1"/>
  <c r="J470" i="37"/>
  <c r="G189" i="66"/>
  <c r="H462" i="58"/>
  <c r="H3" i="41"/>
  <c r="G45" i="66"/>
  <c r="C43" i="17"/>
  <c r="L28" i="9"/>
  <c r="K28" i="9"/>
  <c r="L52" i="39"/>
  <c r="E167" i="38" s="1"/>
  <c r="I3" i="41"/>
  <c r="D54" i="39"/>
  <c r="E118" i="38" s="1"/>
  <c r="H435" i="41"/>
  <c r="C42" i="17"/>
  <c r="K54" i="39"/>
  <c r="E152" i="38" s="1"/>
  <c r="G188" i="66"/>
  <c r="G33" i="66"/>
  <c r="G33" i="74" s="1"/>
  <c r="H434" i="41"/>
  <c r="H431" i="41"/>
  <c r="G13" i="66"/>
  <c r="G13" i="74" s="1"/>
  <c r="H438" i="41"/>
  <c r="E49" i="22"/>
  <c r="P37" i="9" a="1"/>
  <c r="P37" i="9" s="1"/>
  <c r="E79" i="22" s="1"/>
  <c r="M37" i="9" a="1"/>
  <c r="M37" i="9" s="1"/>
  <c r="F22" i="26"/>
  <c r="H428" i="41"/>
  <c r="G23" i="66"/>
  <c r="C36" i="17"/>
  <c r="E36" i="17" s="1"/>
  <c r="H437" i="41"/>
  <c r="H430" i="41"/>
  <c r="G47" i="66"/>
  <c r="G47" i="74" s="1"/>
  <c r="H426" i="41"/>
  <c r="G31" i="66"/>
  <c r="G31" i="74" s="1"/>
  <c r="H436" i="41"/>
  <c r="H432" i="41"/>
  <c r="G44" i="66"/>
  <c r="A19" i="53"/>
  <c r="H427" i="41"/>
  <c r="C32" i="17"/>
  <c r="C44" i="17"/>
  <c r="C33" i="17"/>
  <c r="H433" i="41"/>
  <c r="G43" i="66"/>
  <c r="M41" i="20"/>
  <c r="C41" i="17"/>
  <c r="G29" i="66"/>
  <c r="G29" i="74" s="1"/>
  <c r="H429" i="41"/>
  <c r="C39" i="17"/>
  <c r="C35" i="17"/>
  <c r="C23" i="17"/>
  <c r="D23" i="17" s="1"/>
  <c r="E47" i="22"/>
  <c r="M35" i="9" a="1"/>
  <c r="M35" i="9" s="1"/>
  <c r="P35" i="9" a="1"/>
  <c r="P35" i="9" s="1"/>
  <c r="C34" i="17"/>
  <c r="C40" i="17"/>
  <c r="C326" i="38"/>
  <c r="C330" i="38"/>
  <c r="C334" i="38"/>
  <c r="D18" i="53"/>
  <c r="A24" i="53"/>
  <c r="E18" i="53"/>
  <c r="E246" i="38"/>
  <c r="C261" i="38"/>
  <c r="G51" i="20"/>
  <c r="C265" i="38"/>
  <c r="H470" i="58"/>
  <c r="A28" i="53"/>
  <c r="C277" i="38"/>
  <c r="H469" i="58"/>
  <c r="G53" i="20"/>
  <c r="E242" i="38"/>
  <c r="C257" i="38"/>
  <c r="C273" i="38"/>
  <c r="C234" i="38"/>
  <c r="D29" i="53"/>
  <c r="A27" i="53"/>
  <c r="F10" i="76"/>
  <c r="D17" i="53"/>
  <c r="C328" i="38"/>
  <c r="C259" i="38"/>
  <c r="E244" i="38"/>
  <c r="C332" i="38"/>
  <c r="C267" i="38"/>
  <c r="C275" i="38"/>
  <c r="C324" i="38"/>
  <c r="C327" i="38"/>
  <c r="C309" i="38"/>
  <c r="T5" i="9"/>
  <c r="C269" i="38"/>
  <c r="C251" i="38"/>
  <c r="E236" i="38"/>
  <c r="E233" i="38"/>
  <c r="C248" i="38"/>
  <c r="G46" i="74"/>
  <c r="C271" i="38"/>
  <c r="D22" i="26"/>
  <c r="D188" i="72" a="1"/>
  <c r="D188" i="72" s="1"/>
  <c r="D126" i="72" a="1"/>
  <c r="D126" i="72" s="1"/>
  <c r="D250" i="72" a="1"/>
  <c r="D250" i="72" s="1"/>
  <c r="D251" i="72" s="1" a="1"/>
  <c r="D251" i="72" s="1"/>
  <c r="D64" i="72" a="1"/>
  <c r="D64" i="72" s="1"/>
  <c r="D2" i="72" a="1"/>
  <c r="D2" i="72" s="1"/>
  <c r="B49" i="26"/>
  <c r="G185" i="35"/>
  <c r="D127" i="72" a="1"/>
  <c r="D127" i="72" s="1"/>
  <c r="D128" i="72" s="1" a="1"/>
  <c r="D128" i="72" s="1"/>
  <c r="H462" i="37"/>
  <c r="J469" i="58"/>
  <c r="E386" i="38"/>
  <c r="J468" i="58"/>
  <c r="A20" i="53"/>
  <c r="C255" i="38"/>
  <c r="E240" i="38"/>
  <c r="E238" i="38"/>
  <c r="C253" i="38"/>
  <c r="G12" i="74"/>
  <c r="M42" i="20" l="1"/>
  <c r="D44" i="20"/>
  <c r="M36" i="20"/>
  <c r="D33" i="20"/>
  <c r="E37" i="17"/>
  <c r="E45" i="17" s="1"/>
  <c r="M37" i="20"/>
  <c r="E38" i="17"/>
  <c r="E32" i="17" s="1"/>
  <c r="H470" i="37"/>
  <c r="H470" i="41" s="1"/>
  <c r="E45" i="20"/>
  <c r="C13" i="39"/>
  <c r="O13" i="39" s="1"/>
  <c r="H460" i="37"/>
  <c r="D38" i="20"/>
  <c r="M35" i="20"/>
  <c r="M33" i="20"/>
  <c r="E34" i="20"/>
  <c r="N45" i="20"/>
  <c r="E33" i="20"/>
  <c r="D37" i="20"/>
  <c r="M44" i="20"/>
  <c r="D46" i="20"/>
  <c r="E38" i="20"/>
  <c r="O14" i="39"/>
  <c r="H476" i="37"/>
  <c r="E351" i="38" s="1"/>
  <c r="C16" i="39"/>
  <c r="P16" i="39" s="1"/>
  <c r="Q16" i="39" s="1"/>
  <c r="K40" i="39"/>
  <c r="E138" i="38" s="1"/>
  <c r="H460" i="58" s="1"/>
  <c r="H478" i="37"/>
  <c r="E353" i="38" s="1"/>
  <c r="K39" i="39"/>
  <c r="E137" i="38" s="1"/>
  <c r="H458" i="58" s="1"/>
  <c r="H478" i="58"/>
  <c r="E371" i="38" s="1"/>
  <c r="K43" i="39"/>
  <c r="E143" i="38" s="1"/>
  <c r="H463" i="58" s="1"/>
  <c r="H463" i="41" s="1"/>
  <c r="H476" i="58"/>
  <c r="E369" i="38" s="1"/>
  <c r="D39" i="20"/>
  <c r="E41" i="20"/>
  <c r="M45" i="20"/>
  <c r="D43" i="20"/>
  <c r="D35" i="20"/>
  <c r="D41" i="20"/>
  <c r="N40" i="20"/>
  <c r="N46" i="20"/>
  <c r="D36" i="20"/>
  <c r="D42" i="20"/>
  <c r="E44" i="20"/>
  <c r="C12" i="39"/>
  <c r="O12" i="39" s="1"/>
  <c r="H475" i="37"/>
  <c r="E350" i="38" s="1"/>
  <c r="H475" i="58"/>
  <c r="E368" i="38" s="1"/>
  <c r="N41" i="20"/>
  <c r="P33" i="18"/>
  <c r="D52" i="20"/>
  <c r="P24" i="18" s="1"/>
  <c r="N34" i="20"/>
  <c r="N33" i="20"/>
  <c r="D25" i="20"/>
  <c r="G25" i="20"/>
  <c r="H177" i="35"/>
  <c r="I118" i="37" s="1"/>
  <c r="H176" i="35"/>
  <c r="I110" i="58" s="1"/>
  <c r="H178" i="35"/>
  <c r="I118" i="58" s="1"/>
  <c r="H175" i="35"/>
  <c r="I110" i="37" s="1"/>
  <c r="N44" i="20"/>
  <c r="E43" i="20"/>
  <c r="E39" i="20"/>
  <c r="N43" i="20"/>
  <c r="E40" i="20"/>
  <c r="N39" i="20"/>
  <c r="C56" i="17"/>
  <c r="N37" i="20"/>
  <c r="N38" i="20"/>
  <c r="N35" i="20"/>
  <c r="E37" i="20"/>
  <c r="E35" i="20"/>
  <c r="G43" i="74"/>
  <c r="M39" i="20"/>
  <c r="D40" i="20"/>
  <c r="M38" i="20"/>
  <c r="M40" i="20"/>
  <c r="D45" i="20"/>
  <c r="M43" i="20"/>
  <c r="M34" i="20"/>
  <c r="D34" i="20"/>
  <c r="G23" i="74"/>
  <c r="H462" i="41"/>
  <c r="H469" i="41"/>
  <c r="G45" i="74"/>
  <c r="I470" i="58"/>
  <c r="I470" i="41" s="1"/>
  <c r="J470" i="41"/>
  <c r="H13" i="37"/>
  <c r="H12" i="37"/>
  <c r="H11" i="37"/>
  <c r="G44" i="74"/>
  <c r="H14" i="37"/>
  <c r="A25" i="53"/>
  <c r="H468" i="58"/>
  <c r="H468" i="41" s="1"/>
  <c r="E55" i="22"/>
  <c r="J38" i="9"/>
  <c r="C46" i="39"/>
  <c r="E91" i="38" s="1"/>
  <c r="K46" i="39"/>
  <c r="E142" i="38" s="1"/>
  <c r="E60" i="22"/>
  <c r="F18" i="53"/>
  <c r="G206" i="35"/>
  <c r="D157" i="72" a="1"/>
  <c r="D157" i="72" s="1"/>
  <c r="D158" i="72" s="1" a="1"/>
  <c r="D158" i="72" s="1"/>
  <c r="E49" i="26"/>
  <c r="H49" i="26" s="1"/>
  <c r="D281" i="72" a="1"/>
  <c r="D281" i="72" s="1"/>
  <c r="D219" i="72" a="1"/>
  <c r="D219" i="72" s="1"/>
  <c r="D33" i="72" a="1"/>
  <c r="D33" i="72" s="1"/>
  <c r="D34" i="72" s="1" a="1"/>
  <c r="D34" i="72" s="1"/>
  <c r="G22" i="26"/>
  <c r="D95" i="72" a="1"/>
  <c r="D95" i="72" s="1"/>
  <c r="F95" i="72" s="1"/>
  <c r="E72" i="22"/>
  <c r="E67" i="22"/>
  <c r="E64" i="22"/>
  <c r="E82" i="22"/>
  <c r="E58" i="22"/>
  <c r="L40" i="9"/>
  <c r="N42" i="20"/>
  <c r="E42" i="20"/>
  <c r="N36" i="20"/>
  <c r="E36" i="20"/>
  <c r="E77" i="22"/>
  <c r="B6" i="39"/>
  <c r="E53" i="22"/>
  <c r="K40" i="9"/>
  <c r="J36" i="9"/>
  <c r="E10" i="22"/>
  <c r="K8" i="9"/>
  <c r="J28" i="9"/>
  <c r="E62" i="22"/>
  <c r="I468" i="37"/>
  <c r="I468" i="41" s="1"/>
  <c r="E15" i="22"/>
  <c r="L8" i="9"/>
  <c r="E87" i="22"/>
  <c r="D252" i="72" a="1"/>
  <c r="D252" i="72" s="1"/>
  <c r="D253" i="72" s="1" a="1"/>
  <c r="D253" i="72" s="1"/>
  <c r="N29" i="9" a="1"/>
  <c r="N29" i="9" s="1"/>
  <c r="O25" i="9" a="1"/>
  <c r="O25" i="9" s="1"/>
  <c r="O5" i="9" s="1"/>
  <c r="N25" i="9" a="1"/>
  <c r="N25" i="9" s="1"/>
  <c r="K26" i="9"/>
  <c r="O29" i="9" a="1"/>
  <c r="O29" i="9" s="1"/>
  <c r="Q27" i="9" a="1"/>
  <c r="Q27" i="9" s="1"/>
  <c r="L26" i="9"/>
  <c r="O27" i="9" a="1"/>
  <c r="O27" i="9" s="1"/>
  <c r="R29" i="9" a="1"/>
  <c r="R29" i="9" s="1"/>
  <c r="R25" i="9" a="1"/>
  <c r="R25" i="9" s="1"/>
  <c r="Q25" i="9" a="1"/>
  <c r="Q25" i="9" s="1"/>
  <c r="R27" i="9" a="1"/>
  <c r="R27" i="9" s="1"/>
  <c r="N27" i="9" a="1"/>
  <c r="N27" i="9" s="1"/>
  <c r="Q29" i="9" a="1"/>
  <c r="Q29" i="9" s="1"/>
  <c r="P25" i="9" a="1"/>
  <c r="P25" i="9" s="1"/>
  <c r="P27" i="9" a="1"/>
  <c r="P27" i="9" s="1"/>
  <c r="M25" i="9" a="1"/>
  <c r="M25" i="9" s="1"/>
  <c r="P29" i="9" a="1"/>
  <c r="P29" i="9" s="1"/>
  <c r="M29" i="9" a="1"/>
  <c r="M29" i="9" s="1"/>
  <c r="M27" i="9" a="1"/>
  <c r="M27" i="9" s="1"/>
  <c r="F64" i="72" s="1"/>
  <c r="C268" i="38"/>
  <c r="G26" i="20"/>
  <c r="D26" i="20"/>
  <c r="H179" i="35"/>
  <c r="H180" i="35"/>
  <c r="H182" i="35"/>
  <c r="H181" i="35"/>
  <c r="C346" i="38"/>
  <c r="H491" i="37"/>
  <c r="H492" i="37"/>
  <c r="H490" i="37"/>
  <c r="C263" i="38"/>
  <c r="C340" i="38"/>
  <c r="D27" i="53"/>
  <c r="A33" i="53"/>
  <c r="P34" i="18"/>
  <c r="D53" i="20"/>
  <c r="P25" i="18" s="1"/>
  <c r="C274" i="38"/>
  <c r="C272" i="38"/>
  <c r="A30" i="53"/>
  <c r="E24" i="53"/>
  <c r="C270" i="38"/>
  <c r="C342" i="38"/>
  <c r="D189" i="72" a="1"/>
  <c r="D189" i="72" s="1"/>
  <c r="C266" i="38"/>
  <c r="C321" i="38"/>
  <c r="D28" i="53"/>
  <c r="A34" i="53"/>
  <c r="C338" i="38"/>
  <c r="C276" i="38"/>
  <c r="D129" i="72" a="1"/>
  <c r="D129" i="72" s="1"/>
  <c r="D130" i="72" s="1" a="1"/>
  <c r="D130" i="72" s="1"/>
  <c r="C339" i="38"/>
  <c r="H12" i="53"/>
  <c r="H458" i="37"/>
  <c r="H459" i="37"/>
  <c r="C336" i="38"/>
  <c r="E234" i="38"/>
  <c r="C249" i="38"/>
  <c r="G24" i="20"/>
  <c r="D24" i="20"/>
  <c r="H172" i="35"/>
  <c r="H174" i="35"/>
  <c r="H171" i="35"/>
  <c r="H173" i="35"/>
  <c r="E22" i="26"/>
  <c r="C49" i="26"/>
  <c r="H185" i="35"/>
  <c r="P32" i="18"/>
  <c r="D51" i="20"/>
  <c r="P23" i="18" s="1"/>
  <c r="J468" i="41"/>
  <c r="A26" i="53"/>
  <c r="D3" i="72" a="1"/>
  <c r="D3" i="72" s="1"/>
  <c r="D65" i="72" a="1"/>
  <c r="D65" i="72" s="1"/>
  <c r="J469" i="41"/>
  <c r="C344" i="38"/>
  <c r="E41" i="17" l="1"/>
  <c r="E39" i="17"/>
  <c r="E42" i="17"/>
  <c r="C15" i="39"/>
  <c r="AA3" i="39" s="1"/>
  <c r="C6" i="39"/>
  <c r="D6" i="39" s="1"/>
  <c r="G339" i="18" a="1"/>
  <c r="G339" i="18" s="1"/>
  <c r="P13" i="39"/>
  <c r="Q13" i="39" s="1"/>
  <c r="H459" i="58"/>
  <c r="H459" i="41" s="1"/>
  <c r="H460" i="41"/>
  <c r="G114" i="35" a="1"/>
  <c r="G114" i="35" s="1"/>
  <c r="G351" i="18" a="1"/>
  <c r="G351" i="18" s="1"/>
  <c r="I351" i="18" s="1"/>
  <c r="G113" i="35" a="1"/>
  <c r="G113" i="35" s="1"/>
  <c r="G111" i="35" a="1"/>
  <c r="G111" i="35" s="1"/>
  <c r="G107" i="35" a="1"/>
  <c r="G107" i="35" s="1"/>
  <c r="G347" i="18" a="1"/>
  <c r="G347" i="18" s="1"/>
  <c r="I347" i="18" s="1"/>
  <c r="G105" i="35" a="1"/>
  <c r="G105" i="35" s="1"/>
  <c r="G101" i="35" a="1"/>
  <c r="G101" i="35" s="1"/>
  <c r="G109" i="35" a="1"/>
  <c r="G109" i="35" s="1"/>
  <c r="G102" i="35" a="1"/>
  <c r="G102" i="35" s="1"/>
  <c r="G108" i="35" a="1"/>
  <c r="G108" i="35" s="1"/>
  <c r="D47" i="20"/>
  <c r="G112" i="35" a="1"/>
  <c r="G112" i="35" s="1"/>
  <c r="G110" i="35" a="1"/>
  <c r="G110" i="35" s="1"/>
  <c r="G345" i="18" a="1"/>
  <c r="G345" i="18" s="1"/>
  <c r="I345" i="18" s="1"/>
  <c r="G348" i="18" a="1"/>
  <c r="G348" i="18" s="1"/>
  <c r="H348" i="18" s="1"/>
  <c r="G346" i="18" a="1"/>
  <c r="G346" i="18" s="1"/>
  <c r="I346" i="18" s="1"/>
  <c r="F250" i="72"/>
  <c r="G106" i="35" a="1"/>
  <c r="G106" i="35" s="1"/>
  <c r="G103" i="35" a="1"/>
  <c r="G103" i="35" s="1"/>
  <c r="G344" i="18" a="1"/>
  <c r="G344" i="18" s="1"/>
  <c r="I344" i="18" s="1"/>
  <c r="G338" i="18" a="1"/>
  <c r="G338" i="18" s="1"/>
  <c r="H338" i="18" s="1"/>
  <c r="H461" i="58"/>
  <c r="H461" i="41" s="1"/>
  <c r="G143" i="35" a="1"/>
  <c r="G143" i="35" s="1"/>
  <c r="G349" i="18" a="1"/>
  <c r="G349" i="18" s="1"/>
  <c r="I349" i="18" s="1"/>
  <c r="G350" i="18" a="1"/>
  <c r="G350" i="18" s="1"/>
  <c r="I350" i="18" s="1"/>
  <c r="P12" i="39"/>
  <c r="Q12" i="39" s="1"/>
  <c r="O16" i="39"/>
  <c r="H478" i="41"/>
  <c r="H475" i="41"/>
  <c r="H476" i="41"/>
  <c r="D96" i="72" a="1"/>
  <c r="D96" i="72" s="1"/>
  <c r="D97" i="72" s="1" a="1"/>
  <c r="D97" i="72" s="1"/>
  <c r="D98" i="72" s="1" a="1"/>
  <c r="D98" i="72" s="1"/>
  <c r="G104" i="35" a="1"/>
  <c r="G104" i="35" s="1"/>
  <c r="G342" i="18" a="1"/>
  <c r="G342" i="18" s="1"/>
  <c r="I342" i="18" s="1"/>
  <c r="G152" i="35" a="1"/>
  <c r="G152" i="35" s="1"/>
  <c r="G341" i="18" a="1"/>
  <c r="G341" i="18" s="1"/>
  <c r="I341" i="18" s="1"/>
  <c r="G340" i="18" a="1"/>
  <c r="G340" i="18" s="1"/>
  <c r="I340" i="18" s="1"/>
  <c r="G343" i="18" a="1"/>
  <c r="G343" i="18" s="1"/>
  <c r="H343" i="18" s="1"/>
  <c r="G467" i="18" a="1"/>
  <c r="G467" i="18" s="1"/>
  <c r="I467" i="18" s="1"/>
  <c r="I109" i="37"/>
  <c r="I111" i="37"/>
  <c r="I113" i="37"/>
  <c r="I115" i="37"/>
  <c r="I112" i="37"/>
  <c r="I114" i="37"/>
  <c r="I116" i="37"/>
  <c r="I124" i="58"/>
  <c r="I122" i="58"/>
  <c r="I123" i="58"/>
  <c r="I117" i="58"/>
  <c r="I121" i="58"/>
  <c r="I120" i="58"/>
  <c r="I119" i="58"/>
  <c r="I116" i="58"/>
  <c r="I114" i="58"/>
  <c r="I112" i="58"/>
  <c r="I111" i="58"/>
  <c r="I109" i="58"/>
  <c r="I113" i="58"/>
  <c r="I115" i="58"/>
  <c r="I124" i="37"/>
  <c r="I123" i="37"/>
  <c r="I119" i="37"/>
  <c r="I121" i="37"/>
  <c r="I120" i="37"/>
  <c r="I117" i="37"/>
  <c r="I122" i="37"/>
  <c r="P15" i="18"/>
  <c r="Y7" i="20"/>
  <c r="P6" i="18"/>
  <c r="Y4" i="20"/>
  <c r="I178" i="35"/>
  <c r="I175" i="35"/>
  <c r="I177" i="35"/>
  <c r="I176" i="35"/>
  <c r="E25" i="20"/>
  <c r="H25" i="20"/>
  <c r="H52" i="20"/>
  <c r="G391" i="18" a="1"/>
  <c r="G391" i="18" s="1"/>
  <c r="H391" i="18" s="1"/>
  <c r="G432" i="18" a="1"/>
  <c r="G432" i="18" s="1"/>
  <c r="I432" i="18" s="1"/>
  <c r="G386" i="18" a="1"/>
  <c r="G386" i="18" s="1"/>
  <c r="I386" i="18" s="1"/>
  <c r="G388" i="18" a="1"/>
  <c r="G388" i="18" s="1"/>
  <c r="H388" i="18" s="1"/>
  <c r="G146" i="35" a="1"/>
  <c r="G146" i="35" s="1"/>
  <c r="G156" i="35" a="1"/>
  <c r="G156" i="35" s="1"/>
  <c r="G382" i="18" a="1"/>
  <c r="G382" i="18" s="1"/>
  <c r="G155" i="35" a="1"/>
  <c r="G155" i="35" s="1"/>
  <c r="G393" i="18" a="1"/>
  <c r="G393" i="18" s="1"/>
  <c r="H393" i="18" s="1"/>
  <c r="F188" i="72"/>
  <c r="G476" i="18" a="1"/>
  <c r="G476" i="18" s="1"/>
  <c r="I476" i="18" s="1"/>
  <c r="G150" i="35" a="1"/>
  <c r="G150" i="35" s="1"/>
  <c r="M47" i="20"/>
  <c r="G151" i="35" a="1"/>
  <c r="G151" i="35" s="1"/>
  <c r="G153" i="35" a="1"/>
  <c r="G153" i="35" s="1"/>
  <c r="F126" i="72"/>
  <c r="H24" i="53"/>
  <c r="G154" i="35" a="1"/>
  <c r="G154" i="35" s="1"/>
  <c r="G380" i="18" a="1"/>
  <c r="G380" i="18" s="1"/>
  <c r="H380" i="18" s="1"/>
  <c r="G147" i="35" a="1"/>
  <c r="G147" i="35" s="1"/>
  <c r="G381" i="18" a="1"/>
  <c r="G381" i="18" s="1"/>
  <c r="H381" i="18" s="1"/>
  <c r="G385" i="18" a="1"/>
  <c r="G385" i="18" s="1"/>
  <c r="H385" i="18" s="1"/>
  <c r="F2" i="72"/>
  <c r="G383" i="18" a="1"/>
  <c r="G383" i="18" s="1"/>
  <c r="I383" i="18" s="1"/>
  <c r="G422" i="18" a="1"/>
  <c r="G422" i="18" s="1"/>
  <c r="H422" i="18" s="1"/>
  <c r="G384" i="18" a="1"/>
  <c r="G384" i="18" s="1"/>
  <c r="I384" i="18" s="1"/>
  <c r="G144" i="35" a="1"/>
  <c r="G144" i="35" s="1"/>
  <c r="G387" i="18" a="1"/>
  <c r="G387" i="18" s="1"/>
  <c r="H387" i="18" s="1"/>
  <c r="G425" i="18" a="1"/>
  <c r="G425" i="18" s="1"/>
  <c r="I425" i="18" s="1"/>
  <c r="G390" i="18" a="1"/>
  <c r="G390" i="18" s="1"/>
  <c r="I390" i="18" s="1"/>
  <c r="G389" i="18" a="1"/>
  <c r="G389" i="18" s="1"/>
  <c r="I389" i="18" s="1"/>
  <c r="G149" i="35" a="1"/>
  <c r="G149" i="35" s="1"/>
  <c r="G145" i="35" a="1"/>
  <c r="G145" i="35" s="1"/>
  <c r="G148" i="35" a="1"/>
  <c r="G148" i="35" s="1"/>
  <c r="G392" i="18" a="1"/>
  <c r="G392" i="18" s="1"/>
  <c r="I392" i="18" s="1"/>
  <c r="D254" i="72" a="1"/>
  <c r="D254" i="72" s="1"/>
  <c r="D255" i="72" s="1" a="1"/>
  <c r="D255" i="72" s="1"/>
  <c r="D256" i="72" s="1" a="1"/>
  <c r="D256" i="72" s="1"/>
  <c r="D257" i="72" s="1" a="1"/>
  <c r="D257" i="72" s="1"/>
  <c r="D258" i="72" s="1" a="1"/>
  <c r="D258" i="72" s="1"/>
  <c r="I97" i="37"/>
  <c r="I100" i="37"/>
  <c r="I98" i="37"/>
  <c r="I99" i="37"/>
  <c r="I101" i="37"/>
  <c r="I95" i="37"/>
  <c r="I96" i="37"/>
  <c r="E44" i="22"/>
  <c r="R7" i="9"/>
  <c r="H52" i="37"/>
  <c r="G165" i="35" a="1"/>
  <c r="G165" i="35" s="1"/>
  <c r="G169" i="35" a="1"/>
  <c r="G169" i="35" s="1"/>
  <c r="G126" i="35" a="1"/>
  <c r="G126" i="35" s="1"/>
  <c r="G428" i="18" a="1"/>
  <c r="G428" i="18" s="1"/>
  <c r="G118" i="35" a="1"/>
  <c r="G118" i="35" s="1"/>
  <c r="H44" i="37"/>
  <c r="A31" i="53"/>
  <c r="I104" i="58"/>
  <c r="I105" i="58"/>
  <c r="I106" i="58"/>
  <c r="I107" i="58"/>
  <c r="I102" i="58"/>
  <c r="I103" i="58"/>
  <c r="I108" i="58"/>
  <c r="D131" i="72" a="1"/>
  <c r="D131" i="72" s="1"/>
  <c r="D132" i="72" s="1" a="1"/>
  <c r="D132" i="72" s="1"/>
  <c r="E37" i="22"/>
  <c r="Q5" i="9"/>
  <c r="H64" i="37"/>
  <c r="H76" i="37"/>
  <c r="H88" i="37"/>
  <c r="G471" i="18" a="1"/>
  <c r="G471" i="18" s="1"/>
  <c r="G475" i="18" a="1"/>
  <c r="G475" i="18" s="1"/>
  <c r="G123" i="35" a="1"/>
  <c r="G123" i="35" s="1"/>
  <c r="G430" i="18" a="1"/>
  <c r="G430" i="18" s="1"/>
  <c r="G423" i="18" a="1"/>
  <c r="G423" i="18" s="1"/>
  <c r="H467" i="58"/>
  <c r="E50" i="22"/>
  <c r="M38" i="9" a="1"/>
  <c r="M38" i="9" s="1"/>
  <c r="E65" i="22" s="1"/>
  <c r="P38" i="9" a="1"/>
  <c r="P38" i="9" s="1"/>
  <c r="E80" i="22" s="1"/>
  <c r="C8" i="63"/>
  <c r="H72" i="37"/>
  <c r="I98" i="58"/>
  <c r="I99" i="58"/>
  <c r="I100" i="58"/>
  <c r="I96" i="58"/>
  <c r="I95" i="58"/>
  <c r="I97" i="58"/>
  <c r="I101" i="58"/>
  <c r="E42" i="22"/>
  <c r="R5" i="9"/>
  <c r="H48" i="37"/>
  <c r="G160" i="35" a="1"/>
  <c r="G160" i="35" s="1"/>
  <c r="G469" i="18" a="1"/>
  <c r="G469" i="18" s="1"/>
  <c r="F49" i="26"/>
  <c r="I49" i="26" s="1"/>
  <c r="H22" i="26"/>
  <c r="AL126" i="72" s="1"/>
  <c r="H206" i="35"/>
  <c r="G119" i="35" a="1"/>
  <c r="G119" i="35" s="1"/>
  <c r="G120" i="35" a="1"/>
  <c r="G120" i="35" s="1"/>
  <c r="G435" i="18" a="1"/>
  <c r="G435" i="18" s="1"/>
  <c r="H467" i="37"/>
  <c r="E46" i="22"/>
  <c r="R9" i="9"/>
  <c r="E5" i="22"/>
  <c r="M28" i="9" a="1"/>
  <c r="M28" i="9" s="1"/>
  <c r="P28" i="9" a="1"/>
  <c r="P28" i="9" s="1"/>
  <c r="J8" i="9"/>
  <c r="T8" i="9" s="1"/>
  <c r="H20" i="37"/>
  <c r="G473" i="18" a="1"/>
  <c r="G473" i="18" s="1"/>
  <c r="G164" i="35" a="1"/>
  <c r="G164" i="35" s="1"/>
  <c r="G464" i="18" a="1"/>
  <c r="G464" i="18" s="1"/>
  <c r="F281" i="72"/>
  <c r="D282" i="72" a="1"/>
  <c r="D282" i="72" s="1"/>
  <c r="G117" i="35" a="1"/>
  <c r="G117" i="35" s="1"/>
  <c r="G127" i="35" a="1"/>
  <c r="G127" i="35" s="1"/>
  <c r="G122" i="35" a="1"/>
  <c r="G122" i="35" s="1"/>
  <c r="E19" i="22"/>
  <c r="M7" i="9"/>
  <c r="E29" i="22"/>
  <c r="O7" i="9"/>
  <c r="H28" i="37"/>
  <c r="G158" i="35" a="1"/>
  <c r="G158" i="35" s="1"/>
  <c r="G161" i="35" a="1"/>
  <c r="G161" i="35" s="1"/>
  <c r="G168" i="35" a="1"/>
  <c r="G168" i="35" s="1"/>
  <c r="D35" i="72" a="1"/>
  <c r="D35" i="72" s="1"/>
  <c r="F33" i="72"/>
  <c r="G115" i="35" a="1"/>
  <c r="G115" i="35" s="1"/>
  <c r="G128" i="35" a="1"/>
  <c r="G128" i="35" s="1"/>
  <c r="H36" i="37"/>
  <c r="M9" i="9"/>
  <c r="E21" i="22"/>
  <c r="E13" i="22"/>
  <c r="L6" i="9"/>
  <c r="D3" i="9" s="1"/>
  <c r="L30" i="9"/>
  <c r="E12" i="20"/>
  <c r="N12" i="20"/>
  <c r="E17" i="20"/>
  <c r="E18" i="20"/>
  <c r="E19" i="20"/>
  <c r="E15" i="20"/>
  <c r="E10" i="20"/>
  <c r="N14" i="20"/>
  <c r="N16" i="20"/>
  <c r="N8" i="20"/>
  <c r="N19" i="20"/>
  <c r="N10" i="20"/>
  <c r="E6" i="20"/>
  <c r="E14" i="20"/>
  <c r="N15" i="20"/>
  <c r="E8" i="20"/>
  <c r="N13" i="20"/>
  <c r="N6" i="20"/>
  <c r="E16" i="20"/>
  <c r="N11" i="20"/>
  <c r="E11" i="20"/>
  <c r="E13" i="20"/>
  <c r="N9" i="20"/>
  <c r="N17" i="20"/>
  <c r="N7" i="20"/>
  <c r="E9" i="20"/>
  <c r="E7" i="20"/>
  <c r="N18" i="20"/>
  <c r="L42" i="20"/>
  <c r="C46" i="20"/>
  <c r="M36" i="9" a="1"/>
  <c r="M36" i="9" s="1"/>
  <c r="C38" i="20"/>
  <c r="C34" i="20"/>
  <c r="L44" i="20"/>
  <c r="P36" i="9" a="1"/>
  <c r="P36" i="9" s="1"/>
  <c r="E48" i="22"/>
  <c r="C42" i="20"/>
  <c r="L45" i="20"/>
  <c r="L35" i="20"/>
  <c r="L37" i="20"/>
  <c r="C35" i="20"/>
  <c r="C37" i="20"/>
  <c r="J40" i="9"/>
  <c r="C36" i="20"/>
  <c r="L38" i="20"/>
  <c r="L39" i="20"/>
  <c r="C33" i="20"/>
  <c r="L41" i="20"/>
  <c r="L46" i="20"/>
  <c r="L36" i="20"/>
  <c r="C39" i="20"/>
  <c r="L34" i="20"/>
  <c r="L33" i="20"/>
  <c r="C41" i="20"/>
  <c r="C44" i="20"/>
  <c r="C43" i="20"/>
  <c r="C40" i="20"/>
  <c r="C45" i="20"/>
  <c r="L43" i="20"/>
  <c r="L40" i="20"/>
  <c r="G163" i="35" a="1"/>
  <c r="G163" i="35" s="1"/>
  <c r="G472" i="18" a="1"/>
  <c r="G472" i="18" s="1"/>
  <c r="G167" i="35" a="1"/>
  <c r="G167" i="35" s="1"/>
  <c r="G431" i="18" a="1"/>
  <c r="G431" i="18" s="1"/>
  <c r="G125" i="35" a="1"/>
  <c r="G125" i="35" s="1"/>
  <c r="E36" i="22"/>
  <c r="P9" i="9"/>
  <c r="E39" i="22"/>
  <c r="Q7" i="9"/>
  <c r="H56" i="37"/>
  <c r="H92" i="37"/>
  <c r="G162" i="35" a="1"/>
  <c r="G162" i="35" s="1"/>
  <c r="G468" i="18" a="1"/>
  <c r="G468" i="18" s="1"/>
  <c r="G426" i="18" a="1"/>
  <c r="G426" i="18" s="1"/>
  <c r="G427" i="18" a="1"/>
  <c r="G427" i="18" s="1"/>
  <c r="D66" i="72" a="1"/>
  <c r="D66" i="72" s="1"/>
  <c r="I140" i="37"/>
  <c r="I134" i="37"/>
  <c r="I138" i="37"/>
  <c r="I136" i="37"/>
  <c r="I139" i="37"/>
  <c r="I133" i="37"/>
  <c r="I137" i="37"/>
  <c r="I135" i="37"/>
  <c r="E17" i="22"/>
  <c r="M5" i="9"/>
  <c r="E31" i="22"/>
  <c r="O9" i="9"/>
  <c r="H84" i="37"/>
  <c r="N47" i="20"/>
  <c r="G159" i="35" a="1"/>
  <c r="G159" i="35" s="1"/>
  <c r="D220" i="72" a="1"/>
  <c r="D220" i="72" s="1"/>
  <c r="F219" i="72"/>
  <c r="F157" i="72"/>
  <c r="D159" i="72" a="1"/>
  <c r="D159" i="72" s="1"/>
  <c r="G124" i="35" a="1"/>
  <c r="G124" i="35" s="1"/>
  <c r="G429" i="18" a="1"/>
  <c r="G429" i="18" s="1"/>
  <c r="I139" i="58"/>
  <c r="I136" i="58"/>
  <c r="I137" i="58"/>
  <c r="I140" i="58"/>
  <c r="I135" i="58"/>
  <c r="I138" i="58"/>
  <c r="I134" i="58"/>
  <c r="I133" i="58"/>
  <c r="E34" i="22"/>
  <c r="P7" i="9"/>
  <c r="E8" i="22"/>
  <c r="K6" i="9"/>
  <c r="D4" i="9" s="1"/>
  <c r="K30" i="9"/>
  <c r="M19" i="20"/>
  <c r="M8" i="20"/>
  <c r="D8" i="20"/>
  <c r="J26" i="9"/>
  <c r="D19" i="20"/>
  <c r="M6" i="20"/>
  <c r="D14" i="20"/>
  <c r="M17" i="20"/>
  <c r="D17" i="20"/>
  <c r="D6" i="20"/>
  <c r="M15" i="20"/>
  <c r="D12" i="20"/>
  <c r="M13" i="20"/>
  <c r="D15" i="20"/>
  <c r="M12" i="20"/>
  <c r="M10" i="20"/>
  <c r="M18" i="20"/>
  <c r="M7" i="20"/>
  <c r="M11" i="20"/>
  <c r="M16" i="20"/>
  <c r="D10" i="20"/>
  <c r="D18" i="20"/>
  <c r="D7" i="20"/>
  <c r="M14" i="20"/>
  <c r="D11" i="20"/>
  <c r="D9" i="20"/>
  <c r="D13" i="20"/>
  <c r="M9" i="20"/>
  <c r="D16" i="20"/>
  <c r="H68" i="37"/>
  <c r="G166" i="35" a="1"/>
  <c r="G166" i="35" s="1"/>
  <c r="G477" i="18" a="1"/>
  <c r="G477" i="18" s="1"/>
  <c r="H11" i="58"/>
  <c r="H11" i="41" s="1"/>
  <c r="H12" i="58"/>
  <c r="H12" i="41" s="1"/>
  <c r="H14" i="58"/>
  <c r="H13" i="58"/>
  <c r="G434" i="18" a="1"/>
  <c r="G434" i="18" s="1"/>
  <c r="G424" i="18" a="1"/>
  <c r="G424" i="18" s="1"/>
  <c r="G474" i="18" a="1"/>
  <c r="G474" i="18" s="1"/>
  <c r="D4" i="72" a="1"/>
  <c r="D4" i="72" s="1"/>
  <c r="I126" i="58"/>
  <c r="I127" i="58"/>
  <c r="I130" i="58"/>
  <c r="I131" i="58"/>
  <c r="I129" i="58"/>
  <c r="I132" i="58"/>
  <c r="I128" i="58"/>
  <c r="I125" i="58"/>
  <c r="E32" i="22"/>
  <c r="P5" i="9"/>
  <c r="E22" i="22"/>
  <c r="N5" i="9"/>
  <c r="H24" i="37"/>
  <c r="K42" i="39"/>
  <c r="C42" i="39"/>
  <c r="G466" i="18" a="1"/>
  <c r="G466" i="18" s="1"/>
  <c r="G157" i="35" a="1"/>
  <c r="G157" i="35" s="1"/>
  <c r="G433" i="18" a="1"/>
  <c r="G433" i="18" s="1"/>
  <c r="G121" i="35" a="1"/>
  <c r="G121" i="35" s="1"/>
  <c r="I129" i="37"/>
  <c r="I130" i="37"/>
  <c r="I128" i="37"/>
  <c r="I125" i="37"/>
  <c r="I132" i="37"/>
  <c r="I131" i="37"/>
  <c r="I126" i="37"/>
  <c r="I127" i="37"/>
  <c r="E41" i="22"/>
  <c r="Q9" i="9"/>
  <c r="E27" i="22"/>
  <c r="I339" i="18"/>
  <c r="H339" i="18"/>
  <c r="H16" i="37"/>
  <c r="G170" i="35" a="1"/>
  <c r="G170" i="35" s="1"/>
  <c r="G465" i="18" a="1"/>
  <c r="G465" i="18" s="1"/>
  <c r="H60" i="37"/>
  <c r="G116" i="35" a="1"/>
  <c r="G116" i="35" s="1"/>
  <c r="E47" i="20"/>
  <c r="H40" i="37"/>
  <c r="I14" i="37"/>
  <c r="I11" i="37"/>
  <c r="I13" i="37"/>
  <c r="I12" i="37"/>
  <c r="I103" i="37"/>
  <c r="I104" i="37"/>
  <c r="I106" i="37"/>
  <c r="I102" i="37"/>
  <c r="I107" i="37"/>
  <c r="I105" i="37"/>
  <c r="I108" i="37"/>
  <c r="E24" i="22"/>
  <c r="N7" i="9"/>
  <c r="E26" i="22"/>
  <c r="N9" i="9"/>
  <c r="G470" i="18" a="1"/>
  <c r="G470" i="18" s="1"/>
  <c r="H80" i="37"/>
  <c r="H32" i="37"/>
  <c r="D190" i="72" a="1"/>
  <c r="D190" i="72" s="1"/>
  <c r="D191" i="72" s="1" a="1"/>
  <c r="D191" i="72" s="1"/>
  <c r="A32" i="53"/>
  <c r="P5" i="18"/>
  <c r="Y3" i="20"/>
  <c r="P14" i="18"/>
  <c r="Y6" i="20"/>
  <c r="I110" i="41"/>
  <c r="D40" i="39"/>
  <c r="E104" i="38" s="1"/>
  <c r="I476" i="37"/>
  <c r="G76" i="66"/>
  <c r="I172" i="35"/>
  <c r="I174" i="35"/>
  <c r="I171" i="35"/>
  <c r="I173" i="35"/>
  <c r="H24" i="20"/>
  <c r="E24" i="20"/>
  <c r="H51" i="20"/>
  <c r="C264" i="38"/>
  <c r="D22" i="53" s="1"/>
  <c r="L40" i="39"/>
  <c r="E155" i="38" s="1"/>
  <c r="I476" i="58"/>
  <c r="E375" i="38" s="1"/>
  <c r="G220" i="66"/>
  <c r="I118" i="41"/>
  <c r="A36" i="53"/>
  <c r="D30" i="53"/>
  <c r="E30" i="53"/>
  <c r="C10" i="63"/>
  <c r="P7" i="18"/>
  <c r="Y5" i="20"/>
  <c r="D49" i="26"/>
  <c r="I185" i="35"/>
  <c r="C348" i="38"/>
  <c r="H458" i="41"/>
  <c r="G18" i="66"/>
  <c r="Y8" i="20"/>
  <c r="P16" i="18"/>
  <c r="C333" i="38"/>
  <c r="G9" i="66"/>
  <c r="C44" i="39"/>
  <c r="E93" i="38" s="1"/>
  <c r="I179" i="35"/>
  <c r="I181" i="35"/>
  <c r="I180" i="35"/>
  <c r="I182" i="35"/>
  <c r="E26" i="20"/>
  <c r="H26" i="20"/>
  <c r="H53" i="20"/>
  <c r="G11" i="66"/>
  <c r="H345" i="18" l="1"/>
  <c r="O15" i="39"/>
  <c r="P15" i="39"/>
  <c r="Q15" i="39" s="1"/>
  <c r="H351" i="18"/>
  <c r="H349" i="18"/>
  <c r="J349" i="18" s="1"/>
  <c r="H467" i="18"/>
  <c r="J467" i="18" s="1"/>
  <c r="I393" i="18"/>
  <c r="J393" i="18" s="1"/>
  <c r="I385" i="18"/>
  <c r="I348" i="18"/>
  <c r="H392" i="18"/>
  <c r="J392" i="18" s="1"/>
  <c r="I381" i="18"/>
  <c r="F381" i="18" s="1"/>
  <c r="H346" i="18"/>
  <c r="J346" i="18" s="1"/>
  <c r="I391" i="18"/>
  <c r="F391" i="18" s="1"/>
  <c r="H347" i="18"/>
  <c r="J347" i="18" s="1"/>
  <c r="H383" i="18"/>
  <c r="J383" i="18" s="1"/>
  <c r="I422" i="18"/>
  <c r="F422" i="18" s="1"/>
  <c r="K10" i="9"/>
  <c r="I102" i="41"/>
  <c r="I338" i="18"/>
  <c r="J338" i="18" s="1"/>
  <c r="I387" i="18"/>
  <c r="F387" i="18" s="1"/>
  <c r="H342" i="18"/>
  <c r="J342" i="18" s="1"/>
  <c r="I388" i="18"/>
  <c r="J388" i="18" s="1"/>
  <c r="H432" i="18"/>
  <c r="H384" i="18"/>
  <c r="J384" i="18" s="1"/>
  <c r="I103" i="41"/>
  <c r="H344" i="18"/>
  <c r="J344" i="18" s="1"/>
  <c r="H386" i="18"/>
  <c r="J386" i="18" s="1"/>
  <c r="H425" i="18"/>
  <c r="J425" i="18" s="1"/>
  <c r="C40" i="63"/>
  <c r="H390" i="18"/>
  <c r="H340" i="18"/>
  <c r="H350" i="18"/>
  <c r="J350" i="18" s="1"/>
  <c r="I122" i="41"/>
  <c r="H341" i="18"/>
  <c r="J341" i="18" s="1"/>
  <c r="I343" i="18"/>
  <c r="J343" i="18" s="1"/>
  <c r="V7" i="9"/>
  <c r="I107" i="41"/>
  <c r="I121" i="41"/>
  <c r="I120" i="41"/>
  <c r="I105" i="41"/>
  <c r="I104" i="41"/>
  <c r="M114" i="58"/>
  <c r="I111" i="41"/>
  <c r="I123" i="41"/>
  <c r="I115" i="41"/>
  <c r="J122" i="37"/>
  <c r="J123" i="37"/>
  <c r="J119" i="37"/>
  <c r="J121" i="37"/>
  <c r="J120" i="37"/>
  <c r="J117" i="37"/>
  <c r="J124" i="37"/>
  <c r="J118" i="37"/>
  <c r="J111" i="37"/>
  <c r="J112" i="37"/>
  <c r="J116" i="37"/>
  <c r="J113" i="37"/>
  <c r="J109" i="37"/>
  <c r="J114" i="37"/>
  <c r="J115" i="37"/>
  <c r="J110" i="37"/>
  <c r="J123" i="58"/>
  <c r="J119" i="58"/>
  <c r="J117" i="58"/>
  <c r="J120" i="58"/>
  <c r="J122" i="58"/>
  <c r="J121" i="58"/>
  <c r="J124" i="58"/>
  <c r="J118" i="58"/>
  <c r="H389" i="18"/>
  <c r="J389" i="18" s="1"/>
  <c r="I124" i="41"/>
  <c r="I436" i="58"/>
  <c r="I437" i="58"/>
  <c r="I435" i="58"/>
  <c r="I434" i="58"/>
  <c r="G225" i="66" s="1"/>
  <c r="I116" i="41"/>
  <c r="I380" i="18"/>
  <c r="F380" i="18" s="1"/>
  <c r="I114" i="41"/>
  <c r="I429" i="58"/>
  <c r="G221" i="66" s="1"/>
  <c r="G230" i="66"/>
  <c r="I428" i="58"/>
  <c r="I427" i="58"/>
  <c r="G237" i="66" s="1"/>
  <c r="I426" i="58"/>
  <c r="G223" i="66" s="1"/>
  <c r="I427" i="37"/>
  <c r="D42" i="39" s="1"/>
  <c r="E106" i="38" s="1"/>
  <c r="I428" i="37"/>
  <c r="I429" i="37"/>
  <c r="G86" i="66"/>
  <c r="I112" i="41"/>
  <c r="I426" i="37"/>
  <c r="E52" i="20"/>
  <c r="P27" i="18" s="1"/>
  <c r="P36" i="18"/>
  <c r="I117" i="41"/>
  <c r="I113" i="41"/>
  <c r="P18" i="18"/>
  <c r="Z7" i="20"/>
  <c r="P9" i="18"/>
  <c r="I434" i="37"/>
  <c r="I436" i="37"/>
  <c r="I435" i="37"/>
  <c r="I437" i="37"/>
  <c r="I109" i="41"/>
  <c r="J113" i="58"/>
  <c r="J116" i="58"/>
  <c r="J114" i="58"/>
  <c r="J109" i="58"/>
  <c r="J115" i="58"/>
  <c r="J112" i="58"/>
  <c r="J111" i="58"/>
  <c r="J110" i="58"/>
  <c r="I119" i="41"/>
  <c r="I106" i="41"/>
  <c r="G222" i="18" a="1"/>
  <c r="G222" i="18" s="1"/>
  <c r="H222" i="18" s="1"/>
  <c r="H476" i="18"/>
  <c r="J476" i="18" s="1"/>
  <c r="I382" i="18"/>
  <c r="H382" i="18"/>
  <c r="D133" i="72" a="1"/>
  <c r="D133" i="72" s="1"/>
  <c r="D134" i="72" s="1" a="1"/>
  <c r="D134" i="72" s="1"/>
  <c r="D135" i="72" s="1" a="1"/>
  <c r="D135" i="72" s="1"/>
  <c r="E249" i="38"/>
  <c r="I441" i="58" s="1"/>
  <c r="I132" i="41"/>
  <c r="F30" i="53"/>
  <c r="I131" i="41"/>
  <c r="I130" i="41"/>
  <c r="I129" i="41"/>
  <c r="G196" i="66"/>
  <c r="I136" i="41"/>
  <c r="I134" i="41"/>
  <c r="H441" i="58"/>
  <c r="D23" i="53"/>
  <c r="J95" i="37"/>
  <c r="J97" i="37"/>
  <c r="J99" i="37"/>
  <c r="J98" i="37"/>
  <c r="J100" i="37"/>
  <c r="J96" i="37"/>
  <c r="J101" i="37"/>
  <c r="H451" i="37"/>
  <c r="H59" i="37"/>
  <c r="H454" i="58"/>
  <c r="D24" i="53"/>
  <c r="F24" i="53" s="1"/>
  <c r="I439" i="58"/>
  <c r="I438" i="58"/>
  <c r="G205" i="66" s="1"/>
  <c r="J6" i="9"/>
  <c r="E3" i="22"/>
  <c r="M26" i="9" a="1"/>
  <c r="M26" i="9" s="1"/>
  <c r="P26" i="9" a="1"/>
  <c r="P26" i="9" s="1"/>
  <c r="L8" i="20"/>
  <c r="J30" i="9"/>
  <c r="C8" i="20"/>
  <c r="L14" i="20"/>
  <c r="C13" i="20"/>
  <c r="C14" i="20"/>
  <c r="C12" i="20"/>
  <c r="C9" i="20"/>
  <c r="L18" i="20"/>
  <c r="L12" i="20"/>
  <c r="L9" i="20"/>
  <c r="C18" i="20"/>
  <c r="C15" i="20"/>
  <c r="C17" i="20"/>
  <c r="L6" i="20"/>
  <c r="L15" i="20"/>
  <c r="C19" i="20"/>
  <c r="L17" i="20"/>
  <c r="C6" i="20"/>
  <c r="L19" i="20"/>
  <c r="C16" i="20"/>
  <c r="C11" i="20"/>
  <c r="L10" i="20"/>
  <c r="L16" i="20"/>
  <c r="L11" i="20"/>
  <c r="C10" i="20"/>
  <c r="C7" i="20"/>
  <c r="L7" i="20"/>
  <c r="L13" i="20"/>
  <c r="I138" i="41"/>
  <c r="I468" i="18"/>
  <c r="H468" i="18"/>
  <c r="I431" i="18"/>
  <c r="H431" i="18"/>
  <c r="G257" i="18" a="1"/>
  <c r="G257" i="18" s="1"/>
  <c r="G262" i="18" a="1"/>
  <c r="G262" i="18" s="1"/>
  <c r="G260" i="18" a="1"/>
  <c r="G260" i="18" s="1"/>
  <c r="G265" i="18" a="1"/>
  <c r="G265" i="18" s="1"/>
  <c r="G87" i="35" a="1"/>
  <c r="G87" i="35" s="1"/>
  <c r="G94" i="35" a="1"/>
  <c r="G94" i="35" s="1"/>
  <c r="G255" i="18" a="1"/>
  <c r="G255" i="18" s="1"/>
  <c r="G100" i="35" a="1"/>
  <c r="G100" i="35" s="1"/>
  <c r="G90" i="35" a="1"/>
  <c r="G90" i="35" s="1"/>
  <c r="G264" i="18" a="1"/>
  <c r="G264" i="18" s="1"/>
  <c r="G88" i="35" a="1"/>
  <c r="G88" i="35" s="1"/>
  <c r="G254" i="18" a="1"/>
  <c r="G254" i="18" s="1"/>
  <c r="G99" i="35" a="1"/>
  <c r="G99" i="35" s="1"/>
  <c r="G261" i="18" a="1"/>
  <c r="G261" i="18" s="1"/>
  <c r="G256" i="18" a="1"/>
  <c r="G256" i="18" s="1"/>
  <c r="G92" i="35" a="1"/>
  <c r="G92" i="35" s="1"/>
  <c r="G263" i="18" a="1"/>
  <c r="G263" i="18" s="1"/>
  <c r="G96" i="35" a="1"/>
  <c r="G96" i="35" s="1"/>
  <c r="G266" i="18" a="1"/>
  <c r="G266" i="18" s="1"/>
  <c r="G91" i="35" a="1"/>
  <c r="G91" i="35" s="1"/>
  <c r="G93" i="35" a="1"/>
  <c r="G93" i="35" s="1"/>
  <c r="G89" i="35" a="1"/>
  <c r="G89" i="35" s="1"/>
  <c r="G95" i="35" a="1"/>
  <c r="G95" i="35" s="1"/>
  <c r="G98" i="35" a="1"/>
  <c r="G98" i="35" s="1"/>
  <c r="G259" i="18" a="1"/>
  <c r="G259" i="18" s="1"/>
  <c r="G258" i="18" a="1"/>
  <c r="G258" i="18" s="1"/>
  <c r="C47" i="20"/>
  <c r="G97" i="35" a="1"/>
  <c r="G97" i="35" s="1"/>
  <c r="G267" i="18" a="1"/>
  <c r="G267" i="18" s="1"/>
  <c r="E78" i="22"/>
  <c r="P40" i="9"/>
  <c r="F347" i="18"/>
  <c r="H63" i="37"/>
  <c r="E258" i="38"/>
  <c r="E252" i="38"/>
  <c r="E256" i="38"/>
  <c r="E250" i="38"/>
  <c r="E254" i="38"/>
  <c r="E262" i="38"/>
  <c r="E248" i="38"/>
  <c r="E261" i="38"/>
  <c r="E257" i="38"/>
  <c r="E253" i="38"/>
  <c r="E255" i="38"/>
  <c r="E251" i="38"/>
  <c r="H430" i="18"/>
  <c r="I430" i="18"/>
  <c r="H51" i="37"/>
  <c r="D99" i="72" a="1"/>
  <c r="D99" i="72" s="1"/>
  <c r="H75" i="37"/>
  <c r="J135" i="58"/>
  <c r="J140" i="58"/>
  <c r="J137" i="58"/>
  <c r="J138" i="58"/>
  <c r="J136" i="58"/>
  <c r="J139" i="58"/>
  <c r="J134" i="58"/>
  <c r="J133" i="58"/>
  <c r="J108" i="58"/>
  <c r="J105" i="58"/>
  <c r="J106" i="58"/>
  <c r="J102" i="58"/>
  <c r="J104" i="58"/>
  <c r="J103" i="58"/>
  <c r="J107" i="58"/>
  <c r="H453" i="37"/>
  <c r="E89" i="38"/>
  <c r="F392" i="18"/>
  <c r="H443" i="37"/>
  <c r="G224" i="18" a="1"/>
  <c r="G224" i="18" s="1"/>
  <c r="U7" i="9"/>
  <c r="I469" i="18"/>
  <c r="H469" i="18"/>
  <c r="A37" i="53"/>
  <c r="H451" i="58"/>
  <c r="J13" i="37"/>
  <c r="J11" i="37"/>
  <c r="J14" i="37"/>
  <c r="J12" i="37"/>
  <c r="J129" i="58"/>
  <c r="J131" i="58"/>
  <c r="J132" i="58"/>
  <c r="J130" i="58"/>
  <c r="J125" i="58"/>
  <c r="J126" i="58"/>
  <c r="J128" i="58"/>
  <c r="J127" i="58"/>
  <c r="D35" i="53"/>
  <c r="D10" i="53"/>
  <c r="J99" i="58"/>
  <c r="J100" i="58"/>
  <c r="J96" i="58"/>
  <c r="J98" i="58"/>
  <c r="J97" i="58"/>
  <c r="J101" i="58"/>
  <c r="J95" i="58"/>
  <c r="H43" i="37"/>
  <c r="I465" i="18"/>
  <c r="H465" i="18"/>
  <c r="H445" i="37"/>
  <c r="H444" i="58"/>
  <c r="H39" i="37"/>
  <c r="F386" i="18"/>
  <c r="I140" i="41"/>
  <c r="L10" i="9"/>
  <c r="H71" i="37"/>
  <c r="G94" i="66"/>
  <c r="I475" i="37"/>
  <c r="I96" i="41"/>
  <c r="D39" i="39"/>
  <c r="H14" i="41"/>
  <c r="I470" i="18"/>
  <c r="H470" i="18"/>
  <c r="H448" i="37"/>
  <c r="E140" i="38"/>
  <c r="H448" i="58"/>
  <c r="H441" i="37"/>
  <c r="F389" i="18"/>
  <c r="I472" i="18"/>
  <c r="H472" i="18"/>
  <c r="H19" i="37"/>
  <c r="E35" i="22"/>
  <c r="P8" i="9"/>
  <c r="H13" i="41"/>
  <c r="I475" i="18"/>
  <c r="H475" i="18"/>
  <c r="I95" i="41"/>
  <c r="I433" i="37"/>
  <c r="I430" i="37"/>
  <c r="I431" i="37"/>
  <c r="I432" i="37"/>
  <c r="J127" i="37"/>
  <c r="J130" i="37"/>
  <c r="J126" i="37"/>
  <c r="J129" i="37"/>
  <c r="J132" i="37"/>
  <c r="J128" i="37"/>
  <c r="J125" i="37"/>
  <c r="J131" i="37"/>
  <c r="D21" i="53"/>
  <c r="D11" i="53"/>
  <c r="H443" i="58"/>
  <c r="I127" i="41"/>
  <c r="F349" i="18"/>
  <c r="I477" i="18"/>
  <c r="H477" i="18"/>
  <c r="G133" i="18" a="1"/>
  <c r="G133" i="18" s="1"/>
  <c r="H91" i="37"/>
  <c r="F344" i="18"/>
  <c r="E63" i="22"/>
  <c r="M40" i="9"/>
  <c r="F384" i="18"/>
  <c r="E20" i="22"/>
  <c r="M8" i="9"/>
  <c r="H467" i="41"/>
  <c r="I471" i="18"/>
  <c r="H471" i="18"/>
  <c r="C13" i="63"/>
  <c r="I101" i="41"/>
  <c r="F476" i="18"/>
  <c r="J134" i="37"/>
  <c r="J133" i="37"/>
  <c r="J135" i="37"/>
  <c r="J136" i="37"/>
  <c r="J139" i="37"/>
  <c r="J138" i="37"/>
  <c r="J137" i="37"/>
  <c r="J140" i="37"/>
  <c r="H453" i="58"/>
  <c r="F383" i="18"/>
  <c r="I477" i="37"/>
  <c r="G60" i="66"/>
  <c r="I126" i="41"/>
  <c r="D41" i="39"/>
  <c r="E105" i="38" s="1"/>
  <c r="I433" i="18"/>
  <c r="H433" i="18"/>
  <c r="H67" i="37"/>
  <c r="D160" i="72" a="1"/>
  <c r="D160" i="72" s="1"/>
  <c r="U5" i="9"/>
  <c r="F390" i="18"/>
  <c r="J390" i="18"/>
  <c r="U9" i="9"/>
  <c r="H447" i="58"/>
  <c r="H450" i="37"/>
  <c r="I99" i="41"/>
  <c r="E216" i="38"/>
  <c r="E207" i="38"/>
  <c r="E212" i="38"/>
  <c r="E213" i="38"/>
  <c r="E209" i="38"/>
  <c r="E206" i="38"/>
  <c r="E210" i="38"/>
  <c r="E211" i="38"/>
  <c r="E208" i="38"/>
  <c r="E203" i="38"/>
  <c r="E205" i="38"/>
  <c r="E204" i="38"/>
  <c r="E217" i="38"/>
  <c r="D33" i="53"/>
  <c r="F425" i="18"/>
  <c r="H83" i="37"/>
  <c r="H23" i="37"/>
  <c r="G93" i="18" a="1"/>
  <c r="G93" i="18" s="1"/>
  <c r="G86" i="18" a="1"/>
  <c r="G86" i="18" s="1"/>
  <c r="G96" i="18" a="1"/>
  <c r="G96" i="18" s="1"/>
  <c r="G88" i="18" a="1"/>
  <c r="G88" i="18" s="1"/>
  <c r="G98" i="18" a="1"/>
  <c r="G98" i="18" s="1"/>
  <c r="G94" i="18" a="1"/>
  <c r="G94" i="18" s="1"/>
  <c r="G87" i="18" a="1"/>
  <c r="G87" i="18" s="1"/>
  <c r="G99" i="18" a="1"/>
  <c r="G99" i="18" s="1"/>
  <c r="G19" i="35" a="1"/>
  <c r="G19" i="35" s="1"/>
  <c r="D20" i="20"/>
  <c r="G22" i="35" a="1"/>
  <c r="G22" i="35" s="1"/>
  <c r="G27" i="35" a="1"/>
  <c r="G27" i="35" s="1"/>
  <c r="G25" i="35" a="1"/>
  <c r="G25" i="35" s="1"/>
  <c r="G24" i="35" a="1"/>
  <c r="G24" i="35" s="1"/>
  <c r="G28" i="35" a="1"/>
  <c r="G28" i="35" s="1"/>
  <c r="G21" i="35" a="1"/>
  <c r="G21" i="35" s="1"/>
  <c r="G89" i="18" a="1"/>
  <c r="G89" i="18" s="1"/>
  <c r="G18" i="35" a="1"/>
  <c r="G18" i="35" s="1"/>
  <c r="G97" i="18" a="1"/>
  <c r="G97" i="18" s="1"/>
  <c r="G90" i="18" a="1"/>
  <c r="G90" i="18" s="1"/>
  <c r="G29" i="35" a="1"/>
  <c r="G29" i="35" s="1"/>
  <c r="G26" i="35" a="1"/>
  <c r="G26" i="35" s="1"/>
  <c r="G23" i="35" a="1"/>
  <c r="G23" i="35" s="1"/>
  <c r="G92" i="18" a="1"/>
  <c r="G92" i="18" s="1"/>
  <c r="G20" i="35" a="1"/>
  <c r="G20" i="35" s="1"/>
  <c r="G91" i="18" a="1"/>
  <c r="G91" i="18" s="1"/>
  <c r="G17" i="35" a="1"/>
  <c r="G17" i="35" s="1"/>
  <c r="G30" i="35" a="1"/>
  <c r="G30" i="35" s="1"/>
  <c r="H27" i="37"/>
  <c r="G306" i="18" a="1"/>
  <c r="G306" i="18" s="1"/>
  <c r="G299" i="18" a="1"/>
  <c r="G299" i="18" s="1"/>
  <c r="G307" i="18" a="1"/>
  <c r="G307" i="18" s="1"/>
  <c r="G130" i="35" a="1"/>
  <c r="G130" i="35" s="1"/>
  <c r="G140" i="35" a="1"/>
  <c r="G140" i="35" s="1"/>
  <c r="G298" i="18" a="1"/>
  <c r="G298" i="18" s="1"/>
  <c r="G136" i="35" a="1"/>
  <c r="G136" i="35" s="1"/>
  <c r="G303" i="18" a="1"/>
  <c r="G303" i="18" s="1"/>
  <c r="G132" i="35" a="1"/>
  <c r="G132" i="35" s="1"/>
  <c r="L47" i="20"/>
  <c r="G142" i="35" a="1"/>
  <c r="G142" i="35" s="1"/>
  <c r="G296" i="18" a="1"/>
  <c r="G296" i="18" s="1"/>
  <c r="G139" i="35" a="1"/>
  <c r="G139" i="35" s="1"/>
  <c r="G138" i="35" a="1"/>
  <c r="G138" i="35" s="1"/>
  <c r="G297" i="18" a="1"/>
  <c r="G297" i="18" s="1"/>
  <c r="G300" i="18" a="1"/>
  <c r="G300" i="18" s="1"/>
  <c r="G308" i="18" a="1"/>
  <c r="G308" i="18" s="1"/>
  <c r="G131" i="35" a="1"/>
  <c r="G131" i="35" s="1"/>
  <c r="G129" i="35" a="1"/>
  <c r="G129" i="35" s="1"/>
  <c r="G309" i="18" a="1"/>
  <c r="G309" i="18" s="1"/>
  <c r="G305" i="18" a="1"/>
  <c r="G305" i="18" s="1"/>
  <c r="G133" i="35" a="1"/>
  <c r="G133" i="35" s="1"/>
  <c r="G135" i="35" a="1"/>
  <c r="G135" i="35" s="1"/>
  <c r="G137" i="35" a="1"/>
  <c r="G137" i="35" s="1"/>
  <c r="G301" i="18" a="1"/>
  <c r="G301" i="18" s="1"/>
  <c r="G134" i="35" a="1"/>
  <c r="G134" i="35" s="1"/>
  <c r="G141" i="35" a="1"/>
  <c r="G141" i="35" s="1"/>
  <c r="G302" i="18" a="1"/>
  <c r="G302" i="18" s="1"/>
  <c r="G304" i="18" a="1"/>
  <c r="G304" i="18" s="1"/>
  <c r="G219" i="18" a="1"/>
  <c r="G219" i="18" s="1"/>
  <c r="G221" i="18" a="1"/>
  <c r="G221" i="18" s="1"/>
  <c r="G223" i="18" a="1"/>
  <c r="G223" i="18" s="1"/>
  <c r="N20" i="20"/>
  <c r="G84" i="35" a="1"/>
  <c r="G84" i="35" s="1"/>
  <c r="G75" i="35" a="1"/>
  <c r="G75" i="35" s="1"/>
  <c r="G77" i="35" a="1"/>
  <c r="G77" i="35" s="1"/>
  <c r="G220" i="18" a="1"/>
  <c r="G220" i="18" s="1"/>
  <c r="G225" i="18" a="1"/>
  <c r="G225" i="18" s="1"/>
  <c r="G80" i="35" a="1"/>
  <c r="G80" i="35" s="1"/>
  <c r="G85" i="35" a="1"/>
  <c r="G85" i="35" s="1"/>
  <c r="G218" i="18" a="1"/>
  <c r="G218" i="18" s="1"/>
  <c r="G76" i="35" a="1"/>
  <c r="G76" i="35" s="1"/>
  <c r="G81" i="35" a="1"/>
  <c r="G81" i="35" s="1"/>
  <c r="G79" i="35" a="1"/>
  <c r="G79" i="35" s="1"/>
  <c r="G213" i="18" a="1"/>
  <c r="G213" i="18" s="1"/>
  <c r="G86" i="35" a="1"/>
  <c r="G86" i="35" s="1"/>
  <c r="G82" i="35" a="1"/>
  <c r="G82" i="35" s="1"/>
  <c r="G215" i="18" a="1"/>
  <c r="G215" i="18" s="1"/>
  <c r="G78" i="35" a="1"/>
  <c r="G78" i="35" s="1"/>
  <c r="G214" i="18" a="1"/>
  <c r="G214" i="18" s="1"/>
  <c r="G217" i="18" a="1"/>
  <c r="G217" i="18" s="1"/>
  <c r="G74" i="35" a="1"/>
  <c r="G74" i="35" s="1"/>
  <c r="G212" i="18" a="1"/>
  <c r="G212" i="18" s="1"/>
  <c r="G83" i="35" a="1"/>
  <c r="G83" i="35" s="1"/>
  <c r="G216" i="18" a="1"/>
  <c r="G216" i="18" s="1"/>
  <c r="G73" i="35" a="1"/>
  <c r="G73" i="35" s="1"/>
  <c r="D67" i="72" a="1"/>
  <c r="D67" i="72" s="1"/>
  <c r="H440" i="37"/>
  <c r="H446" i="58"/>
  <c r="I435" i="18"/>
  <c r="H435" i="18"/>
  <c r="D5" i="72" a="1"/>
  <c r="D5" i="72" s="1"/>
  <c r="H87" i="37"/>
  <c r="I98" i="41"/>
  <c r="H452" i="37"/>
  <c r="J432" i="18"/>
  <c r="F432" i="18"/>
  <c r="I466" i="18"/>
  <c r="H466" i="18"/>
  <c r="I477" i="58"/>
  <c r="E376" i="38" s="1"/>
  <c r="G204" i="66"/>
  <c r="L41" i="39"/>
  <c r="E156" i="38" s="1"/>
  <c r="D221" i="72" a="1"/>
  <c r="D221" i="72" s="1"/>
  <c r="D222" i="72" s="1" a="1"/>
  <c r="D222" i="72" s="1"/>
  <c r="I135" i="41"/>
  <c r="V9" i="9"/>
  <c r="H35" i="37"/>
  <c r="I464" i="18"/>
  <c r="H464" i="18"/>
  <c r="C43" i="63"/>
  <c r="H449" i="58"/>
  <c r="D192" i="72" a="1"/>
  <c r="D192" i="72" s="1"/>
  <c r="D193" i="72" s="1" a="1"/>
  <c r="D193" i="72" s="1"/>
  <c r="I428" i="18"/>
  <c r="H428" i="18"/>
  <c r="F350" i="18"/>
  <c r="I100" i="41"/>
  <c r="E389" i="38"/>
  <c r="I439" i="37"/>
  <c r="I438" i="37"/>
  <c r="I125" i="41"/>
  <c r="I137" i="41"/>
  <c r="H440" i="58"/>
  <c r="F385" i="18"/>
  <c r="J385" i="18"/>
  <c r="F345" i="18"/>
  <c r="J345" i="18"/>
  <c r="I478" i="58"/>
  <c r="E377" i="38" s="1"/>
  <c r="G202" i="66"/>
  <c r="L43" i="39"/>
  <c r="E160" i="38" s="1"/>
  <c r="G58" i="66"/>
  <c r="I478" i="37"/>
  <c r="I97" i="41"/>
  <c r="D43" i="39"/>
  <c r="E109" i="38" s="1"/>
  <c r="F467" i="18"/>
  <c r="D13" i="39"/>
  <c r="H79" i="37"/>
  <c r="G52" i="66"/>
  <c r="I128" i="41"/>
  <c r="H424" i="18"/>
  <c r="I424" i="18"/>
  <c r="H454" i="37"/>
  <c r="G95" i="18" a="1"/>
  <c r="G95" i="18" s="1"/>
  <c r="I133" i="41"/>
  <c r="I427" i="18"/>
  <c r="H427" i="18"/>
  <c r="H55" i="37"/>
  <c r="G172" i="18" a="1"/>
  <c r="G172" i="18" s="1"/>
  <c r="I473" i="18"/>
  <c r="H473" i="18"/>
  <c r="F348" i="18"/>
  <c r="J348" i="18"/>
  <c r="H446" i="37"/>
  <c r="F340" i="18"/>
  <c r="J340" i="18"/>
  <c r="I431" i="58"/>
  <c r="I430" i="58"/>
  <c r="G239" i="66" s="1"/>
  <c r="I433" i="58"/>
  <c r="I432" i="58"/>
  <c r="H47" i="37"/>
  <c r="F342" i="18"/>
  <c r="H31" i="37"/>
  <c r="H15" i="37"/>
  <c r="V5" i="9"/>
  <c r="I474" i="18"/>
  <c r="H474" i="18"/>
  <c r="H434" i="18"/>
  <c r="I434" i="18"/>
  <c r="H447" i="37"/>
  <c r="F351" i="18"/>
  <c r="J351" i="18"/>
  <c r="G134" i="18" a="1"/>
  <c r="G134" i="18" s="1"/>
  <c r="G129" i="18" a="1"/>
  <c r="G129" i="18" s="1"/>
  <c r="M20" i="20"/>
  <c r="G141" i="18" a="1"/>
  <c r="G141" i="18" s="1"/>
  <c r="G139" i="18" a="1"/>
  <c r="G139" i="18" s="1"/>
  <c r="G128" i="18" a="1"/>
  <c r="G128" i="18" s="1"/>
  <c r="G131" i="18" a="1"/>
  <c r="G131" i="18" s="1"/>
  <c r="G130" i="18" a="1"/>
  <c r="G130" i="18" s="1"/>
  <c r="G138" i="18" a="1"/>
  <c r="G138" i="18" s="1"/>
  <c r="G140" i="18" a="1"/>
  <c r="G140" i="18" s="1"/>
  <c r="G68" i="35" a="1"/>
  <c r="G68" i="35" s="1"/>
  <c r="G62" i="35" a="1"/>
  <c r="G62" i="35" s="1"/>
  <c r="G64" i="35" a="1"/>
  <c r="G64" i="35" s="1"/>
  <c r="G69" i="35" a="1"/>
  <c r="G69" i="35" s="1"/>
  <c r="G67" i="35" a="1"/>
  <c r="G67" i="35" s="1"/>
  <c r="G136" i="18" a="1"/>
  <c r="G136" i="18" s="1"/>
  <c r="G59" i="35" a="1"/>
  <c r="G59" i="35" s="1"/>
  <c r="G71" i="35" a="1"/>
  <c r="G71" i="35" s="1"/>
  <c r="G61" i="35" a="1"/>
  <c r="G61" i="35" s="1"/>
  <c r="G70" i="35" a="1"/>
  <c r="G70" i="35" s="1"/>
  <c r="G60" i="35" a="1"/>
  <c r="G60" i="35" s="1"/>
  <c r="G66" i="35" a="1"/>
  <c r="G66" i="35" s="1"/>
  <c r="G72" i="35" a="1"/>
  <c r="G72" i="35" s="1"/>
  <c r="G137" i="18" a="1"/>
  <c r="G137" i="18" s="1"/>
  <c r="G132" i="18" a="1"/>
  <c r="G132" i="18" s="1"/>
  <c r="G63" i="35" a="1"/>
  <c r="G63" i="35" s="1"/>
  <c r="G65" i="35" a="1"/>
  <c r="G65" i="35" s="1"/>
  <c r="G135" i="18" a="1"/>
  <c r="G135" i="18" s="1"/>
  <c r="I139" i="41"/>
  <c r="H426" i="18"/>
  <c r="I426" i="18"/>
  <c r="H452" i="58"/>
  <c r="I11" i="58"/>
  <c r="I11" i="41" s="1"/>
  <c r="I13" i="58"/>
  <c r="I12" i="58"/>
  <c r="I12" i="41" s="1"/>
  <c r="I14" i="58"/>
  <c r="I14" i="41" s="1"/>
  <c r="I475" i="58"/>
  <c r="E374" i="38" s="1"/>
  <c r="G238" i="66"/>
  <c r="L39" i="39"/>
  <c r="I108" i="41"/>
  <c r="J102" i="37"/>
  <c r="J108" i="37"/>
  <c r="J103" i="37"/>
  <c r="J104" i="37"/>
  <c r="J107" i="37"/>
  <c r="J106" i="37"/>
  <c r="J105" i="37"/>
  <c r="H442" i="37"/>
  <c r="H449" i="37"/>
  <c r="F339" i="18"/>
  <c r="J339" i="18"/>
  <c r="D12" i="53"/>
  <c r="F12" i="53" s="1"/>
  <c r="I429" i="18"/>
  <c r="H429" i="18"/>
  <c r="H444" i="37"/>
  <c r="F346" i="18"/>
  <c r="G183" i="18" a="1"/>
  <c r="G183" i="18" s="1"/>
  <c r="G182" i="18" a="1"/>
  <c r="G182" i="18" s="1"/>
  <c r="G181" i="18" a="1"/>
  <c r="G181" i="18" s="1"/>
  <c r="G40" i="35" a="1"/>
  <c r="G40" i="35" s="1"/>
  <c r="G170" i="18" a="1"/>
  <c r="G170" i="18" s="1"/>
  <c r="G179" i="18" a="1"/>
  <c r="G179" i="18" s="1"/>
  <c r="G35" i="35" a="1"/>
  <c r="G35" i="35" s="1"/>
  <c r="G176" i="18" a="1"/>
  <c r="G176" i="18" s="1"/>
  <c r="G43" i="35" a="1"/>
  <c r="G43" i="35" s="1"/>
  <c r="E20" i="20"/>
  <c r="G39" i="35" a="1"/>
  <c r="G39" i="35" s="1"/>
  <c r="G174" i="18" a="1"/>
  <c r="G174" i="18" s="1"/>
  <c r="G180" i="18" a="1"/>
  <c r="G180" i="18" s="1"/>
  <c r="G171" i="18" a="1"/>
  <c r="G171" i="18" s="1"/>
  <c r="G41" i="35" a="1"/>
  <c r="G41" i="35" s="1"/>
  <c r="G36" i="35" a="1"/>
  <c r="G36" i="35" s="1"/>
  <c r="G33" i="35" a="1"/>
  <c r="G33" i="35" s="1"/>
  <c r="G42" i="35" a="1"/>
  <c r="G42" i="35" s="1"/>
  <c r="G37" i="35" a="1"/>
  <c r="G37" i="35" s="1"/>
  <c r="G173" i="18" a="1"/>
  <c r="G173" i="18" s="1"/>
  <c r="G178" i="18" a="1"/>
  <c r="G178" i="18" s="1"/>
  <c r="G32" i="35" a="1"/>
  <c r="G32" i="35" s="1"/>
  <c r="G38" i="35" a="1"/>
  <c r="G38" i="35" s="1"/>
  <c r="G44" i="35" a="1"/>
  <c r="G44" i="35" s="1"/>
  <c r="G175" i="18" a="1"/>
  <c r="G175" i="18" s="1"/>
  <c r="G34" i="35" a="1"/>
  <c r="G34" i="35" s="1"/>
  <c r="G31" i="35" a="1"/>
  <c r="G31" i="35" s="1"/>
  <c r="G177" i="18" a="1"/>
  <c r="G177" i="18" s="1"/>
  <c r="H450" i="58"/>
  <c r="G49" i="26"/>
  <c r="J49" i="26" s="1"/>
  <c r="I206" i="35"/>
  <c r="F341" i="18"/>
  <c r="I423" i="18"/>
  <c r="H423" i="18"/>
  <c r="H442" i="58"/>
  <c r="H445" i="58"/>
  <c r="D36" i="72" a="1"/>
  <c r="D36" i="72" s="1"/>
  <c r="D37" i="72" s="1" a="1"/>
  <c r="D37" i="72" s="1"/>
  <c r="D283" i="72" a="1"/>
  <c r="D283" i="72" s="1"/>
  <c r="I476" i="41"/>
  <c r="E357" i="38"/>
  <c r="P8" i="18"/>
  <c r="I461" i="37"/>
  <c r="I460" i="37"/>
  <c r="I451" i="41"/>
  <c r="P17" i="18"/>
  <c r="Z6" i="20"/>
  <c r="P35" i="18"/>
  <c r="E51" i="20"/>
  <c r="P26" i="18" s="1"/>
  <c r="H471" i="37"/>
  <c r="E36" i="53"/>
  <c r="D36" i="53"/>
  <c r="C345" i="38"/>
  <c r="H20" i="66" s="1"/>
  <c r="D34" i="53"/>
  <c r="I461" i="58"/>
  <c r="I460" i="58"/>
  <c r="P37" i="18"/>
  <c r="E53" i="20"/>
  <c r="P28" i="18" s="1"/>
  <c r="P19" i="18"/>
  <c r="Z8" i="20"/>
  <c r="I452" i="41"/>
  <c r="D9" i="53"/>
  <c r="P10" i="18"/>
  <c r="G76" i="74"/>
  <c r="D259" i="72" a="1"/>
  <c r="D259" i="72" s="1"/>
  <c r="D260" i="72" s="1" a="1"/>
  <c r="D260" i="72" s="1"/>
  <c r="F388" i="18" l="1"/>
  <c r="J381" i="18"/>
  <c r="F393" i="18"/>
  <c r="J391" i="18"/>
  <c r="J422" i="18"/>
  <c r="F338" i="18"/>
  <c r="J387" i="18"/>
  <c r="F343" i="18"/>
  <c r="M4" i="66"/>
  <c r="J103" i="41"/>
  <c r="D20" i="34"/>
  <c r="D12" i="39"/>
  <c r="L31" i="66"/>
  <c r="J111" i="41"/>
  <c r="J380" i="18"/>
  <c r="J130" i="41"/>
  <c r="M115" i="66"/>
  <c r="J133" i="41"/>
  <c r="M56" i="66"/>
  <c r="M197" i="66"/>
  <c r="X99" i="66"/>
  <c r="K37" i="66"/>
  <c r="N256" i="66"/>
  <c r="H225" i="66"/>
  <c r="L42" i="39"/>
  <c r="E157" i="38" s="1"/>
  <c r="J138" i="41"/>
  <c r="J139" i="41"/>
  <c r="J115" i="41"/>
  <c r="G236" i="66"/>
  <c r="I436" i="41"/>
  <c r="I435" i="41"/>
  <c r="G52" i="74"/>
  <c r="H453" i="41"/>
  <c r="M230" i="66"/>
  <c r="N133" i="66"/>
  <c r="H23" i="66"/>
  <c r="X114" i="66"/>
  <c r="N161" i="66"/>
  <c r="N110" i="66"/>
  <c r="M76" i="66"/>
  <c r="I461" i="41"/>
  <c r="H447" i="41"/>
  <c r="J137" i="41"/>
  <c r="H451" i="41"/>
  <c r="J123" i="41"/>
  <c r="J106" i="41"/>
  <c r="G235" i="66"/>
  <c r="I437" i="41"/>
  <c r="J120" i="41"/>
  <c r="J119" i="41"/>
  <c r="J113" i="41"/>
  <c r="T176" i="66"/>
  <c r="J122" i="41"/>
  <c r="J428" i="37"/>
  <c r="J427" i="37"/>
  <c r="J112" i="41"/>
  <c r="J429" i="37"/>
  <c r="J426" i="37"/>
  <c r="G134" i="66"/>
  <c r="I426" i="41"/>
  <c r="G79" i="66"/>
  <c r="G79" i="74" s="1"/>
  <c r="K4" i="66"/>
  <c r="K4" i="74" s="1"/>
  <c r="AI4" i="74" s="1"/>
  <c r="H36" i="53"/>
  <c r="M40" i="39"/>
  <c r="E172" i="38" s="1"/>
  <c r="J476" i="58"/>
  <c r="E381" i="38" s="1"/>
  <c r="L268" i="66" s="1"/>
  <c r="G268" i="66"/>
  <c r="G86" i="74"/>
  <c r="N5" i="41"/>
  <c r="G81" i="66"/>
  <c r="G81" i="74" s="1"/>
  <c r="I434" i="41"/>
  <c r="I429" i="41"/>
  <c r="G77" i="66"/>
  <c r="G77" i="74" s="1"/>
  <c r="J118" i="41"/>
  <c r="G278" i="66"/>
  <c r="J428" i="58"/>
  <c r="J427" i="58"/>
  <c r="J429" i="58"/>
  <c r="G269" i="66" s="1"/>
  <c r="J426" i="58"/>
  <c r="G271" i="66" s="1"/>
  <c r="Z4" i="20"/>
  <c r="I428" i="41"/>
  <c r="J124" i="41"/>
  <c r="J140" i="41"/>
  <c r="I427" i="41"/>
  <c r="D15" i="39" s="1"/>
  <c r="G93" i="66"/>
  <c r="G93" i="74" s="1"/>
  <c r="J436" i="37"/>
  <c r="J117" i="41"/>
  <c r="I222" i="18"/>
  <c r="J222" i="18" s="1"/>
  <c r="J109" i="41"/>
  <c r="J435" i="58"/>
  <c r="J436" i="58"/>
  <c r="J437" i="58"/>
  <c r="J434" i="58"/>
  <c r="G273" i="66" s="1"/>
  <c r="J114" i="41"/>
  <c r="N114" i="58"/>
  <c r="J110" i="41"/>
  <c r="E40" i="39"/>
  <c r="E121" i="38" s="1"/>
  <c r="J476" i="37"/>
  <c r="G124" i="66"/>
  <c r="J121" i="41"/>
  <c r="J116" i="41"/>
  <c r="J435" i="37"/>
  <c r="J435" i="41" s="1"/>
  <c r="J434" i="37"/>
  <c r="J437" i="37"/>
  <c r="J132" i="41"/>
  <c r="N6" i="41"/>
  <c r="G244" i="66"/>
  <c r="I439" i="41"/>
  <c r="G215" i="66"/>
  <c r="J136" i="41"/>
  <c r="J134" i="41"/>
  <c r="J129" i="41"/>
  <c r="H25" i="66"/>
  <c r="E264" i="38"/>
  <c r="J441" i="58" s="1"/>
  <c r="F382" i="18"/>
  <c r="J382" i="18"/>
  <c r="J131" i="41"/>
  <c r="T157" i="66"/>
  <c r="T132" i="66"/>
  <c r="J107" i="41"/>
  <c r="D16" i="39"/>
  <c r="D194" i="72" a="1"/>
  <c r="D194" i="72" s="1"/>
  <c r="D195" i="72" s="1" a="1"/>
  <c r="D195" i="72" s="1"/>
  <c r="D196" i="72" s="1" a="1"/>
  <c r="D196" i="72" s="1"/>
  <c r="D197" i="72" s="1" a="1"/>
  <c r="D197" i="72" s="1"/>
  <c r="D198" i="72" s="1" a="1"/>
  <c r="D198" i="72" s="1"/>
  <c r="J105" i="41"/>
  <c r="D14" i="39"/>
  <c r="J108" i="41"/>
  <c r="J102" i="41"/>
  <c r="J127" i="41"/>
  <c r="C53" i="63"/>
  <c r="H452" i="41"/>
  <c r="H444" i="41"/>
  <c r="H448" i="41"/>
  <c r="J104" i="41"/>
  <c r="H449" i="41"/>
  <c r="J135" i="41"/>
  <c r="G71" i="66"/>
  <c r="X82" i="66"/>
  <c r="K34" i="66"/>
  <c r="M30" i="66"/>
  <c r="H194" i="66"/>
  <c r="M184" i="66"/>
  <c r="M216" i="66"/>
  <c r="H278" i="66"/>
  <c r="I175" i="18"/>
  <c r="H175" i="18"/>
  <c r="I180" i="18"/>
  <c r="H180" i="18"/>
  <c r="I183" i="18"/>
  <c r="H183" i="18"/>
  <c r="F429" i="18"/>
  <c r="J429" i="18"/>
  <c r="H442" i="41"/>
  <c r="H424" i="37"/>
  <c r="H423" i="37"/>
  <c r="H446" i="41"/>
  <c r="F427" i="18"/>
  <c r="J427" i="18"/>
  <c r="K32" i="66"/>
  <c r="K32" i="74" s="1"/>
  <c r="AI32" i="74" s="1"/>
  <c r="I220" i="18"/>
  <c r="H220" i="18"/>
  <c r="H301" i="18"/>
  <c r="I301" i="18"/>
  <c r="I306" i="18"/>
  <c r="H306" i="18"/>
  <c r="I92" i="18"/>
  <c r="H92" i="18"/>
  <c r="H77" i="66"/>
  <c r="I450" i="37"/>
  <c r="H192" i="66"/>
  <c r="J125" i="41"/>
  <c r="J439" i="37"/>
  <c r="J438" i="37"/>
  <c r="D161" i="72" a="1"/>
  <c r="D161" i="72" s="1"/>
  <c r="J478" i="58"/>
  <c r="E383" i="38" s="1"/>
  <c r="L250" i="66" s="1"/>
  <c r="G250" i="66"/>
  <c r="M43" i="39"/>
  <c r="E177" i="38" s="1"/>
  <c r="J439" i="58"/>
  <c r="J438" i="58"/>
  <c r="G253" i="66" s="1"/>
  <c r="H443" i="41"/>
  <c r="F430" i="18"/>
  <c r="J430" i="18"/>
  <c r="H217" i="66"/>
  <c r="I442" i="58"/>
  <c r="F468" i="18"/>
  <c r="J468" i="18"/>
  <c r="H441" i="41"/>
  <c r="N264" i="66"/>
  <c r="L102" i="66"/>
  <c r="M22" i="66"/>
  <c r="M39" i="66"/>
  <c r="N189" i="66"/>
  <c r="L262" i="66"/>
  <c r="N79" i="66"/>
  <c r="M265" i="66"/>
  <c r="D284" i="72" a="1"/>
  <c r="D284" i="72" s="1"/>
  <c r="J11" i="58"/>
  <c r="J11" i="41" s="1"/>
  <c r="J12" i="58"/>
  <c r="J12" i="41" s="1"/>
  <c r="J13" i="58"/>
  <c r="J13" i="41" s="1"/>
  <c r="J14" i="58"/>
  <c r="J14" i="41" s="1"/>
  <c r="I174" i="18"/>
  <c r="H174" i="18"/>
  <c r="H129" i="18"/>
  <c r="I129" i="18"/>
  <c r="H18" i="37"/>
  <c r="H34" i="37"/>
  <c r="H174" i="66"/>
  <c r="H492" i="58"/>
  <c r="H490" i="58"/>
  <c r="H491" i="58"/>
  <c r="I215" i="18"/>
  <c r="H215" i="18"/>
  <c r="I296" i="18"/>
  <c r="H296" i="18"/>
  <c r="H26" i="37"/>
  <c r="H11" i="66"/>
  <c r="H65" i="66"/>
  <c r="I449" i="37"/>
  <c r="N4" i="41"/>
  <c r="J128" i="41"/>
  <c r="G100" i="66"/>
  <c r="H224" i="66"/>
  <c r="I448" i="58"/>
  <c r="C55" i="17"/>
  <c r="T6" i="9"/>
  <c r="J10" i="9"/>
  <c r="H62" i="37"/>
  <c r="D38" i="72" a="1"/>
  <c r="D38" i="72" s="1"/>
  <c r="D39" i="72" s="1" a="1"/>
  <c r="D39" i="72" s="1"/>
  <c r="E154" i="38"/>
  <c r="I132" i="18"/>
  <c r="H132" i="18"/>
  <c r="I134" i="18"/>
  <c r="H134" i="18"/>
  <c r="H26" i="66"/>
  <c r="I463" i="58"/>
  <c r="H161" i="66"/>
  <c r="F464" i="18"/>
  <c r="J464" i="18"/>
  <c r="H30" i="37"/>
  <c r="I444" i="37"/>
  <c r="H90" i="66"/>
  <c r="H48" i="66"/>
  <c r="H70" i="37"/>
  <c r="H162" i="66"/>
  <c r="M39" i="39"/>
  <c r="G286" i="66"/>
  <c r="J475" i="58"/>
  <c r="E380" i="38" s="1"/>
  <c r="L286" i="66" s="1"/>
  <c r="I443" i="58"/>
  <c r="H197" i="66"/>
  <c r="I444" i="58"/>
  <c r="H234" i="66"/>
  <c r="I266" i="18"/>
  <c r="H266" i="18"/>
  <c r="I255" i="18"/>
  <c r="H255" i="18"/>
  <c r="H188" i="66"/>
  <c r="Z5" i="20"/>
  <c r="M278" i="66"/>
  <c r="N149" i="66"/>
  <c r="M177" i="66"/>
  <c r="G12" i="53"/>
  <c r="H6" i="53"/>
  <c r="G6" i="53" s="1"/>
  <c r="I137" i="18"/>
  <c r="H137" i="18"/>
  <c r="D223" i="72" a="1"/>
  <c r="D223" i="72" s="1"/>
  <c r="H86" i="37"/>
  <c r="I454" i="37"/>
  <c r="H70" i="66"/>
  <c r="H149" i="66"/>
  <c r="F470" i="18"/>
  <c r="J470" i="18"/>
  <c r="H42" i="37"/>
  <c r="H240" i="66"/>
  <c r="I447" i="58"/>
  <c r="I450" i="58"/>
  <c r="H221" i="66"/>
  <c r="G2" i="18" a="1"/>
  <c r="G2" i="18" s="1"/>
  <c r="G14" i="18" a="1"/>
  <c r="G14" i="18" s="1"/>
  <c r="G4" i="18" a="1"/>
  <c r="G4" i="18" s="1"/>
  <c r="G15" i="18" a="1"/>
  <c r="G15" i="18" s="1"/>
  <c r="G13" i="18" a="1"/>
  <c r="G13" i="18" s="1"/>
  <c r="G7" i="18" a="1"/>
  <c r="G7" i="18" s="1"/>
  <c r="G9" i="18" a="1"/>
  <c r="G9" i="18" s="1"/>
  <c r="G10" i="18" a="1"/>
  <c r="G10" i="18" s="1"/>
  <c r="G12" i="18" a="1"/>
  <c r="G12" i="18" s="1"/>
  <c r="G5" i="18" a="1"/>
  <c r="G5" i="18" s="1"/>
  <c r="G3" i="18" a="1"/>
  <c r="G3" i="18" s="1"/>
  <c r="G8" i="18" a="1"/>
  <c r="G8" i="18" s="1"/>
  <c r="G6" i="18" a="1"/>
  <c r="G6" i="18" s="1"/>
  <c r="G11" i="18" a="1"/>
  <c r="G11" i="18" s="1"/>
  <c r="G14" i="35" a="1"/>
  <c r="G14" i="35" s="1"/>
  <c r="G16" i="35" a="1"/>
  <c r="G16" i="35" s="1"/>
  <c r="G13" i="35" a="1"/>
  <c r="G13" i="35" s="1"/>
  <c r="G3" i="35" a="1"/>
  <c r="G3" i="35" s="1"/>
  <c r="G7" i="35" a="1"/>
  <c r="G7" i="35" s="1"/>
  <c r="C20" i="20"/>
  <c r="G11" i="35" a="1"/>
  <c r="G11" i="35" s="1"/>
  <c r="G15" i="35" a="1"/>
  <c r="G15" i="35" s="1"/>
  <c r="G5" i="35" a="1"/>
  <c r="G5" i="35" s="1"/>
  <c r="G8" i="35" a="1"/>
  <c r="G8" i="35" s="1"/>
  <c r="G9" i="35" a="1"/>
  <c r="G9" i="35" s="1"/>
  <c r="G4" i="35" a="1"/>
  <c r="G4" i="35" s="1"/>
  <c r="G12" i="35" a="1"/>
  <c r="G12" i="35" s="1"/>
  <c r="G10" i="35" a="1"/>
  <c r="G10" i="35" s="1"/>
  <c r="G6" i="35" a="1"/>
  <c r="G6" i="35" s="1"/>
  <c r="H22" i="66"/>
  <c r="F473" i="18"/>
  <c r="J473" i="18"/>
  <c r="F428" i="18"/>
  <c r="J428" i="18"/>
  <c r="H38" i="37"/>
  <c r="D68" i="72" a="1"/>
  <c r="D68" i="72" s="1"/>
  <c r="I213" i="18"/>
  <c r="H213" i="18"/>
  <c r="I305" i="18"/>
  <c r="H305" i="18"/>
  <c r="I90" i="18"/>
  <c r="H90" i="18"/>
  <c r="H99" i="18"/>
  <c r="I99" i="18"/>
  <c r="H176" i="66"/>
  <c r="I441" i="37"/>
  <c r="I441" i="41" s="1"/>
  <c r="H68" i="66"/>
  <c r="I453" i="37"/>
  <c r="H92" i="66"/>
  <c r="F433" i="18"/>
  <c r="J433" i="18"/>
  <c r="J126" i="41"/>
  <c r="E41" i="39"/>
  <c r="E122" i="38" s="1"/>
  <c r="J477" i="37"/>
  <c r="G108" i="66"/>
  <c r="H155" i="66"/>
  <c r="H5" i="66"/>
  <c r="E273" i="38"/>
  <c r="E271" i="38"/>
  <c r="E269" i="38"/>
  <c r="E267" i="38"/>
  <c r="E265" i="38"/>
  <c r="E277" i="38"/>
  <c r="E263" i="38"/>
  <c r="E268" i="38"/>
  <c r="E266" i="38"/>
  <c r="E272" i="38"/>
  <c r="E270" i="38"/>
  <c r="E276" i="38"/>
  <c r="H186" i="66"/>
  <c r="H267" i="18"/>
  <c r="I267" i="18"/>
  <c r="H263" i="18"/>
  <c r="I263" i="18"/>
  <c r="J101" i="41"/>
  <c r="C23" i="63"/>
  <c r="D6" i="72" a="1"/>
  <c r="D6" i="72" s="1"/>
  <c r="I178" i="18"/>
  <c r="H178" i="18"/>
  <c r="N238" i="66"/>
  <c r="H61" i="66"/>
  <c r="N36" i="66"/>
  <c r="M91" i="66"/>
  <c r="K9" i="66"/>
  <c r="I173" i="18"/>
  <c r="H173" i="18"/>
  <c r="I176" i="18"/>
  <c r="H176" i="18"/>
  <c r="I140" i="18"/>
  <c r="H140" i="18"/>
  <c r="H50" i="37"/>
  <c r="H169" i="66"/>
  <c r="K12" i="66"/>
  <c r="K12" i="74" s="1"/>
  <c r="AI12" i="74" s="1"/>
  <c r="I462" i="58"/>
  <c r="F435" i="18"/>
  <c r="J435" i="18"/>
  <c r="I223" i="18"/>
  <c r="H223" i="18"/>
  <c r="I309" i="18"/>
  <c r="H309" i="18"/>
  <c r="H303" i="18"/>
  <c r="I303" i="18"/>
  <c r="I97" i="18"/>
  <c r="H97" i="18"/>
  <c r="H87" i="18"/>
  <c r="I87" i="18"/>
  <c r="I442" i="37"/>
  <c r="H73" i="66"/>
  <c r="I473" i="37"/>
  <c r="I462" i="37"/>
  <c r="F471" i="18"/>
  <c r="J471" i="18"/>
  <c r="H94" i="37"/>
  <c r="H17" i="66"/>
  <c r="H22" i="37"/>
  <c r="H445" i="41"/>
  <c r="H222" i="66"/>
  <c r="I445" i="58"/>
  <c r="H66" i="37"/>
  <c r="I265" i="18"/>
  <c r="H265" i="18"/>
  <c r="J475" i="37"/>
  <c r="G142" i="66"/>
  <c r="J96" i="41"/>
  <c r="E39" i="39"/>
  <c r="H173" i="66"/>
  <c r="I440" i="37"/>
  <c r="H74" i="66"/>
  <c r="H32" i="66"/>
  <c r="E103" i="38"/>
  <c r="H209" i="66"/>
  <c r="I449" i="58"/>
  <c r="I256" i="18"/>
  <c r="H256" i="18"/>
  <c r="I260" i="18"/>
  <c r="H260" i="18"/>
  <c r="J100" i="41"/>
  <c r="J423" i="18"/>
  <c r="F423" i="18"/>
  <c r="I221" i="18"/>
  <c r="H221" i="18"/>
  <c r="I94" i="18"/>
  <c r="H94" i="18"/>
  <c r="H179" i="18"/>
  <c r="I179" i="18"/>
  <c r="I130" i="18"/>
  <c r="H130" i="18"/>
  <c r="I438" i="41"/>
  <c r="G61" i="66"/>
  <c r="G61" i="74" s="1"/>
  <c r="I219" i="18"/>
  <c r="H219" i="18"/>
  <c r="I298" i="18"/>
  <c r="H298" i="18"/>
  <c r="H89" i="18"/>
  <c r="I89" i="18"/>
  <c r="I98" i="18"/>
  <c r="H98" i="18"/>
  <c r="H78" i="66"/>
  <c r="I445" i="37"/>
  <c r="H40" i="66"/>
  <c r="G60" i="74"/>
  <c r="F475" i="18"/>
  <c r="J475" i="18"/>
  <c r="J472" i="18"/>
  <c r="F472" i="18"/>
  <c r="H74" i="37"/>
  <c r="J465" i="18"/>
  <c r="F465" i="18"/>
  <c r="I224" i="18"/>
  <c r="H224" i="18"/>
  <c r="H78" i="37"/>
  <c r="H236" i="66"/>
  <c r="I453" i="58"/>
  <c r="I258" i="18"/>
  <c r="H258" i="18"/>
  <c r="H261" i="18"/>
  <c r="I261" i="18"/>
  <c r="I262" i="18"/>
  <c r="H262" i="18"/>
  <c r="G47" i="18" a="1"/>
  <c r="G47" i="18" s="1"/>
  <c r="G49" i="18" a="1"/>
  <c r="G49" i="18" s="1"/>
  <c r="G54" i="18" a="1"/>
  <c r="G54" i="18" s="1"/>
  <c r="G44" i="18" a="1"/>
  <c r="G44" i="18" s="1"/>
  <c r="G48" i="18" a="1"/>
  <c r="G48" i="18" s="1"/>
  <c r="G51" i="35" a="1"/>
  <c r="G51" i="35" s="1"/>
  <c r="G50" i="35" a="1"/>
  <c r="G50" i="35" s="1"/>
  <c r="G56" i="18" a="1"/>
  <c r="G56" i="18" s="1"/>
  <c r="G56" i="35" a="1"/>
  <c r="G56" i="35" s="1"/>
  <c r="G46" i="35" a="1"/>
  <c r="G46" i="35" s="1"/>
  <c r="G52" i="35" a="1"/>
  <c r="G52" i="35" s="1"/>
  <c r="G50" i="18" a="1"/>
  <c r="G50" i="18" s="1"/>
  <c r="G57" i="35" a="1"/>
  <c r="G57" i="35" s="1"/>
  <c r="G52" i="18" a="1"/>
  <c r="G52" i="18" s="1"/>
  <c r="G51" i="18" a="1"/>
  <c r="G51" i="18" s="1"/>
  <c r="G55" i="35" a="1"/>
  <c r="G55" i="35" s="1"/>
  <c r="G45" i="35" a="1"/>
  <c r="G45" i="35" s="1"/>
  <c r="G49" i="35" a="1"/>
  <c r="G49" i="35" s="1"/>
  <c r="G53" i="18" a="1"/>
  <c r="G53" i="18" s="1"/>
  <c r="G48" i="35" a="1"/>
  <c r="G48" i="35" s="1"/>
  <c r="G53" i="35" a="1"/>
  <c r="G53" i="35" s="1"/>
  <c r="G55" i="18" a="1"/>
  <c r="G55" i="18" s="1"/>
  <c r="G57" i="18" a="1"/>
  <c r="G57" i="18" s="1"/>
  <c r="G47" i="35" a="1"/>
  <c r="G47" i="35" s="1"/>
  <c r="G46" i="18" a="1"/>
  <c r="G46" i="18" s="1"/>
  <c r="G58" i="35" a="1"/>
  <c r="G58" i="35" s="1"/>
  <c r="G45" i="18" a="1"/>
  <c r="G45" i="18" s="1"/>
  <c r="L20" i="20"/>
  <c r="G54" i="35" a="1"/>
  <c r="G54" i="35" s="1"/>
  <c r="J98" i="41"/>
  <c r="I138" i="18"/>
  <c r="H138" i="18"/>
  <c r="F434" i="18"/>
  <c r="J434" i="18"/>
  <c r="J8" i="66"/>
  <c r="H223" i="66"/>
  <c r="L208" i="66"/>
  <c r="I170" i="18"/>
  <c r="H170" i="18"/>
  <c r="F426" i="18"/>
  <c r="J426" i="18"/>
  <c r="I131" i="18"/>
  <c r="H131" i="18"/>
  <c r="H58" i="37"/>
  <c r="I95" i="18"/>
  <c r="H95" i="18"/>
  <c r="H82" i="37"/>
  <c r="E359" i="38"/>
  <c r="L58" i="66" s="1"/>
  <c r="I478" i="41"/>
  <c r="H440" i="41"/>
  <c r="I212" i="18"/>
  <c r="H212" i="18"/>
  <c r="I218" i="18"/>
  <c r="H218" i="18"/>
  <c r="I304" i="18"/>
  <c r="H304" i="18"/>
  <c r="I308" i="18"/>
  <c r="H308" i="18"/>
  <c r="H88" i="18"/>
  <c r="I88" i="18"/>
  <c r="H80" i="66"/>
  <c r="I448" i="37"/>
  <c r="H450" i="41"/>
  <c r="E358" i="38"/>
  <c r="L60" i="66" s="1"/>
  <c r="I477" i="41"/>
  <c r="I133" i="18"/>
  <c r="H133" i="18"/>
  <c r="H44" i="66"/>
  <c r="I432" i="41"/>
  <c r="G92" i="66"/>
  <c r="H473" i="58"/>
  <c r="E356" i="38"/>
  <c r="L94" i="66" s="1"/>
  <c r="I475" i="41"/>
  <c r="F469" i="18"/>
  <c r="J469" i="18"/>
  <c r="K45" i="66"/>
  <c r="K45" i="74" s="1"/>
  <c r="AI45" i="74" s="1"/>
  <c r="H473" i="37"/>
  <c r="D100" i="72" a="1"/>
  <c r="D100" i="72" s="1"/>
  <c r="H218" i="66"/>
  <c r="I440" i="58"/>
  <c r="I259" i="18"/>
  <c r="H259" i="18"/>
  <c r="I257" i="18"/>
  <c r="H257" i="18"/>
  <c r="G24" i="53"/>
  <c r="H18" i="53"/>
  <c r="G18" i="53" s="1"/>
  <c r="J99" i="41"/>
  <c r="E226" i="38"/>
  <c r="E232" i="38"/>
  <c r="E225" i="38"/>
  <c r="E218" i="38"/>
  <c r="E222" i="38"/>
  <c r="E220" i="38"/>
  <c r="E223" i="38"/>
  <c r="E227" i="38"/>
  <c r="E221" i="38"/>
  <c r="E231" i="38"/>
  <c r="E224" i="38"/>
  <c r="E228" i="38"/>
  <c r="E219" i="38"/>
  <c r="H172" i="18"/>
  <c r="I172" i="18"/>
  <c r="J17" i="66"/>
  <c r="H243" i="66"/>
  <c r="L245" i="66"/>
  <c r="I177" i="18"/>
  <c r="H177" i="18"/>
  <c r="I128" i="18"/>
  <c r="H128" i="18"/>
  <c r="F474" i="18"/>
  <c r="J474" i="18"/>
  <c r="G58" i="74"/>
  <c r="K10" i="66"/>
  <c r="K10" i="74" s="1"/>
  <c r="AI10" i="74" s="1"/>
  <c r="H90" i="37"/>
  <c r="I302" i="18"/>
  <c r="H302" i="18"/>
  <c r="I300" i="18"/>
  <c r="H300" i="18"/>
  <c r="I96" i="18"/>
  <c r="H96" i="18"/>
  <c r="K46" i="66"/>
  <c r="K46" i="74" s="1"/>
  <c r="AI46" i="74" s="1"/>
  <c r="H96" i="66"/>
  <c r="I447" i="37"/>
  <c r="K23" i="66"/>
  <c r="K23" i="74" s="1"/>
  <c r="AI23" i="74" s="1"/>
  <c r="H184" i="66"/>
  <c r="I431" i="41"/>
  <c r="H42" i="66"/>
  <c r="G94" i="74"/>
  <c r="K28" i="66"/>
  <c r="K28" i="74" s="1"/>
  <c r="AI28" i="74" s="1"/>
  <c r="H46" i="37"/>
  <c r="K48" i="66"/>
  <c r="K48" i="74" s="1"/>
  <c r="AI48" i="74" s="1"/>
  <c r="H214" i="66"/>
  <c r="I454" i="58"/>
  <c r="I254" i="18"/>
  <c r="H254" i="18"/>
  <c r="H30" i="66"/>
  <c r="J478" i="37"/>
  <c r="G106" i="66"/>
  <c r="J97" i="41"/>
  <c r="E43" i="39"/>
  <c r="E126" i="38" s="1"/>
  <c r="I216" i="18"/>
  <c r="H216" i="18"/>
  <c r="N56" i="66"/>
  <c r="M11" i="66"/>
  <c r="N129" i="66"/>
  <c r="N258" i="66"/>
  <c r="L243" i="66"/>
  <c r="I181" i="18"/>
  <c r="H181" i="18"/>
  <c r="K21" i="66"/>
  <c r="K21" i="74" s="1"/>
  <c r="AI21" i="74" s="1"/>
  <c r="I139" i="18"/>
  <c r="H139" i="18"/>
  <c r="H29" i="66"/>
  <c r="F424" i="18"/>
  <c r="J424" i="18"/>
  <c r="H166" i="66"/>
  <c r="F466" i="18"/>
  <c r="J466" i="18"/>
  <c r="I217" i="18"/>
  <c r="H217" i="18"/>
  <c r="I297" i="18"/>
  <c r="H297" i="18"/>
  <c r="I307" i="18"/>
  <c r="H307" i="18"/>
  <c r="I91" i="18"/>
  <c r="H91" i="18"/>
  <c r="I86" i="18"/>
  <c r="H86" i="18"/>
  <c r="I443" i="37"/>
  <c r="H53" i="66"/>
  <c r="F477" i="18"/>
  <c r="J477" i="18"/>
  <c r="I430" i="41"/>
  <c r="G95" i="66"/>
  <c r="G95" i="74" s="1"/>
  <c r="J433" i="58"/>
  <c r="J430" i="58"/>
  <c r="G287" i="66" s="1"/>
  <c r="J432" i="58"/>
  <c r="J431" i="58"/>
  <c r="H232" i="66"/>
  <c r="I446" i="58"/>
  <c r="F431" i="18"/>
  <c r="J431" i="18"/>
  <c r="E33" i="22"/>
  <c r="P6" i="9"/>
  <c r="P30" i="9"/>
  <c r="H454" i="41"/>
  <c r="J95" i="41"/>
  <c r="J431" i="37"/>
  <c r="J430" i="37"/>
  <c r="J432" i="37"/>
  <c r="J433" i="37"/>
  <c r="I463" i="37"/>
  <c r="X253" i="66"/>
  <c r="H212" i="66"/>
  <c r="H164" i="66"/>
  <c r="H20" i="74" s="1"/>
  <c r="L85" i="66"/>
  <c r="N159" i="66"/>
  <c r="M209" i="66"/>
  <c r="H10" i="66"/>
  <c r="L89" i="66"/>
  <c r="H46" i="66"/>
  <c r="N14" i="66"/>
  <c r="X262" i="66"/>
  <c r="I171" i="18"/>
  <c r="H171" i="18"/>
  <c r="I182" i="18"/>
  <c r="H182" i="18"/>
  <c r="H135" i="18"/>
  <c r="I135" i="18"/>
  <c r="I136" i="18"/>
  <c r="H136" i="18"/>
  <c r="H141" i="18"/>
  <c r="I141" i="18"/>
  <c r="I13" i="41"/>
  <c r="H18" i="66"/>
  <c r="I214" i="18"/>
  <c r="H214" i="18"/>
  <c r="I225" i="18"/>
  <c r="H225" i="18"/>
  <c r="I299" i="18"/>
  <c r="H299" i="18"/>
  <c r="H93" i="18"/>
  <c r="I93" i="18"/>
  <c r="I446" i="37"/>
  <c r="H88" i="66"/>
  <c r="H170" i="66"/>
  <c r="G91" i="66"/>
  <c r="I433" i="41"/>
  <c r="C3" i="9"/>
  <c r="R38" i="9" a="1"/>
  <c r="R38" i="9" s="1"/>
  <c r="E90" i="22" s="1"/>
  <c r="R28" i="9" a="1"/>
  <c r="R28" i="9" s="1"/>
  <c r="R36" i="9" a="1"/>
  <c r="R36" i="9" s="1"/>
  <c r="R26" i="9" a="1"/>
  <c r="R26" i="9" s="1"/>
  <c r="M41" i="39"/>
  <c r="E173" i="38" s="1"/>
  <c r="J477" i="58"/>
  <c r="E382" i="38" s="1"/>
  <c r="L252" i="66" s="1"/>
  <c r="G252" i="66"/>
  <c r="H54" i="37"/>
  <c r="I264" i="18"/>
  <c r="H264" i="18"/>
  <c r="E18" i="22"/>
  <c r="M6" i="9"/>
  <c r="M30" i="9"/>
  <c r="N222" i="66"/>
  <c r="L229" i="66"/>
  <c r="N108" i="66"/>
  <c r="N84" i="66"/>
  <c r="H181" i="66"/>
  <c r="M153" i="66"/>
  <c r="L247" i="66"/>
  <c r="K8" i="66"/>
  <c r="K8" i="74" s="1"/>
  <c r="AI8" i="74" s="1"/>
  <c r="M272" i="66"/>
  <c r="L61" i="66"/>
  <c r="N85" i="66"/>
  <c r="M32" i="66"/>
  <c r="M43" i="66"/>
  <c r="M127" i="66"/>
  <c r="L52" i="66"/>
  <c r="N66" i="66"/>
  <c r="J18" i="66"/>
  <c r="M186" i="66"/>
  <c r="M42" i="66"/>
  <c r="N45" i="66"/>
  <c r="L7" i="66"/>
  <c r="L20" i="66"/>
  <c r="H31" i="66"/>
  <c r="M221" i="66"/>
  <c r="N61" i="66"/>
  <c r="N221" i="66"/>
  <c r="H190" i="66"/>
  <c r="M253" i="66"/>
  <c r="L207" i="66"/>
  <c r="H35" i="66"/>
  <c r="L254" i="66"/>
  <c r="H154" i="66"/>
  <c r="N17" i="66"/>
  <c r="J31" i="66"/>
  <c r="M169" i="66"/>
  <c r="H62" i="66"/>
  <c r="H239" i="66"/>
  <c r="N171" i="66"/>
  <c r="L131" i="66"/>
  <c r="N130" i="66"/>
  <c r="L276" i="66"/>
  <c r="M59" i="66"/>
  <c r="M156" i="66"/>
  <c r="M159" i="66"/>
  <c r="L63" i="66"/>
  <c r="H58" i="66"/>
  <c r="L121" i="66"/>
  <c r="M90" i="66"/>
  <c r="M110" i="66"/>
  <c r="L203" i="66"/>
  <c r="M143" i="66"/>
  <c r="N42" i="66"/>
  <c r="M202" i="66"/>
  <c r="M259" i="66"/>
  <c r="N274" i="66"/>
  <c r="M92" i="66"/>
  <c r="N72" i="66"/>
  <c r="J9" i="66"/>
  <c r="N267" i="66"/>
  <c r="N283" i="66"/>
  <c r="L77" i="66"/>
  <c r="M141" i="66"/>
  <c r="H85" i="66"/>
  <c r="H129" i="66"/>
  <c r="M139" i="66"/>
  <c r="N81" i="66"/>
  <c r="M144" i="66"/>
  <c r="L241" i="66"/>
  <c r="K29" i="66"/>
  <c r="K29" i="74" s="1"/>
  <c r="AI29" i="74" s="1"/>
  <c r="L224" i="66"/>
  <c r="L277" i="66"/>
  <c r="M107" i="66"/>
  <c r="J24" i="66"/>
  <c r="N55" i="66"/>
  <c r="M94" i="66"/>
  <c r="H119" i="66"/>
  <c r="N109" i="66"/>
  <c r="M252" i="66"/>
  <c r="N204" i="66"/>
  <c r="I460" i="41"/>
  <c r="H13" i="66"/>
  <c r="H110" i="66"/>
  <c r="J27" i="66"/>
  <c r="L130" i="66"/>
  <c r="N211" i="66"/>
  <c r="L93" i="66"/>
  <c r="J51" i="66"/>
  <c r="M97" i="66"/>
  <c r="L111" i="66"/>
  <c r="L158" i="66"/>
  <c r="M74" i="66"/>
  <c r="H43" i="66"/>
  <c r="H219" i="66"/>
  <c r="N219" i="66"/>
  <c r="J46" i="66"/>
  <c r="L119" i="66"/>
  <c r="H67" i="66"/>
  <c r="N271" i="66"/>
  <c r="N19" i="66"/>
  <c r="L73" i="66"/>
  <c r="L185" i="66"/>
  <c r="N178" i="66"/>
  <c r="N154" i="66"/>
  <c r="H285" i="66"/>
  <c r="M219" i="66"/>
  <c r="J49" i="66"/>
  <c r="L39" i="66"/>
  <c r="H6" i="66"/>
  <c r="N276" i="66"/>
  <c r="M251" i="66"/>
  <c r="L59" i="66"/>
  <c r="H238" i="66"/>
  <c r="L159" i="66"/>
  <c r="H191" i="66"/>
  <c r="L21" i="66"/>
  <c r="H7" i="66"/>
  <c r="J32" i="66"/>
  <c r="N91" i="66"/>
  <c r="L222" i="66"/>
  <c r="H248" i="66"/>
  <c r="N234" i="66"/>
  <c r="L41" i="66"/>
  <c r="H177" i="66"/>
  <c r="N80" i="66"/>
  <c r="J39" i="66"/>
  <c r="M176" i="66"/>
  <c r="J15" i="66"/>
  <c r="H81" i="66"/>
  <c r="L179" i="66"/>
  <c r="N285" i="66"/>
  <c r="L274" i="66"/>
  <c r="H49" i="66"/>
  <c r="L259" i="66"/>
  <c r="J37" i="66"/>
  <c r="K44" i="66"/>
  <c r="K44" i="74" s="1"/>
  <c r="AI44" i="74" s="1"/>
  <c r="N168" i="66"/>
  <c r="L161" i="66"/>
  <c r="M256" i="66"/>
  <c r="J19" i="66"/>
  <c r="L38" i="66"/>
  <c r="M130" i="66"/>
  <c r="H151" i="66"/>
  <c r="N174" i="66"/>
  <c r="N134" i="66"/>
  <c r="M200" i="66"/>
  <c r="L143" i="66"/>
  <c r="F36" i="53"/>
  <c r="L90" i="66"/>
  <c r="L114" i="66"/>
  <c r="L118" i="66"/>
  <c r="L275" i="66"/>
  <c r="L14" i="66"/>
  <c r="L49" i="66"/>
  <c r="N241" i="66"/>
  <c r="H54" i="66"/>
  <c r="H267" i="66"/>
  <c r="N289" i="66"/>
  <c r="M81" i="66"/>
  <c r="H91" i="66"/>
  <c r="M205" i="66"/>
  <c r="H279" i="66"/>
  <c r="N70" i="66"/>
  <c r="L280" i="66"/>
  <c r="N160" i="66"/>
  <c r="L55" i="66"/>
  <c r="L109" i="66"/>
  <c r="H102" i="66"/>
  <c r="M72" i="66"/>
  <c r="L151" i="66"/>
  <c r="H273" i="66"/>
  <c r="M51" i="66"/>
  <c r="L50" i="66"/>
  <c r="L282" i="66"/>
  <c r="Z3" i="20"/>
  <c r="L193" i="66"/>
  <c r="N242" i="66"/>
  <c r="M123" i="66"/>
  <c r="L105" i="66"/>
  <c r="H64" i="66"/>
  <c r="M124" i="66"/>
  <c r="H178" i="66"/>
  <c r="H183" i="66"/>
  <c r="L44" i="66"/>
  <c r="N254" i="66"/>
  <c r="N43" i="66"/>
  <c r="L16" i="66"/>
  <c r="N48" i="66"/>
  <c r="H171" i="66"/>
  <c r="N5" i="66"/>
  <c r="H131" i="66"/>
  <c r="N177" i="66"/>
  <c r="L146" i="66"/>
  <c r="L150" i="66"/>
  <c r="L137" i="66"/>
  <c r="M8" i="66"/>
  <c r="H211" i="66"/>
  <c r="H109" i="66"/>
  <c r="H21" i="66"/>
  <c r="L22" i="66"/>
  <c r="N86" i="66"/>
  <c r="L173" i="66"/>
  <c r="H195" i="66"/>
  <c r="H111" i="66"/>
  <c r="M136" i="66"/>
  <c r="N120" i="66"/>
  <c r="H72" i="66"/>
  <c r="L17" i="66"/>
  <c r="M249" i="66"/>
  <c r="J29" i="66"/>
  <c r="J26" i="66"/>
  <c r="M224" i="66"/>
  <c r="H76" i="66"/>
  <c r="N277" i="66"/>
  <c r="H275" i="66"/>
  <c r="L192" i="66"/>
  <c r="L172" i="66"/>
  <c r="N156" i="66"/>
  <c r="M269" i="66"/>
  <c r="N188" i="66"/>
  <c r="H289" i="66"/>
  <c r="L244" i="66"/>
  <c r="M25" i="66"/>
  <c r="H213" i="66"/>
  <c r="L213" i="66"/>
  <c r="H274" i="66"/>
  <c r="N184" i="66"/>
  <c r="L57" i="66"/>
  <c r="L205" i="66"/>
  <c r="L28" i="66"/>
  <c r="M245" i="66"/>
  <c r="L86" i="66"/>
  <c r="N121" i="66"/>
  <c r="H132" i="66"/>
  <c r="N248" i="66"/>
  <c r="N107" i="66"/>
  <c r="N215" i="66"/>
  <c r="M243" i="66"/>
  <c r="L116" i="66"/>
  <c r="M126" i="66"/>
  <c r="H205" i="66"/>
  <c r="M99" i="66"/>
  <c r="M201" i="66"/>
  <c r="N94" i="66"/>
  <c r="L43" i="66"/>
  <c r="H291" i="66"/>
  <c r="L148" i="66"/>
  <c r="L4" i="66"/>
  <c r="H108" i="66"/>
  <c r="L98" i="66"/>
  <c r="L160" i="66"/>
  <c r="H134" i="66"/>
  <c r="N217" i="66"/>
  <c r="M128" i="66"/>
  <c r="N206" i="66"/>
  <c r="M34" i="66"/>
  <c r="L256" i="66"/>
  <c r="L186" i="66"/>
  <c r="H24" i="66"/>
  <c r="M70" i="66"/>
  <c r="M66" i="66"/>
  <c r="J47" i="66"/>
  <c r="H198" i="66"/>
  <c r="L91" i="66"/>
  <c r="N59" i="66"/>
  <c r="M257" i="66"/>
  <c r="N251" i="66"/>
  <c r="H200" i="66"/>
  <c r="L65" i="66"/>
  <c r="N186" i="66"/>
  <c r="M262" i="66"/>
  <c r="L181" i="66"/>
  <c r="H103" i="66"/>
  <c r="J40" i="66"/>
  <c r="N92" i="66"/>
  <c r="N207" i="66"/>
  <c r="N172" i="66"/>
  <c r="L215" i="66"/>
  <c r="M223" i="66"/>
  <c r="H127" i="66"/>
  <c r="N225" i="66"/>
  <c r="H105" i="66"/>
  <c r="L15" i="66"/>
  <c r="N286" i="66"/>
  <c r="L230" i="66"/>
  <c r="L209" i="66"/>
  <c r="L5" i="66"/>
  <c r="N196" i="66"/>
  <c r="L175" i="66"/>
  <c r="N202" i="66"/>
  <c r="N144" i="66"/>
  <c r="M96" i="66"/>
  <c r="M15" i="66"/>
  <c r="N139" i="66"/>
  <c r="H79" i="66"/>
  <c r="M271" i="66"/>
  <c r="H167" i="66"/>
  <c r="N143" i="66"/>
  <c r="M155" i="66"/>
  <c r="M203" i="66"/>
  <c r="M120" i="66"/>
  <c r="H87" i="66"/>
  <c r="N26" i="66"/>
  <c r="N119" i="66"/>
  <c r="L176" i="66"/>
  <c r="M158" i="66"/>
  <c r="N187" i="66"/>
  <c r="M88" i="66"/>
  <c r="N132" i="66"/>
  <c r="K41" i="66"/>
  <c r="K41" i="74" s="1"/>
  <c r="AI41" i="74" s="1"/>
  <c r="L242" i="66"/>
  <c r="N138" i="66"/>
  <c r="M232" i="66"/>
  <c r="N32" i="66"/>
  <c r="J13" i="66"/>
  <c r="M268" i="66"/>
  <c r="M17" i="66"/>
  <c r="H160" i="66"/>
  <c r="N127" i="66"/>
  <c r="J44" i="66"/>
  <c r="L78" i="66"/>
  <c r="J48" i="66"/>
  <c r="M182" i="66"/>
  <c r="H228" i="66"/>
  <c r="M289" i="66"/>
  <c r="M119" i="66"/>
  <c r="N169" i="66"/>
  <c r="H189" i="66"/>
  <c r="K15" i="66"/>
  <c r="K15" i="74" s="1"/>
  <c r="AI15" i="74" s="1"/>
  <c r="M237" i="66"/>
  <c r="M14" i="66"/>
  <c r="L202" i="66"/>
  <c r="M238" i="66"/>
  <c r="L133" i="66"/>
  <c r="N230" i="66"/>
  <c r="M154" i="66"/>
  <c r="N128" i="66"/>
  <c r="L182" i="66"/>
  <c r="H51" i="66"/>
  <c r="L258" i="66"/>
  <c r="M241" i="66"/>
  <c r="L68" i="66"/>
  <c r="K25" i="66"/>
  <c r="K25" i="74" s="1"/>
  <c r="AI25" i="74" s="1"/>
  <c r="L99" i="66"/>
  <c r="M285" i="66"/>
  <c r="K50" i="66"/>
  <c r="K50" i="74" s="1"/>
  <c r="AI50" i="74" s="1"/>
  <c r="N44" i="66"/>
  <c r="L84" i="66"/>
  <c r="N18" i="66"/>
  <c r="M211" i="66"/>
  <c r="H34" i="66"/>
  <c r="H172" i="66"/>
  <c r="L135" i="66"/>
  <c r="K14" i="66"/>
  <c r="K14" i="74" s="1"/>
  <c r="AI14" i="74" s="1"/>
  <c r="H208" i="66"/>
  <c r="M274" i="66"/>
  <c r="L30" i="66"/>
  <c r="L166" i="66"/>
  <c r="M279" i="66"/>
  <c r="K18" i="66"/>
  <c r="K18" i="74" s="1"/>
  <c r="AI18" i="74" s="1"/>
  <c r="J30" i="66"/>
  <c r="M31" i="66"/>
  <c r="L191" i="66"/>
  <c r="M190" i="66"/>
  <c r="M254" i="66"/>
  <c r="L266" i="66"/>
  <c r="J11" i="66"/>
  <c r="N192" i="66"/>
  <c r="N112" i="66"/>
  <c r="J7" i="66"/>
  <c r="L66" i="66"/>
  <c r="M26" i="66"/>
  <c r="N74" i="66"/>
  <c r="L217" i="66"/>
  <c r="M118" i="66"/>
  <c r="N220" i="66"/>
  <c r="M240" i="66"/>
  <c r="N155" i="66"/>
  <c r="K36" i="66"/>
  <c r="K36" i="74" s="1"/>
  <c r="AI36" i="74" s="1"/>
  <c r="M183" i="66"/>
  <c r="N252" i="66"/>
  <c r="M105" i="66"/>
  <c r="L101" i="66"/>
  <c r="J21" i="66"/>
  <c r="M87" i="66"/>
  <c r="M244" i="66"/>
  <c r="L47" i="66"/>
  <c r="M77" i="66"/>
  <c r="N96" i="66"/>
  <c r="L165" i="66"/>
  <c r="K27" i="66"/>
  <c r="K27" i="74" s="1"/>
  <c r="AI27" i="74" s="1"/>
  <c r="H4" i="66"/>
  <c r="L263" i="66"/>
  <c r="M162" i="66"/>
  <c r="M264" i="66"/>
  <c r="N38" i="66"/>
  <c r="L46" i="66"/>
  <c r="L144" i="66"/>
  <c r="H147" i="66"/>
  <c r="H229" i="66"/>
  <c r="N50" i="66"/>
  <c r="N125" i="66"/>
  <c r="L126" i="66"/>
  <c r="N290" i="66"/>
  <c r="M288" i="66"/>
  <c r="N8" i="66"/>
  <c r="L136" i="66"/>
  <c r="L37" i="66"/>
  <c r="L35" i="66"/>
  <c r="H220" i="66"/>
  <c r="N57" i="66"/>
  <c r="N273" i="66"/>
  <c r="M145" i="66"/>
  <c r="M239" i="66"/>
  <c r="M188" i="66"/>
  <c r="M58" i="66"/>
  <c r="L128" i="66"/>
  <c r="H57" i="66"/>
  <c r="H216" i="66"/>
  <c r="H237" i="66"/>
  <c r="N64" i="66"/>
  <c r="H206" i="66"/>
  <c r="L261" i="66"/>
  <c r="M235" i="66"/>
  <c r="N249" i="66"/>
  <c r="J33" i="66"/>
  <c r="N114" i="66"/>
  <c r="M113" i="66"/>
  <c r="K35" i="66"/>
  <c r="K35" i="74" s="1"/>
  <c r="AI35" i="74" s="1"/>
  <c r="M191" i="66"/>
  <c r="L155" i="66"/>
  <c r="M12" i="66"/>
  <c r="N12" i="66"/>
  <c r="K16" i="66"/>
  <c r="K16" i="74" s="1"/>
  <c r="AI16" i="74" s="1"/>
  <c r="L120" i="66"/>
  <c r="L11" i="66"/>
  <c r="L79" i="66"/>
  <c r="H37" i="66"/>
  <c r="N40" i="66"/>
  <c r="M86" i="66"/>
  <c r="N158" i="66"/>
  <c r="N191" i="66"/>
  <c r="N124" i="66"/>
  <c r="N229" i="66"/>
  <c r="L140" i="66"/>
  <c r="N278" i="66"/>
  <c r="M231" i="66"/>
  <c r="L100" i="66"/>
  <c r="N23" i="66"/>
  <c r="L125" i="66"/>
  <c r="L233" i="66"/>
  <c r="N181" i="66"/>
  <c r="H123" i="66"/>
  <c r="H233" i="66"/>
  <c r="M64" i="66"/>
  <c r="M222" i="66"/>
  <c r="L231" i="66"/>
  <c r="N232" i="66"/>
  <c r="N111" i="66"/>
  <c r="N245" i="66"/>
  <c r="H83" i="66"/>
  <c r="L71" i="66"/>
  <c r="L112" i="66"/>
  <c r="N151" i="66"/>
  <c r="N141" i="66"/>
  <c r="M48" i="66"/>
  <c r="N175" i="66"/>
  <c r="M173" i="66"/>
  <c r="H261" i="66"/>
  <c r="M196" i="66"/>
  <c r="L211" i="66"/>
  <c r="L253" i="66"/>
  <c r="N29" i="66"/>
  <c r="J4" i="66"/>
  <c r="K49" i="66"/>
  <c r="K49" i="74" s="1"/>
  <c r="AI49" i="74" s="1"/>
  <c r="H45" i="66"/>
  <c r="N244" i="66"/>
  <c r="K47" i="66"/>
  <c r="K47" i="74" s="1"/>
  <c r="AI47" i="74" s="1"/>
  <c r="N118" i="66"/>
  <c r="L69" i="66"/>
  <c r="L113" i="66"/>
  <c r="L154" i="66"/>
  <c r="H268" i="66"/>
  <c r="M106" i="66"/>
  <c r="N25" i="66"/>
  <c r="M171" i="66"/>
  <c r="M13" i="66"/>
  <c r="N173" i="66"/>
  <c r="L81" i="66"/>
  <c r="N27" i="66"/>
  <c r="L76" i="66"/>
  <c r="N106" i="66"/>
  <c r="H253" i="66"/>
  <c r="H98" i="66"/>
  <c r="H168" i="66"/>
  <c r="N11" i="66"/>
  <c r="H33" i="66"/>
  <c r="H50" i="66"/>
  <c r="M93" i="66"/>
  <c r="N223" i="66"/>
  <c r="H201" i="66"/>
  <c r="N122" i="66"/>
  <c r="N145" i="66"/>
  <c r="L251" i="66"/>
  <c r="L237" i="66"/>
  <c r="H277" i="66"/>
  <c r="N259" i="66"/>
  <c r="L220" i="66"/>
  <c r="M236" i="66"/>
  <c r="N182" i="66"/>
  <c r="M160" i="66"/>
  <c r="N123" i="66"/>
  <c r="L139" i="66"/>
  <c r="M62" i="66"/>
  <c r="M148" i="66"/>
  <c r="H150" i="66"/>
  <c r="N115" i="66"/>
  <c r="L156" i="66"/>
  <c r="M270" i="66"/>
  <c r="N255" i="66"/>
  <c r="N15" i="66"/>
  <c r="L265" i="66"/>
  <c r="N88" i="66"/>
  <c r="H241" i="66"/>
  <c r="L149" i="66"/>
  <c r="M255" i="66"/>
  <c r="N60" i="66"/>
  <c r="N214" i="66"/>
  <c r="M170" i="66"/>
  <c r="L70" i="66"/>
  <c r="N24" i="66"/>
  <c r="H12" i="66"/>
  <c r="L246" i="66"/>
  <c r="N193" i="66"/>
  <c r="L34" i="66"/>
  <c r="L273" i="66"/>
  <c r="N218" i="66"/>
  <c r="L238" i="66"/>
  <c r="H143" i="66"/>
  <c r="N208" i="66"/>
  <c r="M287" i="66"/>
  <c r="H27" i="66"/>
  <c r="K24" i="66"/>
  <c r="K24" i="74" s="1"/>
  <c r="AI24" i="74" s="1"/>
  <c r="L249" i="66"/>
  <c r="L18" i="66"/>
  <c r="N28" i="66"/>
  <c r="J6" i="66"/>
  <c r="L212" i="66"/>
  <c r="H231" i="66"/>
  <c r="M109" i="66"/>
  <c r="M282" i="66"/>
  <c r="N268" i="66"/>
  <c r="L51" i="66"/>
  <c r="N10" i="66"/>
  <c r="H242" i="66"/>
  <c r="L180" i="66"/>
  <c r="H69" i="66"/>
  <c r="L54" i="66"/>
  <c r="H148" i="66"/>
  <c r="L96" i="66"/>
  <c r="M208" i="66"/>
  <c r="H263" i="66"/>
  <c r="L198" i="66"/>
  <c r="H230" i="66"/>
  <c r="H165" i="66"/>
  <c r="H199" i="66"/>
  <c r="L23" i="66"/>
  <c r="N136" i="66"/>
  <c r="H60" i="66"/>
  <c r="L10" i="66"/>
  <c r="L201" i="66"/>
  <c r="H19" i="66"/>
  <c r="M65" i="66"/>
  <c r="N201" i="66"/>
  <c r="L83" i="66"/>
  <c r="N98" i="66"/>
  <c r="L260" i="66"/>
  <c r="N270" i="66"/>
  <c r="N237" i="66"/>
  <c r="M101" i="66"/>
  <c r="L107" i="66"/>
  <c r="M215" i="66"/>
  <c r="M149" i="66"/>
  <c r="M23" i="66"/>
  <c r="L74" i="66"/>
  <c r="N9" i="66"/>
  <c r="N197" i="66"/>
  <c r="M258" i="66"/>
  <c r="H276" i="66"/>
  <c r="L29" i="66"/>
  <c r="H8" i="66"/>
  <c r="H112" i="66"/>
  <c r="N46" i="66"/>
  <c r="L32" i="66"/>
  <c r="L189" i="66"/>
  <c r="L196" i="66"/>
  <c r="H89" i="66"/>
  <c r="L162" i="66"/>
  <c r="M174" i="66"/>
  <c r="L117" i="66"/>
  <c r="M163" i="66"/>
  <c r="H152" i="66"/>
  <c r="K31" i="66"/>
  <c r="K31" i="74" s="1"/>
  <c r="AI31" i="74" s="1"/>
  <c r="K5" i="66"/>
  <c r="K5" i="74" s="1"/>
  <c r="AI5" i="74" s="1"/>
  <c r="N224" i="66"/>
  <c r="M80" i="66"/>
  <c r="L25" i="66"/>
  <c r="L64" i="66"/>
  <c r="J12" i="66"/>
  <c r="N210" i="66"/>
  <c r="H95" i="66"/>
  <c r="M267" i="66"/>
  <c r="H158" i="66"/>
  <c r="H187" i="66"/>
  <c r="H106" i="66"/>
  <c r="N235" i="66"/>
  <c r="L153" i="66"/>
  <c r="N163" i="66"/>
  <c r="H287" i="66"/>
  <c r="M204" i="66"/>
  <c r="J45" i="66"/>
  <c r="L194" i="66"/>
  <c r="N280" i="66"/>
  <c r="L97" i="66"/>
  <c r="N266" i="66"/>
  <c r="H55" i="66"/>
  <c r="N250" i="66"/>
  <c r="H246" i="66"/>
  <c r="M63" i="66"/>
  <c r="H204" i="66"/>
  <c r="M280" i="66"/>
  <c r="L110" i="66"/>
  <c r="N100" i="66"/>
  <c r="N153" i="66"/>
  <c r="J10" i="66"/>
  <c r="M138" i="66"/>
  <c r="H75" i="66"/>
  <c r="N203" i="66"/>
  <c r="L288" i="66"/>
  <c r="L122" i="66"/>
  <c r="H130" i="66"/>
  <c r="N101" i="66"/>
  <c r="N157" i="66"/>
  <c r="M175" i="66"/>
  <c r="M33" i="66"/>
  <c r="M225" i="66"/>
  <c r="N140" i="66"/>
  <c r="L168" i="66"/>
  <c r="L285" i="66"/>
  <c r="H142" i="66"/>
  <c r="L269" i="66"/>
  <c r="N103" i="66"/>
  <c r="H97" i="66"/>
  <c r="N167" i="66"/>
  <c r="H146" i="66"/>
  <c r="J42" i="66"/>
  <c r="H259" i="66"/>
  <c r="M10" i="66"/>
  <c r="L19" i="66"/>
  <c r="N71" i="66"/>
  <c r="M52" i="66"/>
  <c r="M161" i="66"/>
  <c r="N58" i="66"/>
  <c r="M114" i="66"/>
  <c r="N75" i="66"/>
  <c r="N262" i="66"/>
  <c r="H290" i="66"/>
  <c r="L199" i="66"/>
  <c r="M140" i="66"/>
  <c r="L138" i="66"/>
  <c r="N240" i="66"/>
  <c r="H283" i="66"/>
  <c r="L216" i="66"/>
  <c r="L234" i="66"/>
  <c r="M19" i="66"/>
  <c r="M46" i="66"/>
  <c r="H84" i="66"/>
  <c r="N67" i="66"/>
  <c r="L291" i="66"/>
  <c r="M9" i="66"/>
  <c r="H179" i="66"/>
  <c r="L169" i="66"/>
  <c r="M5" i="66"/>
  <c r="N146" i="66"/>
  <c r="L206" i="66"/>
  <c r="N190" i="66"/>
  <c r="M60" i="66"/>
  <c r="N216" i="66"/>
  <c r="L24" i="66"/>
  <c r="H256" i="66"/>
  <c r="L178" i="66"/>
  <c r="H28" i="66"/>
  <c r="J23" i="66"/>
  <c r="M226" i="66"/>
  <c r="M248" i="66"/>
  <c r="M187" i="66"/>
  <c r="H215" i="66"/>
  <c r="J20" i="66"/>
  <c r="M125" i="66"/>
  <c r="N170" i="66"/>
  <c r="H86" i="66"/>
  <c r="L177" i="66"/>
  <c r="J25" i="66"/>
  <c r="K33" i="66"/>
  <c r="K33" i="74" s="1"/>
  <c r="AI33" i="74" s="1"/>
  <c r="N82" i="66"/>
  <c r="L232" i="66"/>
  <c r="M157" i="66"/>
  <c r="L167" i="66"/>
  <c r="H93" i="66"/>
  <c r="H41" i="66"/>
  <c r="L281" i="66"/>
  <c r="J16" i="66"/>
  <c r="L271" i="66"/>
  <c r="L227" i="66"/>
  <c r="L187" i="66"/>
  <c r="H157" i="66"/>
  <c r="L12" i="66"/>
  <c r="L141" i="66"/>
  <c r="M134" i="66"/>
  <c r="H244" i="66"/>
  <c r="H71" i="66"/>
  <c r="M40" i="66"/>
  <c r="M210" i="66"/>
  <c r="M178" i="66"/>
  <c r="N148" i="66"/>
  <c r="N226" i="66"/>
  <c r="N152" i="66"/>
  <c r="L278" i="66"/>
  <c r="M193" i="66"/>
  <c r="H52" i="66"/>
  <c r="N265" i="66"/>
  <c r="M18" i="66"/>
  <c r="H99" i="66"/>
  <c r="L190" i="66"/>
  <c r="N176" i="66"/>
  <c r="M71" i="66"/>
  <c r="H156" i="66"/>
  <c r="M121" i="66"/>
  <c r="M218" i="66"/>
  <c r="H104" i="66"/>
  <c r="N253" i="66"/>
  <c r="J34" i="66"/>
  <c r="H145" i="66"/>
  <c r="H252" i="66"/>
  <c r="L62" i="66"/>
  <c r="M122" i="66"/>
  <c r="N62" i="66"/>
  <c r="L163" i="66"/>
  <c r="L82" i="66"/>
  <c r="M100" i="66"/>
  <c r="M104" i="66"/>
  <c r="M75" i="66"/>
  <c r="M108" i="66"/>
  <c r="M250" i="66"/>
  <c r="H38" i="66"/>
  <c r="L210" i="66"/>
  <c r="L157" i="66"/>
  <c r="L264" i="66"/>
  <c r="H36" i="66"/>
  <c r="L270" i="66"/>
  <c r="H235" i="66"/>
  <c r="N284" i="66"/>
  <c r="L132" i="66"/>
  <c r="N142" i="66"/>
  <c r="N76" i="66"/>
  <c r="M79" i="66"/>
  <c r="J14" i="66"/>
  <c r="L226" i="66"/>
  <c r="L115" i="66"/>
  <c r="M234" i="66"/>
  <c r="L164" i="66"/>
  <c r="M152" i="66"/>
  <c r="H63" i="66"/>
  <c r="N239" i="66"/>
  <c r="L127" i="66"/>
  <c r="N162" i="66"/>
  <c r="H153" i="66"/>
  <c r="H133" i="66"/>
  <c r="J38" i="66"/>
  <c r="M112" i="66"/>
  <c r="M45" i="66"/>
  <c r="N30" i="66"/>
  <c r="L72" i="66"/>
  <c r="M266" i="66"/>
  <c r="L36" i="66"/>
  <c r="L188" i="66"/>
  <c r="L6" i="66"/>
  <c r="N194" i="66"/>
  <c r="J22" i="66"/>
  <c r="N77" i="66"/>
  <c r="N236" i="66"/>
  <c r="J35" i="66"/>
  <c r="L283" i="66"/>
  <c r="L235" i="66"/>
  <c r="H94" i="66"/>
  <c r="M167" i="66"/>
  <c r="L239" i="66"/>
  <c r="H227" i="66"/>
  <c r="H137" i="66"/>
  <c r="M263" i="66"/>
  <c r="L284" i="66"/>
  <c r="M47" i="66"/>
  <c r="L197" i="66"/>
  <c r="N205" i="66"/>
  <c r="H207" i="66"/>
  <c r="H271" i="66"/>
  <c r="H281" i="66"/>
  <c r="H250" i="66"/>
  <c r="M49" i="66"/>
  <c r="J41" i="66"/>
  <c r="H56" i="66"/>
  <c r="K7" i="66"/>
  <c r="K7" i="74" s="1"/>
  <c r="AI7" i="74" s="1"/>
  <c r="L145" i="66"/>
  <c r="H135" i="66"/>
  <c r="H226" i="66"/>
  <c r="K43" i="66"/>
  <c r="K43" i="74" s="1"/>
  <c r="AI43" i="74" s="1"/>
  <c r="N22" i="66"/>
  <c r="M16" i="66"/>
  <c r="M61" i="66"/>
  <c r="J5" i="66"/>
  <c r="H16" i="66"/>
  <c r="L48" i="66"/>
  <c r="J43" i="66"/>
  <c r="N126" i="66"/>
  <c r="M27" i="66"/>
  <c r="M57" i="66"/>
  <c r="L53" i="66"/>
  <c r="N90" i="66"/>
  <c r="L33" i="66"/>
  <c r="M217" i="66"/>
  <c r="L184" i="66"/>
  <c r="L134" i="66"/>
  <c r="M29" i="66"/>
  <c r="M195" i="66"/>
  <c r="M283" i="66"/>
  <c r="N269" i="66"/>
  <c r="H124" i="66"/>
  <c r="H286" i="66"/>
  <c r="M286" i="66"/>
  <c r="H254" i="66"/>
  <c r="M78" i="66"/>
  <c r="L289" i="66"/>
  <c r="L40" i="66"/>
  <c r="J36" i="66"/>
  <c r="L195" i="66"/>
  <c r="L272" i="66"/>
  <c r="H9" i="66"/>
  <c r="N52" i="66"/>
  <c r="J28" i="66"/>
  <c r="L225" i="66"/>
  <c r="L287" i="66"/>
  <c r="M273" i="66"/>
  <c r="L257" i="66"/>
  <c r="L42" i="66"/>
  <c r="L13" i="66"/>
  <c r="L223" i="66"/>
  <c r="M220" i="66"/>
  <c r="L87" i="66"/>
  <c r="M206" i="66"/>
  <c r="H175" i="66"/>
  <c r="H202" i="66"/>
  <c r="H255" i="66"/>
  <c r="L147" i="66"/>
  <c r="N287" i="66"/>
  <c r="L228" i="66"/>
  <c r="L88" i="66"/>
  <c r="M53" i="66"/>
  <c r="M73" i="66"/>
  <c r="H193" i="66"/>
  <c r="N34" i="66"/>
  <c r="L170" i="66"/>
  <c r="N49" i="66"/>
  <c r="N247" i="66"/>
  <c r="M147" i="66"/>
  <c r="N228" i="66"/>
  <c r="M67" i="66"/>
  <c r="N47" i="66"/>
  <c r="H196" i="66"/>
  <c r="K11" i="66"/>
  <c r="K11" i="74" s="1"/>
  <c r="AI11" i="74" s="1"/>
  <c r="L80" i="66"/>
  <c r="H159" i="66"/>
  <c r="M189" i="66"/>
  <c r="L240" i="66"/>
  <c r="M168" i="66"/>
  <c r="M95" i="66"/>
  <c r="L45" i="66"/>
  <c r="N272" i="66"/>
  <c r="H247" i="66"/>
  <c r="L214" i="66"/>
  <c r="M166" i="66"/>
  <c r="K19" i="66"/>
  <c r="K19" i="74" s="1"/>
  <c r="AI19" i="74" s="1"/>
  <c r="L67" i="66"/>
  <c r="L290" i="66"/>
  <c r="H249" i="66"/>
  <c r="H14" i="66"/>
  <c r="H39" i="66"/>
  <c r="H115" i="66"/>
  <c r="N33" i="66"/>
  <c r="H264" i="66"/>
  <c r="N288" i="66"/>
  <c r="L92" i="66"/>
  <c r="N31" i="66"/>
  <c r="K51" i="66"/>
  <c r="K51" i="74" s="1"/>
  <c r="AI51" i="74" s="1"/>
  <c r="N93" i="66"/>
  <c r="N13" i="66"/>
  <c r="N263" i="66"/>
  <c r="L236" i="66"/>
  <c r="H47" i="66"/>
  <c r="N105" i="66"/>
  <c r="N200" i="66"/>
  <c r="M28" i="66"/>
  <c r="L221" i="66"/>
  <c r="H185" i="66"/>
  <c r="H163" i="66"/>
  <c r="L95" i="66"/>
  <c r="L279" i="66"/>
  <c r="H120" i="66"/>
  <c r="N78" i="66"/>
  <c r="M82" i="66"/>
  <c r="M44" i="66"/>
  <c r="H139" i="66"/>
  <c r="K13" i="66"/>
  <c r="K13" i="74" s="1"/>
  <c r="AI13" i="74" s="1"/>
  <c r="H182" i="66"/>
  <c r="K22" i="66"/>
  <c r="K22" i="74" s="1"/>
  <c r="AI22" i="74" s="1"/>
  <c r="K38" i="66"/>
  <c r="K38" i="74" s="1"/>
  <c r="AI38" i="74" s="1"/>
  <c r="H141" i="66"/>
  <c r="H180" i="66"/>
  <c r="M129" i="66"/>
  <c r="M284" i="66"/>
  <c r="M111" i="66"/>
  <c r="M207" i="66"/>
  <c r="L204" i="66"/>
  <c r="M135" i="66"/>
  <c r="M38" i="66"/>
  <c r="N7" i="66"/>
  <c r="N16" i="66"/>
  <c r="M214" i="66"/>
  <c r="M24" i="66"/>
  <c r="N180" i="66"/>
  <c r="L218" i="66"/>
  <c r="L26" i="66"/>
  <c r="K40" i="66"/>
  <c r="K40" i="74" s="1"/>
  <c r="AI40" i="74" s="1"/>
  <c r="N199" i="66"/>
  <c r="L174" i="66"/>
  <c r="N4" i="66"/>
  <c r="N97" i="66"/>
  <c r="N73" i="66"/>
  <c r="L103" i="66"/>
  <c r="L129" i="66"/>
  <c r="M192" i="66"/>
  <c r="L9" i="66"/>
  <c r="K39" i="66"/>
  <c r="K39" i="74" s="1"/>
  <c r="AI39" i="74" s="1"/>
  <c r="M291" i="66"/>
  <c r="N104" i="66"/>
  <c r="M142" i="66"/>
  <c r="N63" i="66"/>
  <c r="N282" i="66"/>
  <c r="H100" i="66"/>
  <c r="N53" i="66"/>
  <c r="M172" i="66"/>
  <c r="H15" i="66"/>
  <c r="J50" i="66"/>
  <c r="N37" i="66"/>
  <c r="N95" i="66"/>
  <c r="L183" i="66"/>
  <c r="H82" i="66"/>
  <c r="H117" i="66"/>
  <c r="N166" i="66"/>
  <c r="L255" i="66"/>
  <c r="D261" i="72" a="1"/>
  <c r="D261" i="72" s="1"/>
  <c r="D136" i="72" a="1"/>
  <c r="D136" i="72" s="1"/>
  <c r="D62" i="77" l="1"/>
  <c r="T9" i="66"/>
  <c r="K9" i="74"/>
  <c r="AI9" i="74" s="1"/>
  <c r="X37" i="66"/>
  <c r="K37" i="74"/>
  <c r="AI37" i="74" s="1"/>
  <c r="X34" i="66"/>
  <c r="K34" i="74"/>
  <c r="AI34" i="74" s="1"/>
  <c r="D63" i="77"/>
  <c r="D64" i="77"/>
  <c r="D65" i="77"/>
  <c r="E12" i="39"/>
  <c r="G28" i="77"/>
  <c r="G25" i="77"/>
  <c r="G27" i="77"/>
  <c r="G31" i="77"/>
  <c r="G26" i="77"/>
  <c r="G23" i="77"/>
  <c r="G34" i="77"/>
  <c r="G30" i="77"/>
  <c r="M38" i="74"/>
  <c r="J146" i="74"/>
  <c r="M86" i="74"/>
  <c r="T37" i="66"/>
  <c r="J129" i="74"/>
  <c r="L31" i="74"/>
  <c r="M4" i="74"/>
  <c r="Q4" i="66"/>
  <c r="W4" i="66" s="1"/>
  <c r="J12" i="74"/>
  <c r="E20" i="34"/>
  <c r="M115" i="74"/>
  <c r="J120" i="74"/>
  <c r="M53" i="74"/>
  <c r="S192" i="66"/>
  <c r="J437" i="41"/>
  <c r="S172" i="66"/>
  <c r="J130" i="74"/>
  <c r="M56" i="74"/>
  <c r="J141" i="74"/>
  <c r="H260" i="66"/>
  <c r="S189" i="66"/>
  <c r="M121" i="74"/>
  <c r="M11" i="74"/>
  <c r="J114" i="74"/>
  <c r="N63" i="74"/>
  <c r="N58" i="74"/>
  <c r="M67" i="74"/>
  <c r="N112" i="74"/>
  <c r="G91" i="74"/>
  <c r="Q157" i="66"/>
  <c r="W157" i="66" s="1"/>
  <c r="N133" i="74"/>
  <c r="G106" i="74"/>
  <c r="S167" i="66"/>
  <c r="X157" i="66"/>
  <c r="Q99" i="66"/>
  <c r="W99" i="66" s="1"/>
  <c r="Y99" i="66" s="1"/>
  <c r="M72" i="74"/>
  <c r="M22" i="74"/>
  <c r="T99" i="66"/>
  <c r="L138" i="74"/>
  <c r="T114" i="66"/>
  <c r="I473" i="58"/>
  <c r="I473" i="41" s="1"/>
  <c r="N15" i="74"/>
  <c r="L85" i="74"/>
  <c r="J75" i="74"/>
  <c r="S4" i="66"/>
  <c r="L115" i="74"/>
  <c r="N30" i="74"/>
  <c r="L67" i="74"/>
  <c r="M18" i="74"/>
  <c r="J56" i="74"/>
  <c r="T53" i="66"/>
  <c r="J5" i="74"/>
  <c r="T220" i="66"/>
  <c r="L118" i="74"/>
  <c r="M61" i="74"/>
  <c r="L132" i="74"/>
  <c r="N110" i="74"/>
  <c r="O4" i="41"/>
  <c r="M76" i="74"/>
  <c r="K53" i="74"/>
  <c r="S176" i="66"/>
  <c r="U176" i="66" s="1"/>
  <c r="H25" i="74"/>
  <c r="J104" i="74"/>
  <c r="L103" i="74"/>
  <c r="L99" i="74"/>
  <c r="N14" i="74"/>
  <c r="N105" i="74"/>
  <c r="G100" i="74"/>
  <c r="O6" i="41"/>
  <c r="X132" i="66"/>
  <c r="L6" i="74"/>
  <c r="T4" i="66"/>
  <c r="J73" i="74"/>
  <c r="M109" i="74"/>
  <c r="N25" i="74"/>
  <c r="K114" i="74"/>
  <c r="AI114" i="74" s="1"/>
  <c r="N142" i="74"/>
  <c r="J79" i="74"/>
  <c r="N27" i="74"/>
  <c r="N47" i="74"/>
  <c r="N97" i="74"/>
  <c r="G283" i="66"/>
  <c r="O283" i="66" s="1"/>
  <c r="T4" i="74"/>
  <c r="N17" i="74"/>
  <c r="X4" i="66"/>
  <c r="E13" i="39"/>
  <c r="E14" i="39"/>
  <c r="N95" i="74"/>
  <c r="G284" i="66"/>
  <c r="AB3" i="39"/>
  <c r="G71" i="74"/>
  <c r="G124" i="74"/>
  <c r="L69" i="74"/>
  <c r="H73" i="74"/>
  <c r="M9" i="74"/>
  <c r="N129" i="74"/>
  <c r="N139" i="74"/>
  <c r="J53" i="74"/>
  <c r="O5" i="41"/>
  <c r="N73" i="74"/>
  <c r="J42" i="74"/>
  <c r="T82" i="66"/>
  <c r="N90" i="74"/>
  <c r="S156" i="66"/>
  <c r="J134" i="74"/>
  <c r="Q82" i="66"/>
  <c r="W82" i="66" s="1"/>
  <c r="Y82" i="66" s="1"/>
  <c r="N49" i="74"/>
  <c r="J110" i="74"/>
  <c r="J428" i="41"/>
  <c r="N53" i="74"/>
  <c r="N126" i="74"/>
  <c r="L42" i="74"/>
  <c r="N45" i="74"/>
  <c r="L45" i="74"/>
  <c r="J43" i="74"/>
  <c r="J8" i="74"/>
  <c r="M44" i="74"/>
  <c r="J38" i="74"/>
  <c r="N98" i="74"/>
  <c r="L12" i="74"/>
  <c r="L46" i="39"/>
  <c r="E159" i="38" s="1"/>
  <c r="I467" i="58" s="1"/>
  <c r="M135" i="74"/>
  <c r="N79" i="74"/>
  <c r="L122" i="74"/>
  <c r="J115" i="74"/>
  <c r="L100" i="74"/>
  <c r="E363" i="38"/>
  <c r="L124" i="66" s="1"/>
  <c r="O124" i="66" s="1"/>
  <c r="J476" i="41"/>
  <c r="J436" i="41"/>
  <c r="J460" i="37"/>
  <c r="J461" i="37"/>
  <c r="G134" i="74"/>
  <c r="G127" i="66"/>
  <c r="G127" i="74" s="1"/>
  <c r="J426" i="41"/>
  <c r="M75" i="74"/>
  <c r="F222" i="18"/>
  <c r="G125" i="66"/>
  <c r="G125" i="74" s="1"/>
  <c r="J429" i="41"/>
  <c r="H56" i="74"/>
  <c r="J105" i="74"/>
  <c r="J427" i="41"/>
  <c r="E15" i="39" s="1"/>
  <c r="G141" i="66"/>
  <c r="E42" i="39"/>
  <c r="E123" i="38" s="1"/>
  <c r="J132" i="74"/>
  <c r="G129" i="66"/>
  <c r="G129" i="74" s="1"/>
  <c r="J434" i="41"/>
  <c r="J11" i="74"/>
  <c r="G285" i="66"/>
  <c r="M42" i="39"/>
  <c r="E174" i="38" s="1"/>
  <c r="J461" i="58"/>
  <c r="J460" i="58"/>
  <c r="N76" i="74"/>
  <c r="N60" i="74"/>
  <c r="L101" i="74"/>
  <c r="N123" i="74"/>
  <c r="L37" i="74"/>
  <c r="H27" i="74"/>
  <c r="E16" i="39"/>
  <c r="M77" i="74"/>
  <c r="H42" i="74"/>
  <c r="J143" i="74"/>
  <c r="L32" i="74"/>
  <c r="N44" i="74"/>
  <c r="M5" i="74"/>
  <c r="N100" i="74"/>
  <c r="M27" i="74"/>
  <c r="M29" i="74"/>
  <c r="N28" i="74"/>
  <c r="M79" i="74"/>
  <c r="H75" i="74"/>
  <c r="N34" i="74"/>
  <c r="J99" i="74"/>
  <c r="N94" i="74"/>
  <c r="H5" i="74"/>
  <c r="L63" i="74"/>
  <c r="L78" i="74"/>
  <c r="M95" i="74"/>
  <c r="L88" i="74"/>
  <c r="M125" i="74"/>
  <c r="L36" i="74"/>
  <c r="M88" i="74"/>
  <c r="T253" i="66"/>
  <c r="N36" i="74"/>
  <c r="M100" i="74"/>
  <c r="N5" i="74"/>
  <c r="N146" i="74"/>
  <c r="J98" i="74"/>
  <c r="N75" i="74"/>
  <c r="O156" i="66"/>
  <c r="L102" i="74"/>
  <c r="N40" i="74"/>
  <c r="N12" i="74"/>
  <c r="N33" i="74"/>
  <c r="L147" i="74"/>
  <c r="N71" i="74"/>
  <c r="N24" i="74"/>
  <c r="N4" i="74"/>
  <c r="J77" i="74"/>
  <c r="N52" i="74"/>
  <c r="M47" i="74"/>
  <c r="L117" i="74"/>
  <c r="J22" i="74"/>
  <c r="N127" i="74"/>
  <c r="L29" i="74"/>
  <c r="L35" i="74"/>
  <c r="J20" i="74"/>
  <c r="L15" i="74"/>
  <c r="H88" i="74"/>
  <c r="J14" i="74"/>
  <c r="O202" i="66"/>
  <c r="M104" i="74"/>
  <c r="J34" i="74"/>
  <c r="S34" i="66"/>
  <c r="M19" i="74"/>
  <c r="L64" i="74"/>
  <c r="N120" i="74"/>
  <c r="L107" i="74"/>
  <c r="J17" i="74"/>
  <c r="L89" i="74"/>
  <c r="L58" i="74"/>
  <c r="L33" i="74"/>
  <c r="S154" i="66"/>
  <c r="M129" i="74"/>
  <c r="M52" i="74"/>
  <c r="T34" i="66"/>
  <c r="M134" i="74"/>
  <c r="L129" i="74"/>
  <c r="S99" i="66"/>
  <c r="J107" i="74"/>
  <c r="M16" i="74"/>
  <c r="O223" i="66"/>
  <c r="J100" i="74"/>
  <c r="J89" i="74"/>
  <c r="N114" i="74"/>
  <c r="J92" i="74"/>
  <c r="L110" i="74"/>
  <c r="M111" i="74"/>
  <c r="L133" i="74"/>
  <c r="N31" i="74"/>
  <c r="M73" i="74"/>
  <c r="N115" i="74"/>
  <c r="J97" i="74"/>
  <c r="N132" i="74"/>
  <c r="J50" i="74"/>
  <c r="L10" i="74"/>
  <c r="J83" i="74"/>
  <c r="H90" i="74"/>
  <c r="L13" i="74"/>
  <c r="J431" i="41"/>
  <c r="J85" i="74"/>
  <c r="L28" i="74"/>
  <c r="L72" i="74"/>
  <c r="N88" i="74"/>
  <c r="M91" i="74"/>
  <c r="J36" i="74"/>
  <c r="I454" i="41"/>
  <c r="J439" i="41"/>
  <c r="I463" i="41"/>
  <c r="I453" i="41"/>
  <c r="H17" i="74"/>
  <c r="O182" i="66"/>
  <c r="N62" i="74"/>
  <c r="O196" i="66"/>
  <c r="L97" i="74"/>
  <c r="H53" i="74"/>
  <c r="M25" i="74"/>
  <c r="L41" i="74"/>
  <c r="L48" i="74"/>
  <c r="O241" i="66"/>
  <c r="H10" i="74"/>
  <c r="J41" i="74"/>
  <c r="L141" i="74"/>
  <c r="L24" i="74"/>
  <c r="M39" i="74"/>
  <c r="M40" i="74"/>
  <c r="Q9" i="66"/>
  <c r="M49" i="74"/>
  <c r="N77" i="74"/>
  <c r="M33" i="74"/>
  <c r="S190" i="66"/>
  <c r="S9" i="66"/>
  <c r="U9" i="66" s="1"/>
  <c r="J76" i="74"/>
  <c r="J84" i="74"/>
  <c r="L71" i="74"/>
  <c r="N37" i="74"/>
  <c r="N101" i="74"/>
  <c r="L112" i="74"/>
  <c r="L4" i="74"/>
  <c r="J101" i="74"/>
  <c r="M145" i="74"/>
  <c r="L59" i="74"/>
  <c r="S253" i="66"/>
  <c r="N11" i="74"/>
  <c r="J40" i="74"/>
  <c r="M114" i="74"/>
  <c r="N145" i="74"/>
  <c r="H92" i="74"/>
  <c r="I444" i="41"/>
  <c r="L134" i="74"/>
  <c r="J102" i="74"/>
  <c r="J131" i="74"/>
  <c r="I443" i="41"/>
  <c r="O175" i="66"/>
  <c r="L94" i="74"/>
  <c r="O46" i="66"/>
  <c r="H30" i="74"/>
  <c r="H61" i="74"/>
  <c r="J135" i="74"/>
  <c r="L40" i="74"/>
  <c r="N141" i="74"/>
  <c r="I449" i="41"/>
  <c r="G142" i="74"/>
  <c r="J94" i="74"/>
  <c r="N78" i="74"/>
  <c r="N29" i="74"/>
  <c r="M99" i="74"/>
  <c r="L90" i="74"/>
  <c r="J19" i="74"/>
  <c r="N72" i="74"/>
  <c r="O190" i="66"/>
  <c r="L61" i="74"/>
  <c r="T124" i="66"/>
  <c r="Q124" i="66"/>
  <c r="K124" i="74"/>
  <c r="AI124" i="74" s="1"/>
  <c r="K39" i="20"/>
  <c r="K35" i="20"/>
  <c r="T36" i="20"/>
  <c r="T42" i="20"/>
  <c r="K43" i="20"/>
  <c r="K34" i="20"/>
  <c r="T46" i="20"/>
  <c r="T40" i="20"/>
  <c r="T44" i="20"/>
  <c r="K40" i="20"/>
  <c r="E88" i="22"/>
  <c r="T35" i="20"/>
  <c r="K44" i="20"/>
  <c r="K45" i="20"/>
  <c r="K37" i="20"/>
  <c r="K46" i="20"/>
  <c r="T39" i="20"/>
  <c r="K33" i="20"/>
  <c r="K42" i="20"/>
  <c r="K36" i="20"/>
  <c r="T34" i="20"/>
  <c r="T43" i="20"/>
  <c r="K41" i="20"/>
  <c r="K38" i="20"/>
  <c r="T38" i="20"/>
  <c r="T45" i="20"/>
  <c r="T37" i="20"/>
  <c r="T41" i="20"/>
  <c r="T33" i="20"/>
  <c r="R40" i="9"/>
  <c r="Q190" i="66"/>
  <c r="T190" i="66"/>
  <c r="F141" i="18"/>
  <c r="J141" i="18"/>
  <c r="J440" i="37"/>
  <c r="H122" i="66"/>
  <c r="H44" i="74"/>
  <c r="O44" i="66"/>
  <c r="I44" i="18"/>
  <c r="H44" i="18"/>
  <c r="H78" i="74"/>
  <c r="H32" i="74"/>
  <c r="O32" i="66"/>
  <c r="I462" i="41"/>
  <c r="F303" i="18"/>
  <c r="J303" i="18"/>
  <c r="H284" i="66"/>
  <c r="J453" i="58"/>
  <c r="H272" i="66"/>
  <c r="O272" i="66" s="1"/>
  <c r="J448" i="58"/>
  <c r="H5" i="18"/>
  <c r="I5" i="18"/>
  <c r="G263" i="66"/>
  <c r="O192" i="66"/>
  <c r="T288" i="66"/>
  <c r="Q288" i="66"/>
  <c r="J175" i="18"/>
  <c r="F175" i="18"/>
  <c r="K76" i="74"/>
  <c r="AI76" i="74" s="1"/>
  <c r="L62" i="74"/>
  <c r="J13" i="74"/>
  <c r="N26" i="74"/>
  <c r="M15" i="74"/>
  <c r="Q272" i="66"/>
  <c r="T272" i="66"/>
  <c r="J86" i="18"/>
  <c r="F86" i="18"/>
  <c r="J450" i="37"/>
  <c r="H125" i="66"/>
  <c r="H118" i="66"/>
  <c r="J454" i="37"/>
  <c r="F133" i="18"/>
  <c r="J133" i="18"/>
  <c r="F95" i="18"/>
  <c r="J95" i="18"/>
  <c r="I52" i="18"/>
  <c r="H52" i="18"/>
  <c r="I49" i="18"/>
  <c r="H49" i="18"/>
  <c r="T156" i="66"/>
  <c r="Q156" i="66"/>
  <c r="H74" i="74"/>
  <c r="H257" i="66"/>
  <c r="J449" i="58"/>
  <c r="I10" i="18"/>
  <c r="H10" i="18"/>
  <c r="Q237" i="66"/>
  <c r="T237" i="66"/>
  <c r="H48" i="74"/>
  <c r="O48" i="66"/>
  <c r="H77" i="74"/>
  <c r="O77" i="66"/>
  <c r="J441" i="37"/>
  <c r="J441" i="41" s="1"/>
  <c r="H116" i="66"/>
  <c r="F304" i="18"/>
  <c r="J304" i="18"/>
  <c r="T76" i="66"/>
  <c r="L26" i="74"/>
  <c r="L80" i="74"/>
  <c r="O61" i="66"/>
  <c r="C4" i="9"/>
  <c r="Q36" i="9" a="1"/>
  <c r="Q36" i="9" s="1"/>
  <c r="Q28" i="9" a="1"/>
  <c r="Q28" i="9" s="1"/>
  <c r="Q38" i="9" a="1"/>
  <c r="Q38" i="9" s="1"/>
  <c r="E85" i="22" s="1"/>
  <c r="Q26" i="9" a="1"/>
  <c r="Q26" i="9" s="1"/>
  <c r="J136" i="18"/>
  <c r="F136" i="18"/>
  <c r="G139" i="66"/>
  <c r="J433" i="41"/>
  <c r="F139" i="18"/>
  <c r="J139" i="18"/>
  <c r="F216" i="18"/>
  <c r="J216" i="18"/>
  <c r="T23" i="66"/>
  <c r="Q23" i="66"/>
  <c r="H136" i="66"/>
  <c r="J446" i="37"/>
  <c r="H128" i="66"/>
  <c r="J448" i="37"/>
  <c r="K96" i="74"/>
  <c r="AI96" i="74" s="1"/>
  <c r="T96" i="66"/>
  <c r="Q96" i="66"/>
  <c r="F218" i="18"/>
  <c r="J218" i="18"/>
  <c r="I46" i="18"/>
  <c r="H46" i="18"/>
  <c r="I47" i="18"/>
  <c r="H47" i="18"/>
  <c r="F224" i="18"/>
  <c r="J224" i="18"/>
  <c r="J98" i="18"/>
  <c r="F98" i="18"/>
  <c r="I440" i="41"/>
  <c r="F309" i="18"/>
  <c r="J309" i="18"/>
  <c r="D46" i="39"/>
  <c r="E108" i="38" s="1"/>
  <c r="H68" i="74"/>
  <c r="J305" i="18"/>
  <c r="F305" i="18"/>
  <c r="H9" i="18"/>
  <c r="I9" i="18"/>
  <c r="D7" i="72" a="1"/>
  <c r="D7" i="72" s="1"/>
  <c r="J129" i="18"/>
  <c r="F129" i="18"/>
  <c r="F174" i="18"/>
  <c r="J174" i="18"/>
  <c r="I442" i="41"/>
  <c r="Q167" i="66"/>
  <c r="T167" i="66"/>
  <c r="J93" i="18"/>
  <c r="F93" i="18"/>
  <c r="J259" i="18"/>
  <c r="F259" i="18"/>
  <c r="I51" i="18"/>
  <c r="H51" i="18"/>
  <c r="H12" i="18"/>
  <c r="I12" i="18"/>
  <c r="J463" i="58"/>
  <c r="O250" i="66"/>
  <c r="L53" i="74"/>
  <c r="M112" i="74"/>
  <c r="N82" i="74"/>
  <c r="O204" i="66"/>
  <c r="M13" i="74"/>
  <c r="L46" i="74"/>
  <c r="T231" i="66"/>
  <c r="L49" i="74"/>
  <c r="D48" i="17"/>
  <c r="M10" i="9"/>
  <c r="O26" i="9" a="1"/>
  <c r="O26" i="9" s="1"/>
  <c r="O38" i="9" a="1"/>
  <c r="O38" i="9" s="1"/>
  <c r="E75" i="22" s="1"/>
  <c r="O28" i="9" a="1"/>
  <c r="O28" i="9" s="1"/>
  <c r="O36" i="9" a="1"/>
  <c r="O36" i="9" s="1"/>
  <c r="J135" i="18"/>
  <c r="F135" i="18"/>
  <c r="G140" i="66"/>
  <c r="J432" i="41"/>
  <c r="K117" i="74"/>
  <c r="AI117" i="74" s="1"/>
  <c r="T117" i="66"/>
  <c r="O214" i="66"/>
  <c r="F177" i="18"/>
  <c r="J177" i="18"/>
  <c r="J453" i="37"/>
  <c r="H140" i="66"/>
  <c r="T192" i="66"/>
  <c r="Q192" i="66"/>
  <c r="J170" i="18"/>
  <c r="F170" i="18"/>
  <c r="I50" i="18"/>
  <c r="H50" i="18"/>
  <c r="F89" i="18"/>
  <c r="J89" i="18"/>
  <c r="O173" i="66"/>
  <c r="T165" i="66"/>
  <c r="J263" i="18"/>
  <c r="F263" i="18"/>
  <c r="J443" i="58"/>
  <c r="H245" i="66"/>
  <c r="I7" i="18"/>
  <c r="H7" i="18"/>
  <c r="O221" i="66"/>
  <c r="J132" i="18"/>
  <c r="F132" i="18"/>
  <c r="J301" i="18"/>
  <c r="F301" i="18"/>
  <c r="E45" i="22"/>
  <c r="R8" i="9"/>
  <c r="H29" i="74"/>
  <c r="O29" i="66"/>
  <c r="T128" i="66"/>
  <c r="Q128" i="66"/>
  <c r="K128" i="74"/>
  <c r="AI128" i="74" s="1"/>
  <c r="H45" i="18"/>
  <c r="I45" i="18"/>
  <c r="Q93" i="66"/>
  <c r="T93" i="66"/>
  <c r="K93" i="74"/>
  <c r="AI93" i="74" s="1"/>
  <c r="Q76" i="66"/>
  <c r="L95" i="74"/>
  <c r="M147" i="74"/>
  <c r="L47" i="74"/>
  <c r="M14" i="74"/>
  <c r="S231" i="66"/>
  <c r="L14" i="74"/>
  <c r="J15" i="74"/>
  <c r="Q224" i="66"/>
  <c r="T224" i="66"/>
  <c r="G143" i="66"/>
  <c r="G143" i="74" s="1"/>
  <c r="J430" i="41"/>
  <c r="J463" i="37"/>
  <c r="T48" i="66"/>
  <c r="Q48" i="66"/>
  <c r="H96" i="74"/>
  <c r="O96" i="66"/>
  <c r="F128" i="18"/>
  <c r="J128" i="18"/>
  <c r="E312" i="38"/>
  <c r="E306" i="38"/>
  <c r="J212" i="18"/>
  <c r="F212" i="18"/>
  <c r="I57" i="18"/>
  <c r="H57" i="18"/>
  <c r="J262" i="18"/>
  <c r="F262" i="18"/>
  <c r="J130" i="18"/>
  <c r="F130" i="18"/>
  <c r="J94" i="18"/>
  <c r="F94" i="18"/>
  <c r="E120" i="38"/>
  <c r="F223" i="18"/>
  <c r="J223" i="18"/>
  <c r="T204" i="66"/>
  <c r="Q204" i="66"/>
  <c r="T261" i="66"/>
  <c r="H270" i="66"/>
  <c r="J445" i="58"/>
  <c r="G108" i="74"/>
  <c r="O176" i="66"/>
  <c r="J213" i="18"/>
  <c r="F213" i="18"/>
  <c r="H13" i="18"/>
  <c r="I13" i="18"/>
  <c r="I450" i="41"/>
  <c r="F137" i="18"/>
  <c r="J137" i="18"/>
  <c r="O188" i="66"/>
  <c r="H269" i="66"/>
  <c r="O269" i="66" s="1"/>
  <c r="J450" i="58"/>
  <c r="L9" i="74"/>
  <c r="Q220" i="66"/>
  <c r="N10" i="74"/>
  <c r="Q231" i="66"/>
  <c r="F225" i="18"/>
  <c r="J225" i="18"/>
  <c r="Q46" i="66"/>
  <c r="T46" i="66"/>
  <c r="H101" i="66"/>
  <c r="J443" i="37"/>
  <c r="E324" i="38"/>
  <c r="N213" i="66" s="1"/>
  <c r="E318" i="38"/>
  <c r="D101" i="72" a="1"/>
  <c r="D101" i="72" s="1"/>
  <c r="F131" i="18"/>
  <c r="J131" i="18"/>
  <c r="H55" i="18"/>
  <c r="I55" i="18"/>
  <c r="J261" i="18"/>
  <c r="F261" i="18"/>
  <c r="J260" i="18"/>
  <c r="F260" i="18"/>
  <c r="T12" i="66"/>
  <c r="Q12" i="66"/>
  <c r="J176" i="18"/>
  <c r="F176" i="18"/>
  <c r="F267" i="18"/>
  <c r="J267" i="18"/>
  <c r="H266" i="66"/>
  <c r="J440" i="58"/>
  <c r="J477" i="41"/>
  <c r="E364" i="38"/>
  <c r="L108" i="66" s="1"/>
  <c r="L108" i="74" s="1"/>
  <c r="J99" i="18"/>
  <c r="F99" i="18"/>
  <c r="I15" i="18"/>
  <c r="H15" i="18"/>
  <c r="I447" i="41"/>
  <c r="E288" i="38"/>
  <c r="E282" i="38"/>
  <c r="E171" i="38"/>
  <c r="D40" i="72" a="1"/>
  <c r="D40" i="72" s="1"/>
  <c r="D41" i="72" s="1" a="1"/>
  <c r="D41" i="72" s="1"/>
  <c r="T154" i="66"/>
  <c r="Q154" i="66"/>
  <c r="J215" i="18"/>
  <c r="F215" i="18"/>
  <c r="D162" i="72" a="1"/>
  <c r="D162" i="72" s="1"/>
  <c r="G51" i="66"/>
  <c r="E287" i="38"/>
  <c r="N51" i="66" s="1"/>
  <c r="D224" i="72" a="1"/>
  <c r="D224" i="72" s="1"/>
  <c r="I54" i="18"/>
  <c r="H54" i="18"/>
  <c r="J219" i="18"/>
  <c r="F219" i="18"/>
  <c r="H425" i="37"/>
  <c r="L82" i="74"/>
  <c r="N136" i="74"/>
  <c r="L11" i="74"/>
  <c r="M87" i="74"/>
  <c r="S262" i="66"/>
  <c r="J82" i="74"/>
  <c r="L146" i="74"/>
  <c r="J264" i="18"/>
  <c r="F264" i="18"/>
  <c r="F182" i="18"/>
  <c r="J182" i="18"/>
  <c r="J91" i="18"/>
  <c r="F91" i="18"/>
  <c r="J217" i="18"/>
  <c r="F217" i="18"/>
  <c r="Q172" i="66"/>
  <c r="T172" i="66"/>
  <c r="H113" i="66"/>
  <c r="J449" i="37"/>
  <c r="J138" i="18"/>
  <c r="F138" i="18"/>
  <c r="J298" i="18"/>
  <c r="F298" i="18"/>
  <c r="I458" i="37"/>
  <c r="I459" i="37"/>
  <c r="O94" i="66"/>
  <c r="F87" i="18"/>
  <c r="J87" i="18"/>
  <c r="J178" i="18"/>
  <c r="F178" i="18"/>
  <c r="H262" i="66"/>
  <c r="O262" i="66" s="1"/>
  <c r="J454" i="58"/>
  <c r="J462" i="37"/>
  <c r="D69" i="72" a="1"/>
  <c r="D69" i="72" s="1"/>
  <c r="I4" i="18"/>
  <c r="H4" i="18"/>
  <c r="O240" i="66"/>
  <c r="E300" i="38"/>
  <c r="N165" i="66" s="1"/>
  <c r="E294" i="38"/>
  <c r="J255" i="18"/>
  <c r="F255" i="18"/>
  <c r="G155" i="66"/>
  <c r="H491" i="41"/>
  <c r="F220" i="18"/>
  <c r="J220" i="18"/>
  <c r="E5" i="53"/>
  <c r="F5" i="53" s="1"/>
  <c r="H11" i="53" s="1"/>
  <c r="G50" i="66"/>
  <c r="H288" i="66"/>
  <c r="O288" i="66" s="1"/>
  <c r="J447" i="58"/>
  <c r="M24" i="74"/>
  <c r="J57" i="74"/>
  <c r="H55" i="74"/>
  <c r="L60" i="74"/>
  <c r="L17" i="74"/>
  <c r="F214" i="18"/>
  <c r="J214" i="18"/>
  <c r="T21" i="66"/>
  <c r="J478" i="41"/>
  <c r="E365" i="38"/>
  <c r="L106" i="66" s="1"/>
  <c r="L106" i="74" s="1"/>
  <c r="Q28" i="66"/>
  <c r="T28" i="66"/>
  <c r="J96" i="18"/>
  <c r="F96" i="18"/>
  <c r="H126" i="66"/>
  <c r="J445" i="37"/>
  <c r="J257" i="18"/>
  <c r="F257" i="18"/>
  <c r="H473" i="41"/>
  <c r="T189" i="66"/>
  <c r="Q189" i="66"/>
  <c r="G119" i="66"/>
  <c r="H56" i="18"/>
  <c r="I56" i="18"/>
  <c r="J256" i="18"/>
  <c r="F256" i="18"/>
  <c r="J475" i="41"/>
  <c r="E362" i="38"/>
  <c r="L142" i="66" s="1"/>
  <c r="L142" i="74" s="1"/>
  <c r="I445" i="41"/>
  <c r="J173" i="18"/>
  <c r="F173" i="18"/>
  <c r="J442" i="58"/>
  <c r="H265" i="66"/>
  <c r="I11" i="18"/>
  <c r="H11" i="18"/>
  <c r="H14" i="18"/>
  <c r="I14" i="18"/>
  <c r="Q202" i="66"/>
  <c r="T202" i="66"/>
  <c r="O238" i="66"/>
  <c r="I459" i="58"/>
  <c r="C50" i="63" s="1"/>
  <c r="I458" i="58"/>
  <c r="G162" i="66"/>
  <c r="H490" i="41"/>
  <c r="J438" i="41"/>
  <c r="G109" i="66"/>
  <c r="G109" i="74" s="1"/>
  <c r="F183" i="18"/>
  <c r="J183" i="18"/>
  <c r="Q268" i="66"/>
  <c r="T268" i="66"/>
  <c r="J221" i="18"/>
  <c r="F221" i="18"/>
  <c r="N9" i="74"/>
  <c r="M101" i="74"/>
  <c r="L23" i="74"/>
  <c r="J33" i="74"/>
  <c r="J54" i="74"/>
  <c r="J59" i="74"/>
  <c r="J462" i="58"/>
  <c r="H18" i="74"/>
  <c r="O18" i="66"/>
  <c r="F171" i="18"/>
  <c r="J171" i="18"/>
  <c r="I446" i="41"/>
  <c r="J307" i="18"/>
  <c r="F307" i="18"/>
  <c r="Q144" i="66"/>
  <c r="T144" i="66"/>
  <c r="K144" i="74"/>
  <c r="AI144" i="74" s="1"/>
  <c r="J300" i="18"/>
  <c r="F300" i="18"/>
  <c r="J442" i="37"/>
  <c r="H121" i="66"/>
  <c r="Q45" i="66"/>
  <c r="T45" i="66"/>
  <c r="H80" i="74"/>
  <c r="O80" i="66"/>
  <c r="I53" i="18"/>
  <c r="H53" i="18"/>
  <c r="J258" i="18"/>
  <c r="F258" i="18"/>
  <c r="K80" i="74"/>
  <c r="AI80" i="74" s="1"/>
  <c r="T80" i="66"/>
  <c r="Q80" i="66"/>
  <c r="H282" i="66"/>
  <c r="J444" i="58"/>
  <c r="J90" i="18"/>
  <c r="F90" i="18"/>
  <c r="H22" i="74"/>
  <c r="O22" i="66"/>
  <c r="H6" i="18"/>
  <c r="I6" i="18"/>
  <c r="H2" i="18"/>
  <c r="I2" i="18"/>
  <c r="K69" i="74"/>
  <c r="AI69" i="74" s="1"/>
  <c r="T69" i="66"/>
  <c r="J266" i="18"/>
  <c r="F266" i="18"/>
  <c r="D285" i="72" a="1"/>
  <c r="D285" i="72" s="1"/>
  <c r="H26" i="74"/>
  <c r="I448" i="41"/>
  <c r="G153" i="66"/>
  <c r="G9" i="74" s="1"/>
  <c r="K44" i="39"/>
  <c r="H492" i="41"/>
  <c r="C17" i="39" s="1"/>
  <c r="F92" i="18"/>
  <c r="J92" i="18"/>
  <c r="H144" i="66"/>
  <c r="J447" i="37"/>
  <c r="T262" i="66"/>
  <c r="O268" i="66"/>
  <c r="L136" i="74"/>
  <c r="F299" i="18"/>
  <c r="J299" i="18"/>
  <c r="E48" i="17"/>
  <c r="P10" i="9"/>
  <c r="O166" i="66"/>
  <c r="T213" i="66"/>
  <c r="F172" i="18"/>
  <c r="J172" i="18"/>
  <c r="J444" i="37"/>
  <c r="H138" i="66"/>
  <c r="G92" i="74"/>
  <c r="O92" i="66"/>
  <c r="H40" i="74"/>
  <c r="J265" i="18"/>
  <c r="F265" i="18"/>
  <c r="F97" i="18"/>
  <c r="J97" i="18"/>
  <c r="I8" i="18"/>
  <c r="H8" i="18"/>
  <c r="H70" i="74"/>
  <c r="O70" i="66"/>
  <c r="O224" i="66"/>
  <c r="H65" i="74"/>
  <c r="F296" i="18"/>
  <c r="J296" i="18"/>
  <c r="J180" i="18"/>
  <c r="F180" i="18"/>
  <c r="N56" i="74"/>
  <c r="O225" i="66"/>
  <c r="L76" i="74"/>
  <c r="J108" i="74"/>
  <c r="L119" i="74"/>
  <c r="E43" i="22"/>
  <c r="T19" i="20"/>
  <c r="K19" i="20"/>
  <c r="R6" i="9"/>
  <c r="K12" i="20"/>
  <c r="K10" i="20"/>
  <c r="T14" i="20"/>
  <c r="T8" i="20"/>
  <c r="T10" i="20"/>
  <c r="T6" i="20"/>
  <c r="K14" i="20"/>
  <c r="T15" i="20"/>
  <c r="K8" i="20"/>
  <c r="T12" i="20"/>
  <c r="K6" i="20"/>
  <c r="K15" i="20"/>
  <c r="T16" i="20"/>
  <c r="K16" i="20"/>
  <c r="K13" i="20"/>
  <c r="K9" i="20"/>
  <c r="T13" i="20"/>
  <c r="K7" i="20"/>
  <c r="T9" i="20"/>
  <c r="K11" i="20"/>
  <c r="T7" i="20"/>
  <c r="T18" i="20"/>
  <c r="T11" i="20"/>
  <c r="T17" i="20"/>
  <c r="K18" i="20"/>
  <c r="K17" i="20"/>
  <c r="R30" i="9"/>
  <c r="T240" i="66"/>
  <c r="Q240" i="66"/>
  <c r="T58" i="66"/>
  <c r="Q58" i="66"/>
  <c r="K58" i="74"/>
  <c r="AI58" i="74" s="1"/>
  <c r="F297" i="18"/>
  <c r="J297" i="18"/>
  <c r="J181" i="18"/>
  <c r="F181" i="18"/>
  <c r="J254" i="18"/>
  <c r="F254" i="18"/>
  <c r="J302" i="18"/>
  <c r="F302" i="18"/>
  <c r="Q10" i="66"/>
  <c r="T10" i="66"/>
  <c r="J88" i="18"/>
  <c r="F88" i="18"/>
  <c r="F308" i="18"/>
  <c r="J308" i="18"/>
  <c r="I48" i="18"/>
  <c r="H48" i="18"/>
  <c r="O236" i="66"/>
  <c r="F179" i="18"/>
  <c r="J179" i="18"/>
  <c r="T60" i="66"/>
  <c r="Q60" i="66"/>
  <c r="K60" i="74"/>
  <c r="AI60" i="74" s="1"/>
  <c r="J140" i="18"/>
  <c r="F140" i="18"/>
  <c r="J446" i="58"/>
  <c r="H280" i="66"/>
  <c r="I3" i="18"/>
  <c r="H3" i="18"/>
  <c r="J134" i="18"/>
  <c r="F134" i="18"/>
  <c r="H11" i="74"/>
  <c r="O11" i="66"/>
  <c r="Q176" i="66"/>
  <c r="J306" i="18"/>
  <c r="F306" i="18"/>
  <c r="T32" i="66"/>
  <c r="Q32" i="66"/>
  <c r="H139" i="74"/>
  <c r="H115" i="74"/>
  <c r="N22" i="74"/>
  <c r="O145" i="66"/>
  <c r="H145" i="74"/>
  <c r="J16" i="74"/>
  <c r="O256" i="66"/>
  <c r="H142" i="74"/>
  <c r="O287" i="66"/>
  <c r="Q97" i="66"/>
  <c r="T97" i="66"/>
  <c r="X97" i="66"/>
  <c r="K97" i="74"/>
  <c r="AI97" i="74" s="1"/>
  <c r="H98" i="74"/>
  <c r="T120" i="66"/>
  <c r="Q120" i="66"/>
  <c r="W120" i="66" s="1"/>
  <c r="X120" i="66"/>
  <c r="S120" i="66"/>
  <c r="K120" i="74"/>
  <c r="AI120" i="74" s="1"/>
  <c r="L125" i="74"/>
  <c r="T16" i="66"/>
  <c r="Q16" i="66"/>
  <c r="S16" i="66"/>
  <c r="M118" i="74"/>
  <c r="N119" i="74"/>
  <c r="H79" i="74"/>
  <c r="O79" i="66"/>
  <c r="T193" i="66"/>
  <c r="X193" i="66"/>
  <c r="S193" i="66"/>
  <c r="Q193" i="66"/>
  <c r="W193" i="66" s="1"/>
  <c r="L91" i="74"/>
  <c r="N107" i="74"/>
  <c r="L44" i="74"/>
  <c r="L55" i="74"/>
  <c r="L114" i="74"/>
  <c r="L38" i="74"/>
  <c r="O49" i="66"/>
  <c r="H49" i="74"/>
  <c r="H67" i="74"/>
  <c r="S135" i="66"/>
  <c r="T135" i="66"/>
  <c r="Q135" i="66"/>
  <c r="K135" i="74"/>
  <c r="AI135" i="74" s="1"/>
  <c r="X89" i="66"/>
  <c r="T89" i="66"/>
  <c r="K89" i="74"/>
  <c r="AI89" i="74" s="1"/>
  <c r="M139" i="74"/>
  <c r="M143" i="74"/>
  <c r="X129" i="66"/>
  <c r="T129" i="66"/>
  <c r="S129" i="66"/>
  <c r="Q129" i="66"/>
  <c r="W129" i="66" s="1"/>
  <c r="K129" i="74"/>
  <c r="AI129" i="74" s="1"/>
  <c r="J63" i="74"/>
  <c r="N85" i="74"/>
  <c r="X55" i="66"/>
  <c r="T55" i="66"/>
  <c r="U55" i="66" s="1"/>
  <c r="K55" i="74"/>
  <c r="AI55" i="74" s="1"/>
  <c r="S107" i="66"/>
  <c r="Q107" i="66"/>
  <c r="W107" i="66" s="1"/>
  <c r="T107" i="66"/>
  <c r="X107" i="66"/>
  <c r="K107" i="74"/>
  <c r="AI107" i="74" s="1"/>
  <c r="T50" i="66"/>
  <c r="T145" i="66"/>
  <c r="X145" i="66"/>
  <c r="Q145" i="66"/>
  <c r="K145" i="74"/>
  <c r="AI145" i="74" s="1"/>
  <c r="H129" i="74"/>
  <c r="Q287" i="66"/>
  <c r="W287" i="66" s="1"/>
  <c r="S287" i="66"/>
  <c r="X287" i="66"/>
  <c r="T287" i="66"/>
  <c r="O239" i="66"/>
  <c r="M42" i="74"/>
  <c r="T39" i="66"/>
  <c r="S39" i="66"/>
  <c r="Q39" i="66"/>
  <c r="T245" i="66"/>
  <c r="S245" i="66"/>
  <c r="Q245" i="66"/>
  <c r="M105" i="74"/>
  <c r="M128" i="74"/>
  <c r="S255" i="66"/>
  <c r="X255" i="66"/>
  <c r="T255" i="66"/>
  <c r="Q255" i="66"/>
  <c r="W255" i="66" s="1"/>
  <c r="X210" i="66"/>
  <c r="T210" i="66"/>
  <c r="S210" i="66"/>
  <c r="Q210" i="66"/>
  <c r="W210" i="66" s="1"/>
  <c r="N13" i="74"/>
  <c r="H14" i="74"/>
  <c r="H9" i="74"/>
  <c r="O9" i="66"/>
  <c r="O271" i="66"/>
  <c r="Q278" i="66"/>
  <c r="W278" i="66" s="1"/>
  <c r="X278" i="66"/>
  <c r="T278" i="66"/>
  <c r="S278" i="66"/>
  <c r="Q53" i="66"/>
  <c r="T243" i="66"/>
  <c r="Q243" i="66"/>
  <c r="W243" i="66" s="1"/>
  <c r="X243" i="66"/>
  <c r="S243" i="66"/>
  <c r="T180" i="66"/>
  <c r="X180" i="66"/>
  <c r="H71" i="74"/>
  <c r="Q33" i="66"/>
  <c r="W33" i="66" s="1"/>
  <c r="X33" i="66"/>
  <c r="S33" i="66"/>
  <c r="T33" i="66"/>
  <c r="J23" i="74"/>
  <c r="S168" i="66"/>
  <c r="X168" i="66"/>
  <c r="T168" i="66"/>
  <c r="Q168" i="66"/>
  <c r="W168" i="66" s="1"/>
  <c r="M63" i="74"/>
  <c r="X205" i="66"/>
  <c r="T205" i="66"/>
  <c r="S205" i="66"/>
  <c r="Q205" i="66"/>
  <c r="W205" i="66" s="1"/>
  <c r="N46" i="74"/>
  <c r="H19" i="74"/>
  <c r="T275" i="66"/>
  <c r="S130" i="66"/>
  <c r="Q130" i="66"/>
  <c r="W130" i="66" s="1"/>
  <c r="X130" i="66"/>
  <c r="T130" i="66"/>
  <c r="K130" i="74"/>
  <c r="AI130" i="74" s="1"/>
  <c r="J61" i="74"/>
  <c r="N118" i="74"/>
  <c r="N23" i="74"/>
  <c r="H37" i="74"/>
  <c r="N8" i="74"/>
  <c r="S88" i="66"/>
  <c r="Q88" i="66"/>
  <c r="T88" i="66"/>
  <c r="K88" i="74"/>
  <c r="AI88" i="74" s="1"/>
  <c r="X18" i="66"/>
  <c r="T18" i="66"/>
  <c r="S18" i="66"/>
  <c r="Q18" i="66"/>
  <c r="W18" i="66" s="1"/>
  <c r="O208" i="66"/>
  <c r="S87" i="66"/>
  <c r="Q87" i="66"/>
  <c r="T87" i="66"/>
  <c r="K87" i="74"/>
  <c r="AI87" i="74" s="1"/>
  <c r="J48" i="74"/>
  <c r="N32" i="74"/>
  <c r="H87" i="74"/>
  <c r="J121" i="74"/>
  <c r="J47" i="74"/>
  <c r="L43" i="74"/>
  <c r="G36" i="53"/>
  <c r="H30" i="53"/>
  <c r="G30" i="53" s="1"/>
  <c r="J140" i="74"/>
  <c r="H46" i="74"/>
  <c r="L130" i="74"/>
  <c r="N109" i="74"/>
  <c r="T283" i="66"/>
  <c r="S283" i="66"/>
  <c r="Q283" i="66"/>
  <c r="W283" i="66" s="1"/>
  <c r="X283" i="66"/>
  <c r="H62" i="74"/>
  <c r="J95" i="74"/>
  <c r="L74" i="74"/>
  <c r="T242" i="66"/>
  <c r="H100" i="74"/>
  <c r="O100" i="66"/>
  <c r="M82" i="74"/>
  <c r="N93" i="74"/>
  <c r="H135" i="74"/>
  <c r="H137" i="74"/>
  <c r="S53" i="66"/>
  <c r="O235" i="66"/>
  <c r="H38" i="74"/>
  <c r="O38" i="66"/>
  <c r="T52" i="66"/>
  <c r="X52" i="66"/>
  <c r="S52" i="66"/>
  <c r="Q52" i="66"/>
  <c r="W52" i="66" s="1"/>
  <c r="K52" i="74"/>
  <c r="AI52" i="74" s="1"/>
  <c r="O244" i="66"/>
  <c r="H41" i="74"/>
  <c r="J25" i="74"/>
  <c r="H28" i="74"/>
  <c r="O28" i="66"/>
  <c r="T121" i="66"/>
  <c r="S121" i="66"/>
  <c r="Q121" i="66"/>
  <c r="K121" i="74"/>
  <c r="AI121" i="74" s="1"/>
  <c r="H112" i="74"/>
  <c r="O112" i="66"/>
  <c r="G26" i="39"/>
  <c r="S173" i="66"/>
  <c r="X173" i="66"/>
  <c r="T173" i="66"/>
  <c r="Q173" i="66"/>
  <c r="W173" i="66" s="1"/>
  <c r="H12" i="74"/>
  <c r="O12" i="66"/>
  <c r="O253" i="66"/>
  <c r="S47" i="66"/>
  <c r="X47" i="66"/>
  <c r="T47" i="66"/>
  <c r="Q47" i="66"/>
  <c r="W47" i="66" s="1"/>
  <c r="M64" i="74"/>
  <c r="L79" i="74"/>
  <c r="N74" i="74"/>
  <c r="T98" i="66"/>
  <c r="K98" i="74"/>
  <c r="AI98" i="74" s="1"/>
  <c r="Q14" i="66"/>
  <c r="W14" i="66" s="1"/>
  <c r="X14" i="66"/>
  <c r="T14" i="66"/>
  <c r="S14" i="66"/>
  <c r="N128" i="74"/>
  <c r="J113" i="74"/>
  <c r="T214" i="66"/>
  <c r="S214" i="66"/>
  <c r="Q214" i="66"/>
  <c r="W214" i="66" s="1"/>
  <c r="X214" i="66"/>
  <c r="M96" i="74"/>
  <c r="L65" i="74"/>
  <c r="M66" i="74"/>
  <c r="H134" i="74"/>
  <c r="O134" i="66"/>
  <c r="T169" i="66"/>
  <c r="S169" i="66"/>
  <c r="Q169" i="66"/>
  <c r="H132" i="74"/>
  <c r="X207" i="66"/>
  <c r="T207" i="66"/>
  <c r="S207" i="66"/>
  <c r="Q207" i="66"/>
  <c r="W207" i="66" s="1"/>
  <c r="L22" i="74"/>
  <c r="X216" i="66"/>
  <c r="Q216" i="66"/>
  <c r="W216" i="66" s="1"/>
  <c r="T216" i="66"/>
  <c r="S216" i="66"/>
  <c r="M124" i="74"/>
  <c r="N70" i="74"/>
  <c r="J81" i="74"/>
  <c r="L143" i="74"/>
  <c r="S75" i="66"/>
  <c r="Q75" i="66"/>
  <c r="W75" i="66" s="1"/>
  <c r="X75" i="66"/>
  <c r="T75" i="66"/>
  <c r="K75" i="74"/>
  <c r="AI75" i="74" s="1"/>
  <c r="J39" i="74"/>
  <c r="N91" i="74"/>
  <c r="J46" i="74"/>
  <c r="L111" i="74"/>
  <c r="J27" i="74"/>
  <c r="X281" i="66"/>
  <c r="T281" i="66"/>
  <c r="J117" i="74"/>
  <c r="M92" i="74"/>
  <c r="M110" i="74"/>
  <c r="J18" i="74"/>
  <c r="S82" i="66"/>
  <c r="S66" i="66"/>
  <c r="Q66" i="66"/>
  <c r="W66" i="66" s="1"/>
  <c r="X66" i="66"/>
  <c r="T66" i="66"/>
  <c r="K66" i="74"/>
  <c r="AI66" i="74" s="1"/>
  <c r="S109" i="66"/>
  <c r="Q109" i="66"/>
  <c r="W109" i="66" s="1"/>
  <c r="X109" i="66"/>
  <c r="T109" i="66"/>
  <c r="K109" i="74"/>
  <c r="AI109" i="74" s="1"/>
  <c r="T194" i="66"/>
  <c r="S111" i="66"/>
  <c r="X111" i="66"/>
  <c r="T111" i="66"/>
  <c r="Q111" i="66"/>
  <c r="W111" i="66" s="1"/>
  <c r="K111" i="74"/>
  <c r="AI111" i="74" s="1"/>
  <c r="H117" i="74"/>
  <c r="N16" i="74"/>
  <c r="M28" i="74"/>
  <c r="S28" i="66"/>
  <c r="T51" i="66"/>
  <c r="X51" i="66"/>
  <c r="S51" i="66"/>
  <c r="Q51" i="66"/>
  <c r="W51" i="66" s="1"/>
  <c r="L87" i="74"/>
  <c r="S81" i="66"/>
  <c r="Q81" i="66"/>
  <c r="W81" i="66" s="1"/>
  <c r="X81" i="66"/>
  <c r="T81" i="66"/>
  <c r="K81" i="74"/>
  <c r="AI81" i="74" s="1"/>
  <c r="Q64" i="66"/>
  <c r="T64" i="66"/>
  <c r="K64" i="74"/>
  <c r="AI64" i="74" s="1"/>
  <c r="L145" i="74"/>
  <c r="L127" i="74"/>
  <c r="M122" i="74"/>
  <c r="H104" i="74"/>
  <c r="Q280" i="66"/>
  <c r="T280" i="66"/>
  <c r="S280" i="66"/>
  <c r="X200" i="66"/>
  <c r="T200" i="66"/>
  <c r="S200" i="66"/>
  <c r="Q200" i="66"/>
  <c r="W200" i="66" s="1"/>
  <c r="J55" i="74"/>
  <c r="M138" i="74"/>
  <c r="T228" i="66"/>
  <c r="X228" i="66"/>
  <c r="J58" i="74"/>
  <c r="M23" i="74"/>
  <c r="S23" i="66"/>
  <c r="Q112" i="66"/>
  <c r="T112" i="66"/>
  <c r="K112" i="74"/>
  <c r="AI112" i="74" s="1"/>
  <c r="J142" i="74"/>
  <c r="S197" i="66"/>
  <c r="Q197" i="66"/>
  <c r="T197" i="66"/>
  <c r="L96" i="74"/>
  <c r="H143" i="74"/>
  <c r="S195" i="66"/>
  <c r="X195" i="66"/>
  <c r="T195" i="66"/>
  <c r="Q195" i="66"/>
  <c r="W195" i="66" s="1"/>
  <c r="T155" i="66"/>
  <c r="Q155" i="66"/>
  <c r="W155" i="66" s="1"/>
  <c r="X155" i="66"/>
  <c r="S155" i="66"/>
  <c r="S73" i="66"/>
  <c r="Q73" i="66"/>
  <c r="T73" i="66"/>
  <c r="K73" i="74"/>
  <c r="AI73" i="74" s="1"/>
  <c r="M58" i="74"/>
  <c r="N57" i="74"/>
  <c r="T232" i="66"/>
  <c r="S232" i="66"/>
  <c r="Q232" i="66"/>
  <c r="J145" i="74"/>
  <c r="T36" i="66"/>
  <c r="X36" i="66"/>
  <c r="M26" i="74"/>
  <c r="Q91" i="66"/>
  <c r="W91" i="66" s="1"/>
  <c r="X91" i="66"/>
  <c r="T91" i="66"/>
  <c r="S91" i="66"/>
  <c r="K91" i="74"/>
  <c r="AI91" i="74" s="1"/>
  <c r="S104" i="66"/>
  <c r="X104" i="66"/>
  <c r="T104" i="66"/>
  <c r="Q104" i="66"/>
  <c r="W104" i="66" s="1"/>
  <c r="K104" i="74"/>
  <c r="AI104" i="74" s="1"/>
  <c r="X125" i="66"/>
  <c r="T125" i="66"/>
  <c r="Q125" i="66"/>
  <c r="W125" i="66" s="1"/>
  <c r="S125" i="66"/>
  <c r="K125" i="74"/>
  <c r="AI125" i="74" s="1"/>
  <c r="T41" i="66"/>
  <c r="X41" i="66"/>
  <c r="M120" i="74"/>
  <c r="N92" i="74"/>
  <c r="N121" i="74"/>
  <c r="J116" i="74"/>
  <c r="H72" i="74"/>
  <c r="H21" i="74"/>
  <c r="H131" i="74"/>
  <c r="J125" i="74"/>
  <c r="L50" i="74"/>
  <c r="N80" i="74"/>
  <c r="J32" i="74"/>
  <c r="T208" i="66"/>
  <c r="Q208" i="66"/>
  <c r="J88" i="74"/>
  <c r="M30" i="74"/>
  <c r="H110" i="74"/>
  <c r="Q267" i="66"/>
  <c r="W267" i="66" s="1"/>
  <c r="S267" i="66"/>
  <c r="X267" i="66"/>
  <c r="T267" i="66"/>
  <c r="H85" i="74"/>
  <c r="M90" i="74"/>
  <c r="J31" i="74"/>
  <c r="N61" i="74"/>
  <c r="N66" i="74"/>
  <c r="X43" i="66"/>
  <c r="T43" i="66"/>
  <c r="S43" i="66"/>
  <c r="Q43" i="66"/>
  <c r="W43" i="66" s="1"/>
  <c r="T244" i="66"/>
  <c r="Q244" i="66"/>
  <c r="W244" i="66" s="1"/>
  <c r="X244" i="66"/>
  <c r="S244" i="66"/>
  <c r="Q95" i="66"/>
  <c r="W95" i="66" s="1"/>
  <c r="S95" i="66"/>
  <c r="X95" i="66"/>
  <c r="T95" i="66"/>
  <c r="K95" i="74"/>
  <c r="AI95" i="74" s="1"/>
  <c r="Q63" i="66"/>
  <c r="W63" i="66" s="1"/>
  <c r="X63" i="66"/>
  <c r="T63" i="66"/>
  <c r="S63" i="66"/>
  <c r="K63" i="74"/>
  <c r="AI63" i="74" s="1"/>
  <c r="S147" i="66"/>
  <c r="X147" i="66"/>
  <c r="T147" i="66"/>
  <c r="Q147" i="66"/>
  <c r="W147" i="66" s="1"/>
  <c r="K147" i="74"/>
  <c r="AI147" i="74" s="1"/>
  <c r="T7" i="66"/>
  <c r="U7" i="66" s="1"/>
  <c r="X7" i="66"/>
  <c r="T256" i="66"/>
  <c r="Q256" i="66"/>
  <c r="H93" i="74"/>
  <c r="O93" i="66"/>
  <c r="F15" i="39"/>
  <c r="H86" i="74"/>
  <c r="O86" i="66"/>
  <c r="H146" i="74"/>
  <c r="J68" i="74"/>
  <c r="H130" i="74"/>
  <c r="J10" i="74"/>
  <c r="H106" i="74"/>
  <c r="H89" i="74"/>
  <c r="H8" i="74"/>
  <c r="S248" i="66"/>
  <c r="X248" i="66"/>
  <c r="T248" i="66"/>
  <c r="Q248" i="66"/>
  <c r="W248" i="66" s="1"/>
  <c r="O148" i="66"/>
  <c r="L70" i="74"/>
  <c r="N122" i="74"/>
  <c r="Q77" i="66"/>
  <c r="W77" i="66" s="1"/>
  <c r="S77" i="66"/>
  <c r="X77" i="66"/>
  <c r="T77" i="66"/>
  <c r="K77" i="74"/>
  <c r="AI77" i="74" s="1"/>
  <c r="M106" i="74"/>
  <c r="H45" i="74"/>
  <c r="O45" i="66"/>
  <c r="H83" i="74"/>
  <c r="S114" i="66"/>
  <c r="N64" i="74"/>
  <c r="O220" i="66"/>
  <c r="H4" i="74"/>
  <c r="O4" i="66"/>
  <c r="J21" i="74"/>
  <c r="L66" i="74"/>
  <c r="X140" i="66"/>
  <c r="S140" i="66"/>
  <c r="T140" i="66"/>
  <c r="Q140" i="66"/>
  <c r="W140" i="66" s="1"/>
  <c r="K140" i="74"/>
  <c r="AI140" i="74" s="1"/>
  <c r="L135" i="74"/>
  <c r="J124" i="74"/>
  <c r="T131" i="66"/>
  <c r="K131" i="74"/>
  <c r="AI131" i="74" s="1"/>
  <c r="N138" i="74"/>
  <c r="J70" i="74"/>
  <c r="N144" i="74"/>
  <c r="S178" i="66"/>
  <c r="Q178" i="66"/>
  <c r="W178" i="66" s="1"/>
  <c r="X178" i="66"/>
  <c r="T178" i="66"/>
  <c r="J60" i="74"/>
  <c r="M70" i="74"/>
  <c r="L98" i="74"/>
  <c r="L86" i="74"/>
  <c r="Q274" i="66"/>
  <c r="W274" i="66" s="1"/>
  <c r="S274" i="66"/>
  <c r="X274" i="66"/>
  <c r="T274" i="66"/>
  <c r="H109" i="74"/>
  <c r="M51" i="74"/>
  <c r="Q221" i="66"/>
  <c r="W221" i="66" s="1"/>
  <c r="X221" i="66"/>
  <c r="T221" i="66"/>
  <c r="S221" i="66"/>
  <c r="H81" i="74"/>
  <c r="O81" i="66"/>
  <c r="O177" i="66"/>
  <c r="M97" i="74"/>
  <c r="H119" i="74"/>
  <c r="T29" i="66"/>
  <c r="Q29" i="66"/>
  <c r="W29" i="66" s="1"/>
  <c r="X29" i="66"/>
  <c r="S29" i="66"/>
  <c r="M141" i="74"/>
  <c r="T291" i="66"/>
  <c r="S291" i="66"/>
  <c r="Q291" i="66"/>
  <c r="W291" i="66" s="1"/>
  <c r="X291" i="66"/>
  <c r="L52" i="74"/>
  <c r="X8" i="66"/>
  <c r="T8" i="66"/>
  <c r="Q8" i="66"/>
  <c r="W8" i="66" s="1"/>
  <c r="S8" i="66"/>
  <c r="S157" i="66"/>
  <c r="U157" i="66" s="1"/>
  <c r="J126" i="74"/>
  <c r="T11" i="66"/>
  <c r="Q11" i="66"/>
  <c r="W11" i="66" s="1"/>
  <c r="X11" i="66"/>
  <c r="S11" i="66"/>
  <c r="S134" i="66"/>
  <c r="Q134" i="66"/>
  <c r="W134" i="66" s="1"/>
  <c r="X134" i="66"/>
  <c r="T134" i="66"/>
  <c r="K134" i="74"/>
  <c r="AI134" i="74" s="1"/>
  <c r="S24" i="66"/>
  <c r="T24" i="66"/>
  <c r="Q24" i="66"/>
  <c r="W24" i="66" s="1"/>
  <c r="X24" i="66"/>
  <c r="N7" i="74"/>
  <c r="H141" i="74"/>
  <c r="S239" i="66"/>
  <c r="X239" i="66"/>
  <c r="T239" i="66"/>
  <c r="Q239" i="66"/>
  <c r="W239" i="66" s="1"/>
  <c r="H124" i="74"/>
  <c r="G13" i="39"/>
  <c r="H63" i="74"/>
  <c r="T199" i="66"/>
  <c r="U199" i="66" s="1"/>
  <c r="X199" i="66"/>
  <c r="H36" i="74"/>
  <c r="M108" i="74"/>
  <c r="T70" i="66"/>
  <c r="X70" i="66"/>
  <c r="S70" i="66"/>
  <c r="Q70" i="66"/>
  <c r="W70" i="66" s="1"/>
  <c r="K70" i="74"/>
  <c r="AI70" i="74" s="1"/>
  <c r="H99" i="74"/>
  <c r="M60" i="74"/>
  <c r="X229" i="66"/>
  <c r="T229" i="66"/>
  <c r="O187" i="66"/>
  <c r="L25" i="74"/>
  <c r="L83" i="74"/>
  <c r="L54" i="74"/>
  <c r="X289" i="66"/>
  <c r="T289" i="66"/>
  <c r="Q289" i="66"/>
  <c r="T139" i="66"/>
  <c r="S139" i="66"/>
  <c r="Q139" i="66"/>
  <c r="W139" i="66" s="1"/>
  <c r="X139" i="66"/>
  <c r="K139" i="74"/>
  <c r="AI139" i="74" s="1"/>
  <c r="J64" i="74"/>
  <c r="N106" i="74"/>
  <c r="S49" i="66"/>
  <c r="T49" i="66"/>
  <c r="Q49" i="66"/>
  <c r="W49" i="66" s="1"/>
  <c r="X49" i="66"/>
  <c r="J119" i="74"/>
  <c r="L140" i="74"/>
  <c r="T35" i="66"/>
  <c r="O237" i="66"/>
  <c r="X219" i="66"/>
  <c r="T219" i="66"/>
  <c r="S219" i="66"/>
  <c r="Q219" i="66"/>
  <c r="W219" i="66" s="1"/>
  <c r="L126" i="74"/>
  <c r="T27" i="66"/>
  <c r="S27" i="66"/>
  <c r="Q27" i="66"/>
  <c r="W27" i="66" s="1"/>
  <c r="X27" i="66"/>
  <c r="X233" i="66"/>
  <c r="T233" i="66"/>
  <c r="J128" i="74"/>
  <c r="J7" i="74"/>
  <c r="O172" i="66"/>
  <c r="S15" i="66"/>
  <c r="X15" i="66"/>
  <c r="T15" i="66"/>
  <c r="Q15" i="66"/>
  <c r="W15" i="66" s="1"/>
  <c r="X284" i="66"/>
  <c r="T284" i="66"/>
  <c r="S284" i="66"/>
  <c r="Q284" i="66"/>
  <c r="W284" i="66" s="1"/>
  <c r="H105" i="74"/>
  <c r="X152" i="66"/>
  <c r="T152" i="66"/>
  <c r="S152" i="66"/>
  <c r="Q152" i="66"/>
  <c r="W152" i="66" s="1"/>
  <c r="J86" i="74"/>
  <c r="Q149" i="66"/>
  <c r="T149" i="66"/>
  <c r="S149" i="66"/>
  <c r="J109" i="74"/>
  <c r="T159" i="66"/>
  <c r="Q159" i="66"/>
  <c r="W159" i="66" s="1"/>
  <c r="X159" i="66"/>
  <c r="S159" i="66"/>
  <c r="M136" i="74"/>
  <c r="J138" i="74"/>
  <c r="O10" i="66"/>
  <c r="S279" i="66"/>
  <c r="Q279" i="66"/>
  <c r="T279" i="66"/>
  <c r="N134" i="74"/>
  <c r="H7" i="74"/>
  <c r="T223" i="66"/>
  <c r="S223" i="66"/>
  <c r="Q223" i="66"/>
  <c r="W223" i="66" s="1"/>
  <c r="X223" i="66"/>
  <c r="H43" i="74"/>
  <c r="O43" i="66"/>
  <c r="J51" i="74"/>
  <c r="Q34" i="66"/>
  <c r="W34" i="66" s="1"/>
  <c r="Y34" i="66" s="1"/>
  <c r="J87" i="74"/>
  <c r="X241" i="66"/>
  <c r="T241" i="66"/>
  <c r="Q241" i="66"/>
  <c r="L121" i="74"/>
  <c r="O154" i="66"/>
  <c r="M127" i="74"/>
  <c r="S162" i="66"/>
  <c r="T162" i="66"/>
  <c r="Q162" i="66"/>
  <c r="W162" i="66" s="1"/>
  <c r="X162" i="66"/>
  <c r="M142" i="74"/>
  <c r="S38" i="66"/>
  <c r="Q38" i="66"/>
  <c r="W38" i="66" s="1"/>
  <c r="X38" i="66"/>
  <c r="T38" i="66"/>
  <c r="J106" i="74"/>
  <c r="L92" i="74"/>
  <c r="Q19" i="66"/>
  <c r="W19" i="66" s="1"/>
  <c r="T19" i="66"/>
  <c r="S19" i="66"/>
  <c r="X19" i="66"/>
  <c r="T146" i="66"/>
  <c r="K146" i="74"/>
  <c r="AI146" i="74" s="1"/>
  <c r="O193" i="66"/>
  <c r="O16" i="66"/>
  <c r="H16" i="74"/>
  <c r="K99" i="74"/>
  <c r="AI99" i="74" s="1"/>
  <c r="J35" i="74"/>
  <c r="M45" i="74"/>
  <c r="S45" i="66"/>
  <c r="T183" i="66"/>
  <c r="S183" i="66"/>
  <c r="Q183" i="66"/>
  <c r="N67" i="74"/>
  <c r="X181" i="66"/>
  <c r="T181" i="66"/>
  <c r="Q110" i="66"/>
  <c r="W110" i="66" s="1"/>
  <c r="X110" i="66"/>
  <c r="S110" i="66"/>
  <c r="T110" i="66"/>
  <c r="K110" i="74"/>
  <c r="AI110" i="74" s="1"/>
  <c r="X143" i="66"/>
  <c r="T143" i="66"/>
  <c r="S143" i="66"/>
  <c r="Q143" i="66"/>
  <c r="W143" i="66" s="1"/>
  <c r="K143" i="74"/>
  <c r="AI143" i="74" s="1"/>
  <c r="M80" i="74"/>
  <c r="S182" i="66"/>
  <c r="T182" i="66"/>
  <c r="Q182" i="66"/>
  <c r="W182" i="66" s="1"/>
  <c r="X182" i="66"/>
  <c r="S72" i="66"/>
  <c r="X72" i="66"/>
  <c r="Q72" i="66"/>
  <c r="W72" i="66" s="1"/>
  <c r="T72" i="66"/>
  <c r="K72" i="74"/>
  <c r="AI72" i="74" s="1"/>
  <c r="H69" i="74"/>
  <c r="S86" i="66"/>
  <c r="X86" i="66"/>
  <c r="T86" i="66"/>
  <c r="Q86" i="66"/>
  <c r="W86" i="66" s="1"/>
  <c r="K86" i="74"/>
  <c r="AI86" i="74" s="1"/>
  <c r="T290" i="66"/>
  <c r="X258" i="66"/>
  <c r="T258" i="66"/>
  <c r="S258" i="66"/>
  <c r="Q258" i="66"/>
  <c r="W258" i="66" s="1"/>
  <c r="N125" i="74"/>
  <c r="T101" i="66"/>
  <c r="S101" i="66"/>
  <c r="Q101" i="66"/>
  <c r="K101" i="74"/>
  <c r="AI101" i="74" s="1"/>
  <c r="S92" i="66"/>
  <c r="T92" i="66"/>
  <c r="Q92" i="66"/>
  <c r="W92" i="66" s="1"/>
  <c r="X92" i="66"/>
  <c r="K92" i="74"/>
  <c r="AI92" i="74" s="1"/>
  <c r="S118" i="66"/>
  <c r="Q118" i="66"/>
  <c r="W118" i="66" s="1"/>
  <c r="X118" i="66"/>
  <c r="T118" i="66"/>
  <c r="K118" i="74"/>
  <c r="AI118" i="74" s="1"/>
  <c r="H34" i="74"/>
  <c r="Q25" i="66"/>
  <c r="T25" i="66"/>
  <c r="S25" i="66"/>
  <c r="O189" i="66"/>
  <c r="J44" i="74"/>
  <c r="J133" i="74"/>
  <c r="X277" i="66"/>
  <c r="T277" i="66"/>
  <c r="H108" i="74"/>
  <c r="O205" i="66"/>
  <c r="H76" i="74"/>
  <c r="O76" i="66"/>
  <c r="F13" i="39"/>
  <c r="S160" i="66"/>
  <c r="T160" i="66"/>
  <c r="Q160" i="66"/>
  <c r="N48" i="74"/>
  <c r="F26" i="39"/>
  <c r="O64" i="66"/>
  <c r="H64" i="74"/>
  <c r="O273" i="66"/>
  <c r="H91" i="74"/>
  <c r="O91" i="66"/>
  <c r="Q163" i="66"/>
  <c r="W163" i="66" s="1"/>
  <c r="X163" i="66"/>
  <c r="T163" i="66"/>
  <c r="S163" i="66"/>
  <c r="X44" i="66"/>
  <c r="T44" i="66"/>
  <c r="S44" i="66"/>
  <c r="Q44" i="66"/>
  <c r="W44" i="66" s="1"/>
  <c r="T85" i="66"/>
  <c r="X85" i="66"/>
  <c r="K85" i="74"/>
  <c r="AI85" i="74" s="1"/>
  <c r="L21" i="74"/>
  <c r="X226" i="66"/>
  <c r="S226" i="66"/>
  <c r="T226" i="66"/>
  <c r="Q226" i="66"/>
  <c r="W226" i="66" s="1"/>
  <c r="J96" i="74"/>
  <c r="F28" i="39"/>
  <c r="H13" i="74"/>
  <c r="O13" i="66"/>
  <c r="M94" i="74"/>
  <c r="L77" i="74"/>
  <c r="H58" i="74"/>
  <c r="O58" i="66"/>
  <c r="F16" i="39"/>
  <c r="M59" i="74"/>
  <c r="H31" i="74"/>
  <c r="O31" i="66"/>
  <c r="J111" i="74"/>
  <c r="J74" i="74"/>
  <c r="M57" i="74"/>
  <c r="M65" i="74"/>
  <c r="J144" i="74"/>
  <c r="X188" i="66"/>
  <c r="T188" i="66"/>
  <c r="S188" i="66"/>
  <c r="Q188" i="66"/>
  <c r="W188" i="66" s="1"/>
  <c r="N104" i="74"/>
  <c r="S22" i="66"/>
  <c r="X22" i="66"/>
  <c r="T22" i="66"/>
  <c r="Q22" i="66"/>
  <c r="W22" i="66" s="1"/>
  <c r="H120" i="74"/>
  <c r="J122" i="74"/>
  <c r="S62" i="66"/>
  <c r="X62" i="66"/>
  <c r="T62" i="66"/>
  <c r="Q62" i="66"/>
  <c r="W62" i="66" s="1"/>
  <c r="K62" i="74"/>
  <c r="AI62" i="74" s="1"/>
  <c r="H94" i="74"/>
  <c r="J80" i="74"/>
  <c r="F27" i="39"/>
  <c r="O157" i="66"/>
  <c r="X151" i="66"/>
  <c r="T151" i="66"/>
  <c r="U151" i="66" s="1"/>
  <c r="H84" i="74"/>
  <c r="M140" i="74"/>
  <c r="N140" i="74"/>
  <c r="J71" i="74"/>
  <c r="Q262" i="66"/>
  <c r="W262" i="66" s="1"/>
  <c r="Y262" i="66" s="1"/>
  <c r="X251" i="66"/>
  <c r="S251" i="66"/>
  <c r="Q251" i="66"/>
  <c r="W251" i="66" s="1"/>
  <c r="T251" i="66"/>
  <c r="J6" i="74"/>
  <c r="M62" i="74"/>
  <c r="X235" i="66"/>
  <c r="T235" i="66"/>
  <c r="Q235" i="66"/>
  <c r="W235" i="66" s="1"/>
  <c r="S235" i="66"/>
  <c r="H50" i="74"/>
  <c r="Q136" i="66"/>
  <c r="T136" i="66"/>
  <c r="S136" i="66"/>
  <c r="K136" i="74"/>
  <c r="AI136" i="74" s="1"/>
  <c r="J4" i="74"/>
  <c r="S196" i="66"/>
  <c r="Q196" i="66"/>
  <c r="W196" i="66" s="1"/>
  <c r="X196" i="66"/>
  <c r="T196" i="66"/>
  <c r="H123" i="74"/>
  <c r="Q114" i="66"/>
  <c r="W114" i="66" s="1"/>
  <c r="Y114" i="66" s="1"/>
  <c r="T127" i="66"/>
  <c r="X127" i="66"/>
  <c r="S127" i="66"/>
  <c r="Q127" i="66"/>
  <c r="W127" i="66" s="1"/>
  <c r="K127" i="74"/>
  <c r="AI127" i="74" s="1"/>
  <c r="N50" i="74"/>
  <c r="M31" i="74"/>
  <c r="L68" i="74"/>
  <c r="N143" i="74"/>
  <c r="T184" i="66"/>
  <c r="S184" i="66"/>
  <c r="Q184" i="66"/>
  <c r="T83" i="66"/>
  <c r="K83" i="74"/>
  <c r="AI83" i="74" s="1"/>
  <c r="H24" i="74"/>
  <c r="M126" i="74"/>
  <c r="H111" i="74"/>
  <c r="L16" i="74"/>
  <c r="L105" i="74"/>
  <c r="M81" i="74"/>
  <c r="J37" i="74"/>
  <c r="O191" i="66"/>
  <c r="H6" i="74"/>
  <c r="L73" i="74"/>
  <c r="L93" i="74"/>
  <c r="N55" i="74"/>
  <c r="T206" i="66"/>
  <c r="X206" i="66"/>
  <c r="Q206" i="66"/>
  <c r="W206" i="66" s="1"/>
  <c r="S206" i="66"/>
  <c r="H35" i="74"/>
  <c r="L20" i="74"/>
  <c r="X148" i="66"/>
  <c r="Q148" i="66"/>
  <c r="W148" i="66" s="1"/>
  <c r="T148" i="66"/>
  <c r="S148" i="66"/>
  <c r="X276" i="66"/>
  <c r="T276" i="66"/>
  <c r="H15" i="74"/>
  <c r="S40" i="66"/>
  <c r="Q40" i="66"/>
  <c r="T40" i="66"/>
  <c r="M78" i="74"/>
  <c r="X230" i="66"/>
  <c r="S230" i="66"/>
  <c r="T230" i="66"/>
  <c r="Q230" i="66"/>
  <c r="W230" i="66" s="1"/>
  <c r="J66" i="74"/>
  <c r="M46" i="74"/>
  <c r="S46" i="66"/>
  <c r="L19" i="74"/>
  <c r="H97" i="74"/>
  <c r="O97" i="66"/>
  <c r="Q79" i="66"/>
  <c r="W79" i="66" s="1"/>
  <c r="T79" i="66"/>
  <c r="S79" i="66"/>
  <c r="X79" i="66"/>
  <c r="K79" i="74"/>
  <c r="AI79" i="74" s="1"/>
  <c r="J147" i="74"/>
  <c r="J45" i="74"/>
  <c r="Q5" i="66"/>
  <c r="T5" i="66"/>
  <c r="S5" i="66"/>
  <c r="H60" i="74"/>
  <c r="O60" i="66"/>
  <c r="F14" i="39"/>
  <c r="T158" i="66"/>
  <c r="Q158" i="66"/>
  <c r="W158" i="66" s="1"/>
  <c r="S158" i="66"/>
  <c r="X158" i="66"/>
  <c r="S269" i="66"/>
  <c r="X269" i="66"/>
  <c r="Q269" i="66"/>
  <c r="W269" i="66" s="1"/>
  <c r="T269" i="66"/>
  <c r="M93" i="74"/>
  <c r="H33" i="74"/>
  <c r="O33" i="66"/>
  <c r="S115" i="66"/>
  <c r="X115" i="66"/>
  <c r="Q115" i="66"/>
  <c r="W115" i="66" s="1"/>
  <c r="T115" i="66"/>
  <c r="K115" i="74"/>
  <c r="AI115" i="74" s="1"/>
  <c r="N124" i="74"/>
  <c r="J103" i="74"/>
  <c r="M113" i="74"/>
  <c r="H57" i="74"/>
  <c r="L144" i="74"/>
  <c r="N96" i="74"/>
  <c r="T259" i="66"/>
  <c r="S259" i="66"/>
  <c r="X259" i="66"/>
  <c r="Q259" i="66"/>
  <c r="W259" i="66" s="1"/>
  <c r="X103" i="66"/>
  <c r="T103" i="66"/>
  <c r="U103" i="66" s="1"/>
  <c r="K103" i="74"/>
  <c r="AI103" i="74" s="1"/>
  <c r="S236" i="66"/>
  <c r="X236" i="66"/>
  <c r="T236" i="66"/>
  <c r="Q236" i="66"/>
  <c r="W236" i="66" s="1"/>
  <c r="M119" i="74"/>
  <c r="O160" i="66"/>
  <c r="T179" i="66"/>
  <c r="O167" i="66"/>
  <c r="T227" i="66"/>
  <c r="L116" i="74"/>
  <c r="O289" i="66"/>
  <c r="M8" i="74"/>
  <c r="Q67" i="66"/>
  <c r="W67" i="66" s="1"/>
  <c r="X67" i="66"/>
  <c r="T67" i="66"/>
  <c r="S67" i="66"/>
  <c r="K67" i="74"/>
  <c r="AI67" i="74" s="1"/>
  <c r="M123" i="74"/>
  <c r="J137" i="74"/>
  <c r="M130" i="74"/>
  <c r="L39" i="74"/>
  <c r="N19" i="74"/>
  <c r="M74" i="74"/>
  <c r="J24" i="74"/>
  <c r="J91" i="74"/>
  <c r="N130" i="74"/>
  <c r="J127" i="74"/>
  <c r="J78" i="74"/>
  <c r="X247" i="66"/>
  <c r="T247" i="66"/>
  <c r="U247" i="66" s="1"/>
  <c r="N84" i="74"/>
  <c r="O23" i="66"/>
  <c r="Q253" i="66"/>
  <c r="W253" i="66" s="1"/>
  <c r="Y253" i="66" s="1"/>
  <c r="H39" i="74"/>
  <c r="T187" i="66"/>
  <c r="S187" i="66"/>
  <c r="Q187" i="66"/>
  <c r="W187" i="66" s="1"/>
  <c r="X187" i="66"/>
  <c r="H82" i="74"/>
  <c r="S273" i="66"/>
  <c r="T273" i="66"/>
  <c r="Q273" i="66"/>
  <c r="W273" i="66" s="1"/>
  <c r="X273" i="66"/>
  <c r="T254" i="66"/>
  <c r="Q254" i="66"/>
  <c r="W254" i="66" s="1"/>
  <c r="X254" i="66"/>
  <c r="S254" i="66"/>
  <c r="H47" i="74"/>
  <c r="O47" i="66"/>
  <c r="J69" i="74"/>
  <c r="S217" i="66"/>
  <c r="T217" i="66"/>
  <c r="Q217" i="66"/>
  <c r="X137" i="66"/>
  <c r="T137" i="66"/>
  <c r="K137" i="74"/>
  <c r="AI137" i="74" s="1"/>
  <c r="K132" i="74"/>
  <c r="AI132" i="74" s="1"/>
  <c r="J118" i="74"/>
  <c r="Q56" i="66"/>
  <c r="W56" i="66" s="1"/>
  <c r="X56" i="66"/>
  <c r="T56" i="66"/>
  <c r="S56" i="66"/>
  <c r="K56" i="74"/>
  <c r="AI56" i="74" s="1"/>
  <c r="S59" i="66"/>
  <c r="Q59" i="66"/>
  <c r="W59" i="66" s="1"/>
  <c r="T59" i="66"/>
  <c r="X59" i="66"/>
  <c r="K59" i="74"/>
  <c r="AI59" i="74" s="1"/>
  <c r="M71" i="74"/>
  <c r="H52" i="74"/>
  <c r="O52" i="66"/>
  <c r="J90" i="74"/>
  <c r="M10" i="74"/>
  <c r="S10" i="66"/>
  <c r="N103" i="74"/>
  <c r="T31" i="66"/>
  <c r="X31" i="66"/>
  <c r="S31" i="66"/>
  <c r="Q31" i="66"/>
  <c r="W31" i="66" s="1"/>
  <c r="X225" i="66"/>
  <c r="S225" i="66"/>
  <c r="T225" i="66"/>
  <c r="Q225" i="66"/>
  <c r="W225" i="66" s="1"/>
  <c r="J123" i="74"/>
  <c r="L18" i="74"/>
  <c r="L34" i="74"/>
  <c r="L113" i="74"/>
  <c r="M48" i="74"/>
  <c r="S48" i="66"/>
  <c r="N111" i="74"/>
  <c r="L128" i="74"/>
  <c r="J30" i="74"/>
  <c r="L30" i="74"/>
  <c r="N18" i="74"/>
  <c r="M17" i="74"/>
  <c r="J93" i="74"/>
  <c r="J139" i="74"/>
  <c r="L57" i="74"/>
  <c r="J26" i="74"/>
  <c r="L137" i="74"/>
  <c r="N43" i="74"/>
  <c r="H102" i="74"/>
  <c r="X185" i="66"/>
  <c r="T185" i="66"/>
  <c r="T203" i="66"/>
  <c r="Q203" i="66"/>
  <c r="W203" i="66" s="1"/>
  <c r="X203" i="66"/>
  <c r="S203" i="66"/>
  <c r="J72" i="74"/>
  <c r="O278" i="66"/>
  <c r="M107" i="74"/>
  <c r="M144" i="74"/>
  <c r="L131" i="74"/>
  <c r="L7" i="74"/>
  <c r="M43" i="74"/>
  <c r="N108" i="74"/>
  <c r="H23" i="74"/>
  <c r="X211" i="66"/>
  <c r="T211" i="66"/>
  <c r="S211" i="66"/>
  <c r="Q211" i="66"/>
  <c r="W211" i="66" s="1"/>
  <c r="Q13" i="66"/>
  <c r="W13" i="66" s="1"/>
  <c r="X13" i="66"/>
  <c r="T13" i="66"/>
  <c r="S13" i="66"/>
  <c r="J28" i="74"/>
  <c r="S265" i="66"/>
  <c r="Q265" i="66"/>
  <c r="T265" i="66"/>
  <c r="T177" i="66"/>
  <c r="Q177" i="66"/>
  <c r="W177" i="66" s="1"/>
  <c r="X177" i="66"/>
  <c r="S177" i="66"/>
  <c r="T191" i="66"/>
  <c r="S191" i="66"/>
  <c r="Q191" i="66"/>
  <c r="W191" i="66" s="1"/>
  <c r="X191" i="66"/>
  <c r="H133" i="74"/>
  <c r="T133" i="66"/>
  <c r="X133" i="66"/>
  <c r="K133" i="74"/>
  <c r="AI133" i="74" s="1"/>
  <c r="X175" i="66"/>
  <c r="S175" i="66"/>
  <c r="T175" i="66"/>
  <c r="Q175" i="66"/>
  <c r="W175" i="66" s="1"/>
  <c r="S166" i="66"/>
  <c r="X166" i="66"/>
  <c r="T166" i="66"/>
  <c r="Q166" i="66"/>
  <c r="W166" i="66" s="1"/>
  <c r="Q61" i="66"/>
  <c r="W61" i="66" s="1"/>
  <c r="T61" i="66"/>
  <c r="S61" i="66"/>
  <c r="X61" i="66"/>
  <c r="K61" i="74"/>
  <c r="AI61" i="74" s="1"/>
  <c r="J65" i="74"/>
  <c r="H95" i="74"/>
  <c r="O95" i="66"/>
  <c r="O230" i="66"/>
  <c r="L51" i="74"/>
  <c r="J52" i="74"/>
  <c r="L139" i="74"/>
  <c r="L81" i="74"/>
  <c r="L120" i="74"/>
  <c r="M12" i="74"/>
  <c r="S12" i="66"/>
  <c r="H147" i="74"/>
  <c r="N38" i="74"/>
  <c r="J67" i="74"/>
  <c r="J112" i="74"/>
  <c r="L84" i="74"/>
  <c r="H51" i="74"/>
  <c r="S271" i="66"/>
  <c r="T271" i="66"/>
  <c r="Q271" i="66"/>
  <c r="W271" i="66" s="1"/>
  <c r="X271" i="66"/>
  <c r="L5" i="74"/>
  <c r="H127" i="74"/>
  <c r="S123" i="66"/>
  <c r="Q123" i="66"/>
  <c r="W123" i="66" s="1"/>
  <c r="X123" i="66"/>
  <c r="T123" i="66"/>
  <c r="K123" i="74"/>
  <c r="AI123" i="74" s="1"/>
  <c r="H103" i="74"/>
  <c r="N59" i="74"/>
  <c r="M34" i="74"/>
  <c r="J136" i="74"/>
  <c r="J29" i="74"/>
  <c r="N86" i="74"/>
  <c r="X100" i="66"/>
  <c r="T100" i="66"/>
  <c r="S100" i="66"/>
  <c r="Q100" i="66"/>
  <c r="W100" i="66" s="1"/>
  <c r="K100" i="74"/>
  <c r="AI100" i="74" s="1"/>
  <c r="L109" i="74"/>
  <c r="H54" i="74"/>
  <c r="S171" i="66"/>
  <c r="X171" i="66"/>
  <c r="T171" i="66"/>
  <c r="Q171" i="66"/>
  <c r="W171" i="66" s="1"/>
  <c r="J62" i="74"/>
  <c r="T84" i="66"/>
  <c r="X84" i="66"/>
  <c r="K84" i="74"/>
  <c r="AI84" i="74" s="1"/>
  <c r="J49" i="74"/>
  <c r="N81" i="74"/>
  <c r="J9" i="74"/>
  <c r="N42" i="74"/>
  <c r="Q264" i="66"/>
  <c r="W264" i="66" s="1"/>
  <c r="X264" i="66"/>
  <c r="T264" i="66"/>
  <c r="S264" i="66"/>
  <c r="M32" i="74"/>
  <c r="S32" i="66"/>
  <c r="K82" i="74"/>
  <c r="AI82" i="74" s="1"/>
  <c r="D199" i="72" a="1"/>
  <c r="D199" i="72" s="1"/>
  <c r="D200" i="72" s="1" a="1"/>
  <c r="D200" i="72" s="1"/>
  <c r="D137" i="72" a="1"/>
  <c r="D137" i="72" s="1"/>
  <c r="D138" i="72" s="1" a="1"/>
  <c r="D138" i="72" s="1"/>
  <c r="D262" i="72" a="1"/>
  <c r="D262" i="72" s="1"/>
  <c r="S53" i="74" l="1"/>
  <c r="AI53" i="74"/>
  <c r="X114" i="74"/>
  <c r="X37" i="74"/>
  <c r="T37" i="74"/>
  <c r="Y4" i="66"/>
  <c r="AA61" i="66"/>
  <c r="U172" i="66"/>
  <c r="U82" i="66"/>
  <c r="P202" i="66"/>
  <c r="U192" i="66"/>
  <c r="G28" i="39"/>
  <c r="U12" i="66"/>
  <c r="H116" i="74"/>
  <c r="O284" i="66"/>
  <c r="P156" i="66"/>
  <c r="U189" i="66"/>
  <c r="O51" i="66"/>
  <c r="T53" i="74"/>
  <c r="U53" i="74" s="1"/>
  <c r="G139" i="74"/>
  <c r="Q76" i="74"/>
  <c r="Q53" i="74"/>
  <c r="U48" i="66"/>
  <c r="S10" i="74"/>
  <c r="U167" i="66"/>
  <c r="U4" i="66"/>
  <c r="Y157" i="66"/>
  <c r="U99" i="66"/>
  <c r="U53" i="66"/>
  <c r="U114" i="66"/>
  <c r="S23" i="74"/>
  <c r="AC3" i="39"/>
  <c r="Q114" i="74"/>
  <c r="W114" i="74" s="1"/>
  <c r="T114" i="74"/>
  <c r="U156" i="66"/>
  <c r="L124" i="74"/>
  <c r="AC124" i="74" s="1"/>
  <c r="G27" i="39"/>
  <c r="T76" i="74"/>
  <c r="J454" i="41"/>
  <c r="X4" i="74"/>
  <c r="Q4" i="74"/>
  <c r="W4" i="74" s="1"/>
  <c r="S4" i="74"/>
  <c r="U4" i="74" s="1"/>
  <c r="U23" i="66"/>
  <c r="U154" i="66"/>
  <c r="U10" i="66"/>
  <c r="O143" i="66"/>
  <c r="AA287" i="66" s="1"/>
  <c r="G141" i="74"/>
  <c r="AA46" i="66"/>
  <c r="S48" i="74"/>
  <c r="S114" i="74"/>
  <c r="S32" i="74"/>
  <c r="O108" i="66"/>
  <c r="H140" i="74"/>
  <c r="O127" i="66"/>
  <c r="AA127" i="66" s="1"/>
  <c r="P190" i="66"/>
  <c r="P46" i="66"/>
  <c r="R46" i="66" s="1"/>
  <c r="Z190" i="66"/>
  <c r="S28" i="74"/>
  <c r="AA190" i="66"/>
  <c r="Z46" i="66"/>
  <c r="O215" i="66"/>
  <c r="O129" i="66"/>
  <c r="Z129" i="66" s="1"/>
  <c r="J446" i="41"/>
  <c r="S46" i="74"/>
  <c r="P240" i="66"/>
  <c r="U253" i="66"/>
  <c r="O109" i="66"/>
  <c r="AA109" i="66" s="1"/>
  <c r="G14" i="39"/>
  <c r="J463" i="41"/>
  <c r="H126" i="74"/>
  <c r="G119" i="74"/>
  <c r="J450" i="41"/>
  <c r="H113" i="74"/>
  <c r="U32" i="66"/>
  <c r="O139" i="66"/>
  <c r="AA139" i="66" s="1"/>
  <c r="E46" i="39"/>
  <c r="E125" i="38" s="1"/>
  <c r="J467" i="37" s="1"/>
  <c r="J461" i="41"/>
  <c r="H101" i="74"/>
  <c r="J473" i="37"/>
  <c r="J460" i="41"/>
  <c r="J473" i="58"/>
  <c r="P224" i="66"/>
  <c r="R224" i="66" s="1"/>
  <c r="S224" i="66" s="1"/>
  <c r="U224" i="66" s="1"/>
  <c r="U230" i="66"/>
  <c r="U63" i="66"/>
  <c r="P268" i="66"/>
  <c r="U203" i="66"/>
  <c r="S45" i="74"/>
  <c r="Y159" i="66"/>
  <c r="G16" i="39"/>
  <c r="S12" i="74"/>
  <c r="F12" i="39"/>
  <c r="U46" i="66"/>
  <c r="M46" i="39"/>
  <c r="E176" i="38" s="1"/>
  <c r="O263" i="66" s="1"/>
  <c r="P193" i="66"/>
  <c r="R193" i="66" s="1"/>
  <c r="P160" i="66"/>
  <c r="U45" i="66"/>
  <c r="P289" i="66"/>
  <c r="V289" i="66" s="1"/>
  <c r="U190" i="66"/>
  <c r="O106" i="66"/>
  <c r="P250" i="66" s="1"/>
  <c r="Y274" i="66"/>
  <c r="U34" i="66"/>
  <c r="U92" i="66"/>
  <c r="U14" i="66"/>
  <c r="U70" i="66"/>
  <c r="J440" i="41"/>
  <c r="U191" i="66"/>
  <c r="P176" i="66"/>
  <c r="R176" i="66" s="1"/>
  <c r="P237" i="66"/>
  <c r="U149" i="66"/>
  <c r="U273" i="66"/>
  <c r="Y171" i="66"/>
  <c r="U155" i="66"/>
  <c r="Y173" i="66"/>
  <c r="U243" i="66"/>
  <c r="Y27" i="66"/>
  <c r="U236" i="66"/>
  <c r="U206" i="66"/>
  <c r="U44" i="66"/>
  <c r="P154" i="66"/>
  <c r="Y52" i="66"/>
  <c r="Y188" i="66"/>
  <c r="J443" i="41"/>
  <c r="U183" i="66"/>
  <c r="Y15" i="66"/>
  <c r="U110" i="66"/>
  <c r="U40" i="66"/>
  <c r="Y182" i="66"/>
  <c r="U158" i="66"/>
  <c r="Y8" i="66"/>
  <c r="U52" i="66"/>
  <c r="U193" i="66"/>
  <c r="Y258" i="66"/>
  <c r="Y143" i="66"/>
  <c r="Y38" i="66"/>
  <c r="U118" i="66"/>
  <c r="P189" i="66"/>
  <c r="R189" i="66" s="1"/>
  <c r="U143" i="66"/>
  <c r="U11" i="66"/>
  <c r="U91" i="66"/>
  <c r="Y109" i="66"/>
  <c r="Y107" i="66"/>
  <c r="Y271" i="66"/>
  <c r="Y11" i="66"/>
  <c r="U245" i="66"/>
  <c r="U271" i="66"/>
  <c r="U265" i="66"/>
  <c r="U5" i="66"/>
  <c r="Y235" i="66"/>
  <c r="Y22" i="66"/>
  <c r="Y24" i="66"/>
  <c r="U77" i="66"/>
  <c r="Y91" i="66"/>
  <c r="Y51" i="66"/>
  <c r="Y269" i="66"/>
  <c r="Y152" i="66"/>
  <c r="Y195" i="66"/>
  <c r="Y33" i="66"/>
  <c r="U43" i="66"/>
  <c r="Y47" i="66"/>
  <c r="U283" i="66"/>
  <c r="Y206" i="66"/>
  <c r="U223" i="66"/>
  <c r="U39" i="66"/>
  <c r="U123" i="66"/>
  <c r="J444" i="41"/>
  <c r="U177" i="66"/>
  <c r="U136" i="66"/>
  <c r="U95" i="66"/>
  <c r="U130" i="66"/>
  <c r="U255" i="66"/>
  <c r="U59" i="66"/>
  <c r="U284" i="66"/>
  <c r="U140" i="66"/>
  <c r="U232" i="66"/>
  <c r="Y75" i="66"/>
  <c r="U121" i="66"/>
  <c r="U231" i="66"/>
  <c r="Y31" i="66"/>
  <c r="U148" i="66"/>
  <c r="U196" i="66"/>
  <c r="Y226" i="66"/>
  <c r="Y223" i="66"/>
  <c r="U152" i="66"/>
  <c r="U27" i="66"/>
  <c r="Y95" i="66"/>
  <c r="U28" i="66"/>
  <c r="D286" i="72" a="1"/>
  <c r="D286" i="72" s="1"/>
  <c r="D287" i="72" s="1" a="1"/>
  <c r="D287" i="72" s="1"/>
  <c r="I6" i="6"/>
  <c r="AA80" i="66"/>
  <c r="AA224" i="66"/>
  <c r="Z224" i="66"/>
  <c r="Z80" i="66"/>
  <c r="P80" i="66"/>
  <c r="J11" i="18"/>
  <c r="F11" i="18"/>
  <c r="T28" i="74"/>
  <c r="Q28" i="74"/>
  <c r="F4" i="18"/>
  <c r="J4" i="18"/>
  <c r="D163" i="72" a="1"/>
  <c r="D163" i="72" s="1"/>
  <c r="D164" i="72" s="1" a="1"/>
  <c r="D164" i="72" s="1"/>
  <c r="D165" i="72" s="1" a="1"/>
  <c r="D165" i="72" s="1"/>
  <c r="B19" i="8"/>
  <c r="N21" i="66"/>
  <c r="N21" i="74" s="1"/>
  <c r="D102" i="72" a="1"/>
  <c r="D102" i="72" s="1"/>
  <c r="J458" i="37"/>
  <c r="J459" i="37"/>
  <c r="T48" i="74"/>
  <c r="Q48" i="74"/>
  <c r="F45" i="18"/>
  <c r="J45" i="18"/>
  <c r="F50" i="18"/>
  <c r="J50" i="18"/>
  <c r="E73" i="22"/>
  <c r="H37" i="20"/>
  <c r="Q37" i="20"/>
  <c r="H39" i="20"/>
  <c r="Q39" i="20"/>
  <c r="Q41" i="20"/>
  <c r="H42" i="20"/>
  <c r="H38" i="20"/>
  <c r="Q45" i="20"/>
  <c r="H35" i="20"/>
  <c r="Q34" i="20"/>
  <c r="H43" i="20"/>
  <c r="Q33" i="20"/>
  <c r="Q43" i="20"/>
  <c r="Q46" i="20"/>
  <c r="Q35" i="20"/>
  <c r="H46" i="20"/>
  <c r="H34" i="20"/>
  <c r="H45" i="20"/>
  <c r="H41" i="20"/>
  <c r="H33" i="20"/>
  <c r="Q42" i="20"/>
  <c r="Q40" i="20"/>
  <c r="H40" i="20"/>
  <c r="Q36" i="20"/>
  <c r="H44" i="20"/>
  <c r="O40" i="9"/>
  <c r="Q44" i="20"/>
  <c r="Q38" i="20"/>
  <c r="H36" i="20"/>
  <c r="J51" i="18"/>
  <c r="F51" i="18"/>
  <c r="Z188" i="66"/>
  <c r="AA44" i="66"/>
  <c r="Z44" i="66"/>
  <c r="AA188" i="66"/>
  <c r="E30" i="22"/>
  <c r="O8" i="9"/>
  <c r="I467" i="37"/>
  <c r="I467" i="41" s="1"/>
  <c r="F47" i="18"/>
  <c r="J47" i="18"/>
  <c r="T96" i="74"/>
  <c r="Q96" i="74"/>
  <c r="J10" i="18"/>
  <c r="F10" i="18"/>
  <c r="H118" i="74"/>
  <c r="O118" i="66"/>
  <c r="F5" i="18"/>
  <c r="J5" i="18"/>
  <c r="AC44" i="74"/>
  <c r="O44" i="74"/>
  <c r="I125" i="35" a="1"/>
  <c r="I125" i="35" s="1"/>
  <c r="G451" i="18" a="1"/>
  <c r="G451" i="18" s="1"/>
  <c r="K47" i="20"/>
  <c r="I115" i="35" a="1"/>
  <c r="I115" i="35" s="1"/>
  <c r="G450" i="18" a="1"/>
  <c r="G450" i="18" s="1"/>
  <c r="I128" i="35" a="1"/>
  <c r="I128" i="35" s="1"/>
  <c r="I121" i="35" a="1"/>
  <c r="I121" i="35" s="1"/>
  <c r="G462" i="18" a="1"/>
  <c r="G462" i="18" s="1"/>
  <c r="I124" i="35" a="1"/>
  <c r="I124" i="35" s="1"/>
  <c r="I117" i="35" a="1"/>
  <c r="I117" i="35" s="1"/>
  <c r="G459" i="18" a="1"/>
  <c r="G459" i="18" s="1"/>
  <c r="I120" i="35" a="1"/>
  <c r="I120" i="35" s="1"/>
  <c r="G458" i="18" a="1"/>
  <c r="G458" i="18" s="1"/>
  <c r="G454" i="18" a="1"/>
  <c r="G454" i="18" s="1"/>
  <c r="I116" i="35" a="1"/>
  <c r="I116" i="35" s="1"/>
  <c r="G452" i="18" a="1"/>
  <c r="G452" i="18" s="1"/>
  <c r="G463" i="18" a="1"/>
  <c r="G463" i="18" s="1"/>
  <c r="I126" i="35" a="1"/>
  <c r="I126" i="35" s="1"/>
  <c r="G461" i="18" a="1"/>
  <c r="G461" i="18" s="1"/>
  <c r="I127" i="35" a="1"/>
  <c r="I127" i="35" s="1"/>
  <c r="G453" i="18" a="1"/>
  <c r="G453" i="18" s="1"/>
  <c r="I122" i="35" a="1"/>
  <c r="I122" i="35" s="1"/>
  <c r="G460" i="18" a="1"/>
  <c r="G460" i="18" s="1"/>
  <c r="I123" i="35" a="1"/>
  <c r="I123" i="35" s="1"/>
  <c r="G456" i="18" a="1"/>
  <c r="G456" i="18" s="1"/>
  <c r="I118" i="35" a="1"/>
  <c r="I118" i="35" s="1"/>
  <c r="G455" i="18" a="1"/>
  <c r="G455" i="18" s="1"/>
  <c r="I119" i="35" a="1"/>
  <c r="I119" i="35" s="1"/>
  <c r="G457" i="18" a="1"/>
  <c r="G457" i="18" s="1"/>
  <c r="G245" i="18" a="1"/>
  <c r="G245" i="18" s="1"/>
  <c r="G242" i="18" a="1"/>
  <c r="G242" i="18" s="1"/>
  <c r="G243" i="18" a="1"/>
  <c r="G243" i="18" s="1"/>
  <c r="G252" i="18" a="1"/>
  <c r="G252" i="18" s="1"/>
  <c r="G247" i="18" a="1"/>
  <c r="G247" i="18" s="1"/>
  <c r="G240" i="18" a="1"/>
  <c r="G240" i="18" s="1"/>
  <c r="G244" i="18" a="1"/>
  <c r="G244" i="18" s="1"/>
  <c r="G250" i="18" a="1"/>
  <c r="G250" i="18" s="1"/>
  <c r="I83" i="35" a="1"/>
  <c r="I83" i="35" s="1"/>
  <c r="G249" i="18" a="1"/>
  <c r="G249" i="18" s="1"/>
  <c r="I84" i="35" a="1"/>
  <c r="I84" i="35" s="1"/>
  <c r="I80" i="35" a="1"/>
  <c r="I80" i="35" s="1"/>
  <c r="G246" i="18" a="1"/>
  <c r="G246" i="18" s="1"/>
  <c r="G251" i="18" a="1"/>
  <c r="G251" i="18" s="1"/>
  <c r="I76" i="35" a="1"/>
  <c r="I76" i="35" s="1"/>
  <c r="G248" i="18" a="1"/>
  <c r="G248" i="18" s="1"/>
  <c r="G253" i="18" a="1"/>
  <c r="G253" i="18" s="1"/>
  <c r="G241" i="18" a="1"/>
  <c r="G241" i="18" s="1"/>
  <c r="I79" i="35" a="1"/>
  <c r="I79" i="35" s="1"/>
  <c r="I77" i="35" a="1"/>
  <c r="I77" i="35" s="1"/>
  <c r="I82" i="35" a="1"/>
  <c r="I82" i="35" s="1"/>
  <c r="I85" i="35" a="1"/>
  <c r="I85" i="35" s="1"/>
  <c r="I73" i="35" a="1"/>
  <c r="I73" i="35" s="1"/>
  <c r="I81" i="35" a="1"/>
  <c r="I81" i="35" s="1"/>
  <c r="T20" i="20"/>
  <c r="I78" i="35" a="1"/>
  <c r="I78" i="35" s="1"/>
  <c r="I86" i="35" a="1"/>
  <c r="I86" i="35" s="1"/>
  <c r="I74" i="35" a="1"/>
  <c r="I74" i="35" s="1"/>
  <c r="I485" i="58"/>
  <c r="M213" i="66"/>
  <c r="J57" i="18"/>
  <c r="F57" i="18"/>
  <c r="U254" i="66"/>
  <c r="Y230" i="66"/>
  <c r="Y148" i="66"/>
  <c r="U62" i="66"/>
  <c r="U188" i="66"/>
  <c r="U19" i="66"/>
  <c r="P172" i="66"/>
  <c r="R172" i="66" s="1"/>
  <c r="Y139" i="66"/>
  <c r="Y267" i="66"/>
  <c r="Y104" i="66"/>
  <c r="Y18" i="66"/>
  <c r="U205" i="66"/>
  <c r="U33" i="66"/>
  <c r="U278" i="66"/>
  <c r="U16" i="66"/>
  <c r="J48" i="18"/>
  <c r="F48" i="18"/>
  <c r="I75" i="35" a="1"/>
  <c r="I75" i="35" s="1"/>
  <c r="F8" i="18"/>
  <c r="J8" i="18"/>
  <c r="AA22" i="66"/>
  <c r="AA166" i="66"/>
  <c r="Z22" i="66"/>
  <c r="Z166" i="66"/>
  <c r="T45" i="74"/>
  <c r="Q45" i="74"/>
  <c r="U262" i="66"/>
  <c r="T128" i="74"/>
  <c r="Q128" i="74"/>
  <c r="J449" i="41"/>
  <c r="J49" i="18"/>
  <c r="F49" i="18"/>
  <c r="O125" i="66"/>
  <c r="H125" i="74"/>
  <c r="H6" i="6"/>
  <c r="Z32" i="66"/>
  <c r="AA32" i="66"/>
  <c r="Z176" i="66"/>
  <c r="AA176" i="66"/>
  <c r="P32" i="66"/>
  <c r="H122" i="74"/>
  <c r="I166" i="35" a="1"/>
  <c r="I166" i="35" s="1"/>
  <c r="G504" i="18" a="1"/>
  <c r="G504" i="18" s="1"/>
  <c r="I167" i="35" a="1"/>
  <c r="I167" i="35" s="1"/>
  <c r="G497" i="18" a="1"/>
  <c r="G497" i="18" s="1"/>
  <c r="I162" i="35" a="1"/>
  <c r="I162" i="35" s="1"/>
  <c r="G498" i="18" a="1"/>
  <c r="G498" i="18" s="1"/>
  <c r="I163" i="35" a="1"/>
  <c r="I163" i="35" s="1"/>
  <c r="G501" i="18" a="1"/>
  <c r="G501" i="18" s="1"/>
  <c r="I169" i="35" a="1"/>
  <c r="I169" i="35" s="1"/>
  <c r="G495" i="18" a="1"/>
  <c r="G495" i="18" s="1"/>
  <c r="T47" i="20"/>
  <c r="I158" i="35" a="1"/>
  <c r="I158" i="35" s="1"/>
  <c r="G494" i="18" a="1"/>
  <c r="G494" i="18" s="1"/>
  <c r="I161" i="35" a="1"/>
  <c r="I161" i="35" s="1"/>
  <c r="I159" i="35" a="1"/>
  <c r="I159" i="35" s="1"/>
  <c r="G492" i="18" a="1"/>
  <c r="G492" i="18" s="1"/>
  <c r="I157" i="35" a="1"/>
  <c r="I157" i="35" s="1"/>
  <c r="I165" i="35" a="1"/>
  <c r="I165" i="35" s="1"/>
  <c r="G496" i="18" a="1"/>
  <c r="G496" i="18" s="1"/>
  <c r="I168" i="35" a="1"/>
  <c r="I168" i="35" s="1"/>
  <c r="G502" i="18" a="1"/>
  <c r="G502" i="18" s="1"/>
  <c r="G493" i="18" a="1"/>
  <c r="G493" i="18" s="1"/>
  <c r="I164" i="35" a="1"/>
  <c r="I164" i="35" s="1"/>
  <c r="G499" i="18" a="1"/>
  <c r="G499" i="18" s="1"/>
  <c r="G505" i="18" a="1"/>
  <c r="G505" i="18" s="1"/>
  <c r="I160" i="35" a="1"/>
  <c r="I160" i="35" s="1"/>
  <c r="G503" i="18" a="1"/>
  <c r="G503" i="18" s="1"/>
  <c r="I170" i="35" a="1"/>
  <c r="I170" i="35" s="1"/>
  <c r="G500" i="18" a="1"/>
  <c r="G500" i="18" s="1"/>
  <c r="AC80" i="74"/>
  <c r="O80" i="74"/>
  <c r="U61" i="66"/>
  <c r="Y219" i="66"/>
  <c r="U139" i="66"/>
  <c r="U274" i="66"/>
  <c r="Y207" i="66"/>
  <c r="U18" i="66"/>
  <c r="U210" i="66"/>
  <c r="O22" i="74"/>
  <c r="AC22" i="74"/>
  <c r="T80" i="74"/>
  <c r="Q80" i="74"/>
  <c r="E28" i="22"/>
  <c r="O6" i="9"/>
  <c r="H14" i="20"/>
  <c r="H9" i="20"/>
  <c r="H7" i="20"/>
  <c r="Q6" i="20"/>
  <c r="Q12" i="20"/>
  <c r="H17" i="20"/>
  <c r="Q9" i="20"/>
  <c r="Q10" i="20"/>
  <c r="H13" i="20"/>
  <c r="Q19" i="20"/>
  <c r="H8" i="20"/>
  <c r="Q14" i="20"/>
  <c r="H19" i="20"/>
  <c r="H6" i="20"/>
  <c r="H11" i="20"/>
  <c r="Q18" i="20"/>
  <c r="Q16" i="20"/>
  <c r="H16" i="20"/>
  <c r="H12" i="20"/>
  <c r="Q17" i="20"/>
  <c r="Q8" i="20"/>
  <c r="H15" i="20"/>
  <c r="Q13" i="20"/>
  <c r="H18" i="20"/>
  <c r="Q11" i="20"/>
  <c r="Q7" i="20"/>
  <c r="H10" i="20"/>
  <c r="Q15" i="20"/>
  <c r="O30" i="9"/>
  <c r="AC32" i="74"/>
  <c r="O32" i="74"/>
  <c r="D42" i="72" a="1"/>
  <c r="D42" i="72" s="1"/>
  <c r="U101" i="66"/>
  <c r="Y19" i="66"/>
  <c r="Y111" i="66"/>
  <c r="U109" i="66"/>
  <c r="J447" i="41"/>
  <c r="J15" i="18"/>
  <c r="F15" i="18"/>
  <c r="I485" i="37"/>
  <c r="M69" i="66"/>
  <c r="O128" i="66"/>
  <c r="P272" i="66" s="1"/>
  <c r="H128" i="74"/>
  <c r="Z77" i="66"/>
  <c r="Z221" i="66"/>
  <c r="AA221" i="66"/>
  <c r="AA77" i="66"/>
  <c r="J52" i="18"/>
  <c r="F52" i="18"/>
  <c r="O155" i="66"/>
  <c r="Z11" i="66" s="1"/>
  <c r="G11" i="74"/>
  <c r="Y61" i="66"/>
  <c r="U79" i="66"/>
  <c r="Y163" i="66"/>
  <c r="Y284" i="66"/>
  <c r="U244" i="66"/>
  <c r="U73" i="66"/>
  <c r="T69" i="74"/>
  <c r="T252" i="66"/>
  <c r="Q252" i="66"/>
  <c r="T238" i="66"/>
  <c r="Q238" i="66"/>
  <c r="H485" i="58"/>
  <c r="M165" i="66"/>
  <c r="C19" i="8"/>
  <c r="N69" i="66"/>
  <c r="Q106" i="66"/>
  <c r="T106" i="66"/>
  <c r="K106" i="74"/>
  <c r="AI106" i="74" s="1"/>
  <c r="T250" i="66"/>
  <c r="Q250" i="66"/>
  <c r="O77" i="74"/>
  <c r="AC77" i="74"/>
  <c r="Q144" i="74"/>
  <c r="T144" i="74"/>
  <c r="T60" i="74"/>
  <c r="Q60" i="74"/>
  <c r="Q10" i="74"/>
  <c r="T10" i="74"/>
  <c r="I38" i="35" a="1"/>
  <c r="I38" i="35" s="1"/>
  <c r="C29" i="39"/>
  <c r="C30" i="39" s="1"/>
  <c r="C32" i="39"/>
  <c r="C33" i="39" s="1"/>
  <c r="P17" i="39"/>
  <c r="J56" i="18"/>
  <c r="F56" i="18"/>
  <c r="T21" i="74"/>
  <c r="J54" i="18"/>
  <c r="F54" i="18"/>
  <c r="F55" i="18"/>
  <c r="J55" i="18"/>
  <c r="T46" i="74"/>
  <c r="Q46" i="74"/>
  <c r="AA173" i="66"/>
  <c r="Z29" i="66"/>
  <c r="AA29" i="66"/>
  <c r="Z173" i="66"/>
  <c r="F9" i="18"/>
  <c r="J9" i="18"/>
  <c r="J46" i="18"/>
  <c r="F46" i="18"/>
  <c r="H136" i="74"/>
  <c r="J448" i="41"/>
  <c r="U67" i="66"/>
  <c r="Y79" i="66"/>
  <c r="Y118" i="66"/>
  <c r="E330" i="38"/>
  <c r="E336" i="38"/>
  <c r="E27" i="17"/>
  <c r="E25" i="17"/>
  <c r="R10" i="9"/>
  <c r="AA236" i="66"/>
  <c r="Z236" i="66"/>
  <c r="Z92" i="66"/>
  <c r="AA92" i="66"/>
  <c r="E144" i="38"/>
  <c r="J2" i="18"/>
  <c r="F2" i="18"/>
  <c r="T94" i="66"/>
  <c r="Q94" i="66"/>
  <c r="K94" i="74"/>
  <c r="AI94" i="74" s="1"/>
  <c r="O29" i="74"/>
  <c r="AC29" i="74"/>
  <c r="J7" i="18"/>
  <c r="F7" i="18"/>
  <c r="T117" i="74"/>
  <c r="J12" i="18"/>
  <c r="F12" i="18"/>
  <c r="Q23" i="74"/>
  <c r="T23" i="74"/>
  <c r="J19" i="20"/>
  <c r="S19" i="20"/>
  <c r="E38" i="22"/>
  <c r="J8" i="20"/>
  <c r="S8" i="20"/>
  <c r="Q6" i="9"/>
  <c r="J9" i="20"/>
  <c r="S6" i="20"/>
  <c r="J6" i="20"/>
  <c r="S17" i="20"/>
  <c r="J17" i="20"/>
  <c r="S13" i="20"/>
  <c r="J15" i="20"/>
  <c r="J12" i="20"/>
  <c r="J13" i="20"/>
  <c r="S15" i="20"/>
  <c r="S12" i="20"/>
  <c r="S16" i="20"/>
  <c r="J10" i="20"/>
  <c r="S18" i="20"/>
  <c r="S7" i="20"/>
  <c r="J14" i="20"/>
  <c r="J11" i="20"/>
  <c r="J16" i="20"/>
  <c r="S10" i="20"/>
  <c r="J18" i="20"/>
  <c r="J7" i="20"/>
  <c r="S14" i="20"/>
  <c r="S11" i="20"/>
  <c r="S9" i="20"/>
  <c r="Q30" i="9"/>
  <c r="P192" i="66"/>
  <c r="Z192" i="66"/>
  <c r="Z48" i="66"/>
  <c r="AA48" i="66"/>
  <c r="P48" i="66"/>
  <c r="AA192" i="66"/>
  <c r="H7" i="6"/>
  <c r="J44" i="18"/>
  <c r="F44" i="18"/>
  <c r="Y287" i="66"/>
  <c r="T32" i="74"/>
  <c r="Q32" i="74"/>
  <c r="Q58" i="74"/>
  <c r="T58" i="74"/>
  <c r="I36" i="35" a="1"/>
  <c r="I36" i="35" s="1"/>
  <c r="G204" i="18" a="1"/>
  <c r="G204" i="18" s="1"/>
  <c r="I34" i="35" a="1"/>
  <c r="I34" i="35" s="1"/>
  <c r="I31" i="35" a="1"/>
  <c r="I31" i="35" s="1"/>
  <c r="G206" i="18" a="1"/>
  <c r="G206" i="18" s="1"/>
  <c r="G201" i="18" a="1"/>
  <c r="G201" i="18" s="1"/>
  <c r="G208" i="18" a="1"/>
  <c r="G208" i="18" s="1"/>
  <c r="G198" i="18" a="1"/>
  <c r="G198" i="18" s="1"/>
  <c r="I37" i="35" a="1"/>
  <c r="I37" i="35" s="1"/>
  <c r="I39" i="35" a="1"/>
  <c r="I39" i="35" s="1"/>
  <c r="G203" i="18" a="1"/>
  <c r="G203" i="18" s="1"/>
  <c r="G209" i="18" a="1"/>
  <c r="G209" i="18" s="1"/>
  <c r="I42" i="35" a="1"/>
  <c r="I42" i="35" s="1"/>
  <c r="G199" i="18" a="1"/>
  <c r="G199" i="18" s="1"/>
  <c r="G200" i="18" a="1"/>
  <c r="G200" i="18" s="1"/>
  <c r="G211" i="18" a="1"/>
  <c r="G211" i="18" s="1"/>
  <c r="G207" i="18" a="1"/>
  <c r="G207" i="18" s="1"/>
  <c r="G210" i="18" a="1"/>
  <c r="G210" i="18" s="1"/>
  <c r="G205" i="18" a="1"/>
  <c r="G205" i="18" s="1"/>
  <c r="G202" i="18" a="1"/>
  <c r="G202" i="18" s="1"/>
  <c r="K20" i="20"/>
  <c r="I44" i="35" a="1"/>
  <c r="I44" i="35" s="1"/>
  <c r="I35" i="35" a="1"/>
  <c r="I35" i="35" s="1"/>
  <c r="I40" i="35" a="1"/>
  <c r="I40" i="35" s="1"/>
  <c r="I32" i="35" a="1"/>
  <c r="I32" i="35" s="1"/>
  <c r="I41" i="35" a="1"/>
  <c r="I41" i="35" s="1"/>
  <c r="I33" i="35" a="1"/>
  <c r="I33" i="35" s="1"/>
  <c r="I43" i="35" a="1"/>
  <c r="I43" i="35" s="1"/>
  <c r="Z70" i="66"/>
  <c r="Z214" i="66"/>
  <c r="AA214" i="66"/>
  <c r="AA70" i="66"/>
  <c r="AC92" i="74"/>
  <c r="O92" i="74"/>
  <c r="O144" i="66"/>
  <c r="H144" i="74"/>
  <c r="J442" i="41"/>
  <c r="D70" i="72" a="1"/>
  <c r="D70" i="72" s="1"/>
  <c r="D71" i="72" s="1" a="1"/>
  <c r="D71" i="72" s="1"/>
  <c r="C20" i="63"/>
  <c r="I459" i="41"/>
  <c r="O252" i="66"/>
  <c r="T93" i="74"/>
  <c r="Q93" i="74"/>
  <c r="AC48" i="74"/>
  <c r="O48" i="74"/>
  <c r="J453" i="41"/>
  <c r="O162" i="66"/>
  <c r="Z18" i="66" s="1"/>
  <c r="G18" i="74"/>
  <c r="U166" i="66"/>
  <c r="U225" i="66"/>
  <c r="AC10" i="74"/>
  <c r="U49" i="66"/>
  <c r="U125" i="66"/>
  <c r="U51" i="66"/>
  <c r="U66" i="66"/>
  <c r="Y214" i="66"/>
  <c r="U129" i="66"/>
  <c r="F3" i="18"/>
  <c r="J3" i="18"/>
  <c r="AC70" i="74"/>
  <c r="O70" i="74"/>
  <c r="H138" i="74"/>
  <c r="J6" i="18"/>
  <c r="F6" i="18"/>
  <c r="H121" i="74"/>
  <c r="J14" i="18"/>
  <c r="F14" i="18"/>
  <c r="J462" i="41"/>
  <c r="I458" i="41"/>
  <c r="G140" i="74"/>
  <c r="O140" i="66"/>
  <c r="E40" i="22"/>
  <c r="Q8" i="9"/>
  <c r="V8" i="9" s="1"/>
  <c r="Y175" i="66"/>
  <c r="Y259" i="66"/>
  <c r="U251" i="66"/>
  <c r="Y44" i="66"/>
  <c r="O10" i="74"/>
  <c r="Z10" i="74" s="1"/>
  <c r="U25" i="66"/>
  <c r="Y43" i="66"/>
  <c r="U216" i="66"/>
  <c r="U88" i="66"/>
  <c r="U135" i="66"/>
  <c r="U120" i="66"/>
  <c r="F53" i="18"/>
  <c r="J53" i="18"/>
  <c r="Q108" i="66"/>
  <c r="T108" i="66"/>
  <c r="K108" i="74"/>
  <c r="AI108" i="74" s="1"/>
  <c r="C9" i="63"/>
  <c r="J458" i="58"/>
  <c r="J459" i="58"/>
  <c r="C60" i="63" s="1"/>
  <c r="J13" i="18"/>
  <c r="F13" i="18"/>
  <c r="I7" i="6"/>
  <c r="Z240" i="66"/>
  <c r="Z96" i="66"/>
  <c r="AA96" i="66"/>
  <c r="AA240" i="66"/>
  <c r="P96" i="66"/>
  <c r="J43" i="20"/>
  <c r="J44" i="20"/>
  <c r="J46" i="20"/>
  <c r="J35" i="20"/>
  <c r="J42" i="20"/>
  <c r="S33" i="20"/>
  <c r="J38" i="20"/>
  <c r="S44" i="20"/>
  <c r="J45" i="20"/>
  <c r="S35" i="20"/>
  <c r="S43" i="20"/>
  <c r="S40" i="20"/>
  <c r="S37" i="20"/>
  <c r="S39" i="20"/>
  <c r="J36" i="20"/>
  <c r="J34" i="20"/>
  <c r="J37" i="20"/>
  <c r="S42" i="20"/>
  <c r="S41" i="20"/>
  <c r="J33" i="20"/>
  <c r="J40" i="20"/>
  <c r="E83" i="22"/>
  <c r="S34" i="20"/>
  <c r="S45" i="20"/>
  <c r="J41" i="20"/>
  <c r="J39" i="20"/>
  <c r="S38" i="20"/>
  <c r="S36" i="20"/>
  <c r="S46" i="20"/>
  <c r="Q40" i="9"/>
  <c r="D225" i="72" a="1"/>
  <c r="D225" i="72" s="1"/>
  <c r="Y239" i="66"/>
  <c r="Y147" i="66"/>
  <c r="U87" i="66"/>
  <c r="Y193" i="66"/>
  <c r="H485" i="37"/>
  <c r="M21" i="66"/>
  <c r="T12" i="74"/>
  <c r="Q12" i="74"/>
  <c r="J445" i="41"/>
  <c r="O96" i="74"/>
  <c r="AC96" i="74"/>
  <c r="N38" i="9" a="1"/>
  <c r="N38" i="9" s="1"/>
  <c r="E70" i="22" s="1"/>
  <c r="N36" i="9" a="1"/>
  <c r="N36" i="9" s="1"/>
  <c r="N28" i="9" a="1"/>
  <c r="N28" i="9" s="1"/>
  <c r="N26" i="9" a="1"/>
  <c r="N26" i="9" s="1"/>
  <c r="T124" i="74"/>
  <c r="Q124" i="74"/>
  <c r="D8" i="72" a="1"/>
  <c r="D8" i="72" s="1"/>
  <c r="X84" i="74"/>
  <c r="T84" i="74"/>
  <c r="T31" i="74"/>
  <c r="X31" i="74"/>
  <c r="S31" i="74"/>
  <c r="Q31" i="74"/>
  <c r="W31" i="74" s="1"/>
  <c r="U56" i="66"/>
  <c r="S79" i="74"/>
  <c r="X79" i="74"/>
  <c r="Q79" i="74"/>
  <c r="W79" i="74" s="1"/>
  <c r="T79" i="74"/>
  <c r="U184" i="66"/>
  <c r="Y196" i="66"/>
  <c r="T85" i="74"/>
  <c r="X85" i="74"/>
  <c r="U182" i="66"/>
  <c r="Y110" i="66"/>
  <c r="T125" i="74"/>
  <c r="S125" i="74"/>
  <c r="X125" i="74"/>
  <c r="Q125" i="74"/>
  <c r="W125" i="74" s="1"/>
  <c r="Y14" i="66"/>
  <c r="AA12" i="66"/>
  <c r="Z12" i="66"/>
  <c r="AA156" i="66"/>
  <c r="Z156" i="66"/>
  <c r="P12" i="66"/>
  <c r="Z112" i="66"/>
  <c r="AA256" i="66"/>
  <c r="AA112" i="66"/>
  <c r="Z256" i="66"/>
  <c r="P112" i="66"/>
  <c r="T50" i="74"/>
  <c r="X123" i="74"/>
  <c r="T123" i="74"/>
  <c r="S123" i="74"/>
  <c r="Q123" i="74"/>
  <c r="W123" i="74" s="1"/>
  <c r="X100" i="74"/>
  <c r="T100" i="74"/>
  <c r="S100" i="74"/>
  <c r="Q100" i="74"/>
  <c r="W100" i="74" s="1"/>
  <c r="P167" i="66"/>
  <c r="T62" i="74"/>
  <c r="X62" i="74"/>
  <c r="S62" i="74"/>
  <c r="Q62" i="74"/>
  <c r="W62" i="74" s="1"/>
  <c r="Q118" i="74"/>
  <c r="W118" i="74" s="1"/>
  <c r="X118" i="74"/>
  <c r="T118" i="74"/>
  <c r="S118" i="74"/>
  <c r="X99" i="74"/>
  <c r="T99" i="74"/>
  <c r="S99" i="74"/>
  <c r="Q99" i="74"/>
  <c r="W99" i="74" s="1"/>
  <c r="Y134" i="66"/>
  <c r="AA81" i="66"/>
  <c r="Z81" i="66"/>
  <c r="Z225" i="66"/>
  <c r="AA225" i="66"/>
  <c r="T131" i="74"/>
  <c r="S109" i="74"/>
  <c r="Q109" i="74"/>
  <c r="W109" i="74" s="1"/>
  <c r="X109" i="74"/>
  <c r="T109" i="74"/>
  <c r="AC12" i="74"/>
  <c r="O12" i="74"/>
  <c r="AC112" i="74"/>
  <c r="O112" i="74"/>
  <c r="Y283" i="66"/>
  <c r="P208" i="66"/>
  <c r="Y243" i="66"/>
  <c r="T89" i="74"/>
  <c r="X89" i="74"/>
  <c r="Y120" i="66"/>
  <c r="Y100" i="66"/>
  <c r="Y166" i="66"/>
  <c r="Y211" i="66"/>
  <c r="U31" i="66"/>
  <c r="Z52" i="66"/>
  <c r="AA52" i="66"/>
  <c r="AA196" i="66"/>
  <c r="Z196" i="66"/>
  <c r="U217" i="66"/>
  <c r="Y273" i="66"/>
  <c r="X103" i="74"/>
  <c r="T103" i="74"/>
  <c r="U103" i="74" s="1"/>
  <c r="Y62" i="66"/>
  <c r="U22" i="66"/>
  <c r="AA91" i="66"/>
  <c r="Z91" i="66"/>
  <c r="AA235" i="66"/>
  <c r="Z235" i="66"/>
  <c r="Q86" i="74"/>
  <c r="W86" i="74" s="1"/>
  <c r="X86" i="74"/>
  <c r="T86" i="74"/>
  <c r="S86" i="74"/>
  <c r="O16" i="74"/>
  <c r="AC16" i="74"/>
  <c r="U159" i="66"/>
  <c r="U15" i="66"/>
  <c r="X139" i="74"/>
  <c r="T139" i="74"/>
  <c r="S139" i="74"/>
  <c r="Q139" i="74"/>
  <c r="W139" i="74" s="1"/>
  <c r="S70" i="74"/>
  <c r="Q70" i="74"/>
  <c r="W70" i="74" s="1"/>
  <c r="X70" i="74"/>
  <c r="T70" i="74"/>
  <c r="U134" i="66"/>
  <c r="X8" i="74"/>
  <c r="T8" i="74"/>
  <c r="S8" i="74"/>
  <c r="Q8" i="74"/>
  <c r="W8" i="74" s="1"/>
  <c r="X29" i="74"/>
  <c r="S29" i="74"/>
  <c r="T29" i="74"/>
  <c r="Q29" i="74"/>
  <c r="W29" i="74" s="1"/>
  <c r="AC81" i="74"/>
  <c r="O81" i="74"/>
  <c r="Q77" i="74"/>
  <c r="W77" i="74" s="1"/>
  <c r="X77" i="74"/>
  <c r="T77" i="74"/>
  <c r="S77" i="74"/>
  <c r="U248" i="66"/>
  <c r="Y125" i="66"/>
  <c r="Y155" i="66"/>
  <c r="Y81" i="66"/>
  <c r="U214" i="66"/>
  <c r="T98" i="74"/>
  <c r="T18" i="74"/>
  <c r="X18" i="74"/>
  <c r="S18" i="74"/>
  <c r="Q18" i="74"/>
  <c r="W18" i="74" s="1"/>
  <c r="U168" i="66"/>
  <c r="T16" i="74"/>
  <c r="S16" i="74"/>
  <c r="Q16" i="74"/>
  <c r="P256" i="66"/>
  <c r="Q82" i="74"/>
  <c r="W82" i="74" s="1"/>
  <c r="X82" i="74"/>
  <c r="T82" i="74"/>
  <c r="S82" i="74"/>
  <c r="Y177" i="66"/>
  <c r="Y13" i="66"/>
  <c r="U264" i="66"/>
  <c r="U100" i="66"/>
  <c r="Y123" i="66"/>
  <c r="AA239" i="66"/>
  <c r="AA95" i="66"/>
  <c r="Z95" i="66"/>
  <c r="Z239" i="66"/>
  <c r="U211" i="66"/>
  <c r="O52" i="74"/>
  <c r="AC52" i="74"/>
  <c r="Y56" i="66"/>
  <c r="Y67" i="66"/>
  <c r="X115" i="74"/>
  <c r="S115" i="74"/>
  <c r="Q115" i="74"/>
  <c r="W115" i="74" s="1"/>
  <c r="T115" i="74"/>
  <c r="U269" i="66"/>
  <c r="AA204" i="66"/>
  <c r="Z60" i="66"/>
  <c r="AA60" i="66"/>
  <c r="Z204" i="66"/>
  <c r="P60" i="66"/>
  <c r="T136" i="74"/>
  <c r="S136" i="74"/>
  <c r="Q136" i="74"/>
  <c r="Z13" i="66"/>
  <c r="AA13" i="66"/>
  <c r="AA157" i="66"/>
  <c r="Z157" i="66"/>
  <c r="AC91" i="74"/>
  <c r="O91" i="74"/>
  <c r="U160" i="66"/>
  <c r="Y86" i="66"/>
  <c r="X143" i="74"/>
  <c r="S143" i="74"/>
  <c r="Q143" i="74"/>
  <c r="W143" i="74" s="1"/>
  <c r="T143" i="74"/>
  <c r="AA16" i="66"/>
  <c r="Z16" i="66"/>
  <c r="AA160" i="66"/>
  <c r="Z160" i="66"/>
  <c r="P16" i="66"/>
  <c r="Y70" i="66"/>
  <c r="U8" i="66"/>
  <c r="U29" i="66"/>
  <c r="U221" i="66"/>
  <c r="AA4" i="66"/>
  <c r="Z4" i="66"/>
  <c r="AA148" i="66"/>
  <c r="Z148" i="66"/>
  <c r="U147" i="66"/>
  <c r="U267" i="66"/>
  <c r="U280" i="66"/>
  <c r="U81" i="66"/>
  <c r="T75" i="74"/>
  <c r="S75" i="74"/>
  <c r="Q75" i="74"/>
  <c r="W75" i="74" s="1"/>
  <c r="X75" i="74"/>
  <c r="Y216" i="66"/>
  <c r="U169" i="66"/>
  <c r="T121" i="74"/>
  <c r="S121" i="74"/>
  <c r="Q121" i="74"/>
  <c r="T52" i="74"/>
  <c r="S52" i="74"/>
  <c r="X52" i="74"/>
  <c r="Q52" i="74"/>
  <c r="W52" i="74" s="1"/>
  <c r="Y255" i="66"/>
  <c r="T39" i="74"/>
  <c r="Q39" i="74"/>
  <c r="S39" i="74"/>
  <c r="U287" i="66"/>
  <c r="S107" i="74"/>
  <c r="Q107" i="74"/>
  <c r="W107" i="74" s="1"/>
  <c r="X107" i="74"/>
  <c r="T107" i="74"/>
  <c r="O49" i="74"/>
  <c r="AC49" i="74"/>
  <c r="Z79" i="66"/>
  <c r="AA223" i="66"/>
  <c r="Z223" i="66"/>
  <c r="AA79" i="66"/>
  <c r="O95" i="74"/>
  <c r="AC95" i="74"/>
  <c r="O60" i="74"/>
  <c r="AC60" i="74"/>
  <c r="O13" i="74"/>
  <c r="AC13" i="74"/>
  <c r="T72" i="74"/>
  <c r="S72" i="74"/>
  <c r="X72" i="74"/>
  <c r="Q72" i="74"/>
  <c r="W72" i="74" s="1"/>
  <c r="S38" i="74"/>
  <c r="Q38" i="74"/>
  <c r="W38" i="74" s="1"/>
  <c r="X38" i="74"/>
  <c r="T38" i="74"/>
  <c r="P204" i="66"/>
  <c r="X11" i="74"/>
  <c r="T11" i="74"/>
  <c r="S11" i="74"/>
  <c r="Q11" i="74"/>
  <c r="W11" i="74" s="1"/>
  <c r="O4" i="74"/>
  <c r="AC4" i="74"/>
  <c r="AG4" i="74" s="1"/>
  <c r="I22" i="77" s="1"/>
  <c r="T63" i="74"/>
  <c r="Q63" i="74"/>
  <c r="W63" i="74" s="1"/>
  <c r="S63" i="74"/>
  <c r="X63" i="74"/>
  <c r="U197" i="66"/>
  <c r="T111" i="74"/>
  <c r="S111" i="74"/>
  <c r="X111" i="74"/>
  <c r="Q111" i="74"/>
  <c r="W111" i="74" s="1"/>
  <c r="X47" i="74"/>
  <c r="T47" i="74"/>
  <c r="S47" i="74"/>
  <c r="Q47" i="74"/>
  <c r="W47" i="74" s="1"/>
  <c r="X130" i="74"/>
  <c r="T130" i="74"/>
  <c r="S130" i="74"/>
  <c r="Q130" i="74"/>
  <c r="W130" i="74" s="1"/>
  <c r="S33" i="74"/>
  <c r="Q33" i="74"/>
  <c r="W33" i="74" s="1"/>
  <c r="T33" i="74"/>
  <c r="X33" i="74"/>
  <c r="AA49" i="66"/>
  <c r="Z49" i="66"/>
  <c r="AA193" i="66"/>
  <c r="Z193" i="66"/>
  <c r="P49" i="66"/>
  <c r="AC79" i="74"/>
  <c r="O79" i="74"/>
  <c r="O145" i="74"/>
  <c r="AC145" i="74"/>
  <c r="AA47" i="66"/>
  <c r="AA191" i="66"/>
  <c r="Z191" i="66"/>
  <c r="Z47" i="66"/>
  <c r="Y115" i="66"/>
  <c r="S5" i="74"/>
  <c r="T5" i="74"/>
  <c r="Q5" i="74"/>
  <c r="AA97" i="66"/>
  <c r="Z97" i="66"/>
  <c r="AA241" i="66"/>
  <c r="Z241" i="66"/>
  <c r="P97" i="66"/>
  <c r="T44" i="74"/>
  <c r="S44" i="74"/>
  <c r="Q44" i="74"/>
  <c r="W44" i="74" s="1"/>
  <c r="X44" i="74"/>
  <c r="AA220" i="66"/>
  <c r="Z76" i="66"/>
  <c r="AA76" i="66"/>
  <c r="Z220" i="66"/>
  <c r="P76" i="66"/>
  <c r="AA124" i="66"/>
  <c r="Z124" i="66"/>
  <c r="Z268" i="66"/>
  <c r="AA268" i="66"/>
  <c r="P124" i="66"/>
  <c r="Q24" i="74"/>
  <c r="W24" i="74" s="1"/>
  <c r="X24" i="74"/>
  <c r="T24" i="74"/>
  <c r="S24" i="74"/>
  <c r="Y29" i="66"/>
  <c r="P220" i="66"/>
  <c r="T64" i="74"/>
  <c r="Q64" i="74"/>
  <c r="T51" i="74"/>
  <c r="Q51" i="74"/>
  <c r="W51" i="74" s="1"/>
  <c r="X51" i="74"/>
  <c r="S51" i="74"/>
  <c r="Z278" i="66"/>
  <c r="AA278" i="66"/>
  <c r="Z134" i="66"/>
  <c r="AA134" i="66"/>
  <c r="Y205" i="66"/>
  <c r="X97" i="74"/>
  <c r="T97" i="74"/>
  <c r="Q97" i="74"/>
  <c r="AA145" i="66"/>
  <c r="Z289" i="66"/>
  <c r="Z145" i="66"/>
  <c r="AA289" i="66"/>
  <c r="P145" i="66"/>
  <c r="AC127" i="74"/>
  <c r="O127" i="74"/>
  <c r="AC23" i="74"/>
  <c r="O23" i="74"/>
  <c r="X59" i="74"/>
  <c r="T59" i="74"/>
  <c r="S59" i="74"/>
  <c r="Q59" i="74"/>
  <c r="W59" i="74" s="1"/>
  <c r="X132" i="74"/>
  <c r="T132" i="74"/>
  <c r="AC47" i="74"/>
  <c r="O47" i="74"/>
  <c r="Z23" i="66"/>
  <c r="AA23" i="66"/>
  <c r="AA167" i="66"/>
  <c r="Z167" i="66"/>
  <c r="P23" i="66"/>
  <c r="Y158" i="66"/>
  <c r="O97" i="74"/>
  <c r="AC97" i="74"/>
  <c r="T83" i="74"/>
  <c r="AA31" i="66"/>
  <c r="Z31" i="66"/>
  <c r="AA175" i="66"/>
  <c r="Z175" i="66"/>
  <c r="AC76" i="74"/>
  <c r="O76" i="74"/>
  <c r="Q25" i="74"/>
  <c r="T25" i="74"/>
  <c r="S25" i="74"/>
  <c r="T92" i="74"/>
  <c r="S92" i="74"/>
  <c r="X92" i="74"/>
  <c r="Q92" i="74"/>
  <c r="W92" i="74" s="1"/>
  <c r="U258" i="66"/>
  <c r="U86" i="66"/>
  <c r="Y72" i="66"/>
  <c r="T146" i="74"/>
  <c r="Y162" i="66"/>
  <c r="U219" i="66"/>
  <c r="Y221" i="66"/>
  <c r="Y77" i="66"/>
  <c r="Z86" i="66"/>
  <c r="AA86" i="66"/>
  <c r="AA230" i="66"/>
  <c r="Z230" i="66"/>
  <c r="X104" i="74"/>
  <c r="S104" i="74"/>
  <c r="T104" i="74"/>
  <c r="Q104" i="74"/>
  <c r="W104" i="74" s="1"/>
  <c r="X36" i="74"/>
  <c r="T36" i="74"/>
  <c r="T112" i="74"/>
  <c r="Q112" i="74"/>
  <c r="Q66" i="74"/>
  <c r="W66" i="74" s="1"/>
  <c r="X66" i="74"/>
  <c r="S66" i="74"/>
  <c r="T66" i="74"/>
  <c r="O134" i="74"/>
  <c r="AC134" i="74"/>
  <c r="O46" i="74"/>
  <c r="AC46" i="74"/>
  <c r="O129" i="74"/>
  <c r="AC129" i="74"/>
  <c r="P238" i="66"/>
  <c r="T129" i="74"/>
  <c r="S129" i="74"/>
  <c r="Q129" i="74"/>
  <c r="W129" i="74" s="1"/>
  <c r="X129" i="74"/>
  <c r="S135" i="74"/>
  <c r="T135" i="74"/>
  <c r="Q135" i="74"/>
  <c r="Y191" i="66"/>
  <c r="Y203" i="66"/>
  <c r="T137" i="74"/>
  <c r="X137" i="74"/>
  <c r="U115" i="66"/>
  <c r="O31" i="74"/>
  <c r="AC31" i="74"/>
  <c r="O64" i="74"/>
  <c r="AC64" i="74"/>
  <c r="T49" i="74"/>
  <c r="S49" i="74"/>
  <c r="X49" i="74"/>
  <c r="Q49" i="74"/>
  <c r="W49" i="74" s="1"/>
  <c r="AC86" i="74"/>
  <c r="O86" i="74"/>
  <c r="X41" i="74"/>
  <c r="T41" i="74"/>
  <c r="S73" i="74"/>
  <c r="T73" i="74"/>
  <c r="Q73" i="74"/>
  <c r="U195" i="66"/>
  <c r="U75" i="66"/>
  <c r="U207" i="66"/>
  <c r="S88" i="74"/>
  <c r="T88" i="74"/>
  <c r="Q88" i="74"/>
  <c r="Y130" i="66"/>
  <c r="Y210" i="66"/>
  <c r="X145" i="74"/>
  <c r="T145" i="74"/>
  <c r="Q145" i="74"/>
  <c r="U107" i="66"/>
  <c r="Y129" i="66"/>
  <c r="Y264" i="66"/>
  <c r="U175" i="66"/>
  <c r="Y225" i="66"/>
  <c r="Y187" i="66"/>
  <c r="U259" i="66"/>
  <c r="Z33" i="66"/>
  <c r="Z177" i="66"/>
  <c r="AA33" i="66"/>
  <c r="AA177" i="66"/>
  <c r="S127" i="74"/>
  <c r="Q127" i="74"/>
  <c r="W127" i="74" s="1"/>
  <c r="X127" i="74"/>
  <c r="T127" i="74"/>
  <c r="P64" i="66"/>
  <c r="AA208" i="66"/>
  <c r="AA64" i="66"/>
  <c r="Z208" i="66"/>
  <c r="Z64" i="66"/>
  <c r="Y92" i="66"/>
  <c r="U72" i="66"/>
  <c r="X110" i="74"/>
  <c r="S110" i="74"/>
  <c r="Q110" i="74"/>
  <c r="W110" i="74" s="1"/>
  <c r="T110" i="74"/>
  <c r="U38" i="66"/>
  <c r="U162" i="66"/>
  <c r="Y178" i="66"/>
  <c r="X140" i="74"/>
  <c r="T140" i="74"/>
  <c r="S140" i="74"/>
  <c r="Q140" i="74"/>
  <c r="W140" i="74" s="1"/>
  <c r="AA189" i="66"/>
  <c r="Z189" i="66"/>
  <c r="Z45" i="66"/>
  <c r="AA45" i="66"/>
  <c r="P45" i="66"/>
  <c r="T7" i="74"/>
  <c r="U7" i="74" s="1"/>
  <c r="X7" i="74"/>
  <c r="Y63" i="66"/>
  <c r="U111" i="66"/>
  <c r="X14" i="74"/>
  <c r="S14" i="74"/>
  <c r="T14" i="74"/>
  <c r="Q14" i="74"/>
  <c r="W14" i="74" s="1"/>
  <c r="U47" i="66"/>
  <c r="Z38" i="66"/>
  <c r="AA38" i="66"/>
  <c r="AA182" i="66"/>
  <c r="Z182" i="66"/>
  <c r="AA244" i="66"/>
  <c r="Z244" i="66"/>
  <c r="AA100" i="66"/>
  <c r="Z100" i="66"/>
  <c r="T87" i="74"/>
  <c r="Q87" i="74"/>
  <c r="S87" i="74"/>
  <c r="X55" i="74"/>
  <c r="T55" i="74"/>
  <c r="U55" i="74" s="1"/>
  <c r="AA205" i="66"/>
  <c r="U171" i="66"/>
  <c r="X61" i="74"/>
  <c r="T61" i="74"/>
  <c r="S61" i="74"/>
  <c r="Q61" i="74"/>
  <c r="W61" i="74" s="1"/>
  <c r="T13" i="74"/>
  <c r="X13" i="74"/>
  <c r="S13" i="74"/>
  <c r="Q13" i="74"/>
  <c r="W13" i="74" s="1"/>
  <c r="Y59" i="66"/>
  <c r="Y254" i="66"/>
  <c r="U187" i="66"/>
  <c r="Y236" i="66"/>
  <c r="O33" i="74"/>
  <c r="AC33" i="74"/>
  <c r="T40" i="74"/>
  <c r="Q40" i="74"/>
  <c r="S40" i="74"/>
  <c r="Y127" i="66"/>
  <c r="U226" i="66"/>
  <c r="T19" i="74"/>
  <c r="S19" i="74"/>
  <c r="Q19" i="74"/>
  <c r="W19" i="74" s="1"/>
  <c r="X19" i="74"/>
  <c r="U279" i="66"/>
  <c r="Y49" i="66"/>
  <c r="U24" i="66"/>
  <c r="Y291" i="66"/>
  <c r="AC109" i="74"/>
  <c r="O109" i="74"/>
  <c r="U178" i="66"/>
  <c r="Y140" i="66"/>
  <c r="AC45" i="74"/>
  <c r="O45" i="74"/>
  <c r="AA93" i="66"/>
  <c r="Z93" i="66"/>
  <c r="AA237" i="66"/>
  <c r="Z237" i="66"/>
  <c r="P93" i="66"/>
  <c r="T95" i="74"/>
  <c r="S95" i="74"/>
  <c r="Q95" i="74"/>
  <c r="W95" i="74" s="1"/>
  <c r="X95" i="74"/>
  <c r="Y244" i="66"/>
  <c r="P241" i="66"/>
  <c r="Y66" i="66"/>
  <c r="AA28" i="66"/>
  <c r="AA172" i="66"/>
  <c r="Z172" i="66"/>
  <c r="Z28" i="66"/>
  <c r="P28" i="66"/>
  <c r="AC38" i="74"/>
  <c r="O38" i="74"/>
  <c r="AC100" i="74"/>
  <c r="O100" i="74"/>
  <c r="E342" i="38"/>
  <c r="E348" i="38"/>
  <c r="N261" i="66" s="1"/>
  <c r="Y278" i="66"/>
  <c r="Z205" i="66"/>
  <c r="X133" i="74"/>
  <c r="T133" i="74"/>
  <c r="U13" i="66"/>
  <c r="U127" i="66"/>
  <c r="U235" i="66"/>
  <c r="Y251" i="66"/>
  <c r="T22" i="74"/>
  <c r="S22" i="74"/>
  <c r="X22" i="74"/>
  <c r="Q22" i="74"/>
  <c r="W22" i="74" s="1"/>
  <c r="Z202" i="66"/>
  <c r="AA58" i="66"/>
  <c r="Z58" i="66"/>
  <c r="AA202" i="66"/>
  <c r="P58" i="66"/>
  <c r="U163" i="66"/>
  <c r="Z43" i="66"/>
  <c r="AA187" i="66"/>
  <c r="Z187" i="66"/>
  <c r="AA43" i="66"/>
  <c r="AA10" i="66"/>
  <c r="Z10" i="66"/>
  <c r="Z154" i="66"/>
  <c r="AA154" i="66"/>
  <c r="P10" i="66"/>
  <c r="Q15" i="74"/>
  <c r="W15" i="74" s="1"/>
  <c r="T15" i="74"/>
  <c r="S15" i="74"/>
  <c r="X15" i="74"/>
  <c r="T35" i="74"/>
  <c r="U239" i="66"/>
  <c r="S134" i="74"/>
  <c r="X134" i="74"/>
  <c r="T134" i="74"/>
  <c r="Q134" i="74"/>
  <c r="W134" i="74" s="1"/>
  <c r="U291" i="66"/>
  <c r="S34" i="74"/>
  <c r="Q34" i="74"/>
  <c r="W34" i="74" s="1"/>
  <c r="X34" i="74"/>
  <c r="T34" i="74"/>
  <c r="O93" i="74"/>
  <c r="AC93" i="74"/>
  <c r="U104" i="66"/>
  <c r="Y200" i="66"/>
  <c r="AC61" i="74"/>
  <c r="U173" i="66"/>
  <c r="O28" i="74"/>
  <c r="AC28" i="74"/>
  <c r="S120" i="74"/>
  <c r="Q120" i="74"/>
  <c r="W120" i="74" s="1"/>
  <c r="X120" i="74"/>
  <c r="T120" i="74"/>
  <c r="Z61" i="66"/>
  <c r="X56" i="74"/>
  <c r="S56" i="74"/>
  <c r="Q56" i="74"/>
  <c r="W56" i="74" s="1"/>
  <c r="T56" i="74"/>
  <c r="X67" i="74"/>
  <c r="T67" i="74"/>
  <c r="S67" i="74"/>
  <c r="Q67" i="74"/>
  <c r="W67" i="74" s="1"/>
  <c r="Z94" i="66"/>
  <c r="Z238" i="66"/>
  <c r="AA94" i="66"/>
  <c r="AA238" i="66"/>
  <c r="P94" i="66"/>
  <c r="AC58" i="74"/>
  <c r="O58" i="74"/>
  <c r="S101" i="74"/>
  <c r="Q101" i="74"/>
  <c r="T101" i="74"/>
  <c r="AC43" i="74"/>
  <c r="O43" i="74"/>
  <c r="X27" i="74"/>
  <c r="T27" i="74"/>
  <c r="S27" i="74"/>
  <c r="Q27" i="74"/>
  <c r="W27" i="74" s="1"/>
  <c r="Y248" i="66"/>
  <c r="T147" i="74"/>
  <c r="X147" i="74"/>
  <c r="S147" i="74"/>
  <c r="Q147" i="74"/>
  <c r="W147" i="74" s="1"/>
  <c r="T43" i="74"/>
  <c r="S43" i="74"/>
  <c r="Q43" i="74"/>
  <c r="W43" i="74" s="1"/>
  <c r="X43" i="74"/>
  <c r="X91" i="74"/>
  <c r="S91" i="74"/>
  <c r="T91" i="74"/>
  <c r="Q91" i="74"/>
  <c r="W91" i="74" s="1"/>
  <c r="AC143" i="74"/>
  <c r="O143" i="74"/>
  <c r="U200" i="66"/>
  <c r="S81" i="74"/>
  <c r="Q81" i="74"/>
  <c r="W81" i="74" s="1"/>
  <c r="X81" i="74"/>
  <c r="T81" i="74"/>
  <c r="O61" i="74"/>
  <c r="Y168" i="66"/>
  <c r="D263" i="72" a="1"/>
  <c r="D263" i="72" s="1"/>
  <c r="D139" i="72" a="1"/>
  <c r="D139" i="72" s="1"/>
  <c r="D201" i="72" a="1"/>
  <c r="D201" i="72" s="1"/>
  <c r="Y114" i="74" l="1"/>
  <c r="AC108" i="74"/>
  <c r="AG108" i="74" s="1"/>
  <c r="AC94" i="74"/>
  <c r="AG94" i="74" s="1"/>
  <c r="AE134" i="74"/>
  <c r="AG134" i="74"/>
  <c r="AE145" i="74"/>
  <c r="AG145" i="74"/>
  <c r="AE60" i="74"/>
  <c r="AG60" i="74"/>
  <c r="AE112" i="74"/>
  <c r="AG112" i="74"/>
  <c r="AE44" i="74"/>
  <c r="AG44" i="74"/>
  <c r="AE95" i="74"/>
  <c r="AG95" i="74"/>
  <c r="AE48" i="74"/>
  <c r="AG48" i="74"/>
  <c r="AE31" i="74"/>
  <c r="AG31" i="74"/>
  <c r="I32" i="77" s="1"/>
  <c r="AE127" i="74"/>
  <c r="AG127" i="74"/>
  <c r="J32" i="77" s="1"/>
  <c r="AE12" i="74"/>
  <c r="AG12" i="74"/>
  <c r="AE92" i="74"/>
  <c r="AG92" i="74"/>
  <c r="AE64" i="74"/>
  <c r="AG64" i="74"/>
  <c r="AE76" i="74"/>
  <c r="AG76" i="74"/>
  <c r="AE47" i="74"/>
  <c r="AH47" i="74" s="1"/>
  <c r="AG47" i="74"/>
  <c r="AE16" i="74"/>
  <c r="AE96" i="74"/>
  <c r="AG96" i="74"/>
  <c r="AE77" i="74"/>
  <c r="AE61" i="74"/>
  <c r="AG61" i="74"/>
  <c r="AE52" i="74"/>
  <c r="AG52" i="74"/>
  <c r="AE10" i="74"/>
  <c r="AG10" i="74"/>
  <c r="AE23" i="74"/>
  <c r="AE43" i="74"/>
  <c r="AG43" i="74"/>
  <c r="AE28" i="74"/>
  <c r="AG28" i="74"/>
  <c r="AE79" i="74"/>
  <c r="AG79" i="74"/>
  <c r="AE45" i="74"/>
  <c r="AG45" i="74"/>
  <c r="AE86" i="74"/>
  <c r="AG86" i="74"/>
  <c r="AE129" i="74"/>
  <c r="AG129" i="74"/>
  <c r="AE97" i="74"/>
  <c r="AG97" i="74"/>
  <c r="AE49" i="74"/>
  <c r="AG49" i="74"/>
  <c r="AE80" i="74"/>
  <c r="AG80" i="74"/>
  <c r="AE109" i="74"/>
  <c r="AG109" i="74"/>
  <c r="AE33" i="74"/>
  <c r="AG33" i="74"/>
  <c r="AE143" i="74"/>
  <c r="AG143" i="74"/>
  <c r="AE58" i="74"/>
  <c r="AG58" i="74"/>
  <c r="AE70" i="74"/>
  <c r="AE46" i="74"/>
  <c r="AG46" i="74"/>
  <c r="AE13" i="74"/>
  <c r="AG13" i="74"/>
  <c r="AE91" i="74"/>
  <c r="AG91" i="74"/>
  <c r="AE81" i="74"/>
  <c r="AG81" i="74"/>
  <c r="AE22" i="74"/>
  <c r="AE38" i="74"/>
  <c r="AG38" i="74"/>
  <c r="AE93" i="74"/>
  <c r="AG93" i="74"/>
  <c r="AE100" i="74"/>
  <c r="AG100" i="74"/>
  <c r="J22" i="77" s="1"/>
  <c r="AE29" i="74"/>
  <c r="AG29" i="74"/>
  <c r="AE32" i="74"/>
  <c r="AG32" i="74"/>
  <c r="AE124" i="74"/>
  <c r="AG124" i="74"/>
  <c r="AC139" i="74"/>
  <c r="AD139" i="74" s="1"/>
  <c r="AE4" i="74"/>
  <c r="AH4" i="74" s="1"/>
  <c r="AD4" i="74"/>
  <c r="E22" i="77" s="1"/>
  <c r="R202" i="66"/>
  <c r="S202" i="66" s="1"/>
  <c r="U202" i="66" s="1"/>
  <c r="R190" i="66"/>
  <c r="AA143" i="66"/>
  <c r="Z287" i="66"/>
  <c r="Z143" i="66"/>
  <c r="R156" i="66"/>
  <c r="O139" i="74"/>
  <c r="AA139" i="74" s="1"/>
  <c r="U23" i="74"/>
  <c r="Y4" i="74"/>
  <c r="R160" i="66"/>
  <c r="U10" i="74"/>
  <c r="O124" i="74"/>
  <c r="Z124" i="74" s="1"/>
  <c r="R237" i="66"/>
  <c r="S237" i="66" s="1"/>
  <c r="U237" i="66" s="1"/>
  <c r="R268" i="66"/>
  <c r="S268" i="66" s="1"/>
  <c r="U268" i="66" s="1"/>
  <c r="Z271" i="66"/>
  <c r="Z127" i="66"/>
  <c r="AA271" i="66"/>
  <c r="Q215" i="66"/>
  <c r="T263" i="66"/>
  <c r="U48" i="74"/>
  <c r="T215" i="66"/>
  <c r="Q263" i="66"/>
  <c r="U32" i="74"/>
  <c r="AD64" i="74"/>
  <c r="AD95" i="74"/>
  <c r="AD79" i="74"/>
  <c r="AD31" i="74"/>
  <c r="E32" i="77" s="1"/>
  <c r="AD76" i="74"/>
  <c r="AD12" i="74"/>
  <c r="AD70" i="74"/>
  <c r="AG70" i="74" s="1"/>
  <c r="AD77" i="74"/>
  <c r="AG77" i="74" s="1"/>
  <c r="AD45" i="74"/>
  <c r="AD92" i="74"/>
  <c r="AD80" i="74"/>
  <c r="AD28" i="74"/>
  <c r="AD23" i="74"/>
  <c r="AG23" i="74" s="1"/>
  <c r="AD22" i="74"/>
  <c r="E29" i="77" s="1"/>
  <c r="AD43" i="74"/>
  <c r="AD93" i="74"/>
  <c r="AD100" i="74"/>
  <c r="F22" i="77" s="1"/>
  <c r="AD109" i="74"/>
  <c r="AD16" i="74"/>
  <c r="AG16" i="74" s="1"/>
  <c r="AD32" i="74"/>
  <c r="C9" i="77"/>
  <c r="AD38" i="74"/>
  <c r="AD127" i="74"/>
  <c r="F32" i="77" s="1"/>
  <c r="AD52" i="74"/>
  <c r="AD96" i="74"/>
  <c r="AD61" i="74"/>
  <c r="AD86" i="74"/>
  <c r="AD129" i="74"/>
  <c r="AD33" i="74"/>
  <c r="AD13" i="74"/>
  <c r="AD49" i="74"/>
  <c r="AD143" i="74"/>
  <c r="AD124" i="74"/>
  <c r="AD47" i="74"/>
  <c r="AD44" i="74"/>
  <c r="AD46" i="74"/>
  <c r="AD97" i="74"/>
  <c r="AD145" i="74"/>
  <c r="AD91" i="74"/>
  <c r="AD81" i="74"/>
  <c r="AD134" i="74"/>
  <c r="AD60" i="74"/>
  <c r="AD29" i="74"/>
  <c r="AD58" i="74"/>
  <c r="AD112" i="74"/>
  <c r="AD10" i="74"/>
  <c r="C5" i="77"/>
  <c r="AD48" i="74"/>
  <c r="R240" i="66"/>
  <c r="S240" i="66" s="1"/>
  <c r="U240" i="66" s="1"/>
  <c r="U114" i="74"/>
  <c r="Q119" i="66"/>
  <c r="P252" i="66"/>
  <c r="AA283" i="66"/>
  <c r="Z283" i="66"/>
  <c r="Z139" i="66"/>
  <c r="U46" i="74"/>
  <c r="AA250" i="66"/>
  <c r="AA253" i="66"/>
  <c r="U28" i="74"/>
  <c r="Z253" i="66"/>
  <c r="Z109" i="66"/>
  <c r="P106" i="66"/>
  <c r="Z250" i="66"/>
  <c r="Z106" i="66"/>
  <c r="AA106" i="66"/>
  <c r="U12" i="74"/>
  <c r="V193" i="66"/>
  <c r="AA273" i="66"/>
  <c r="AA129" i="66"/>
  <c r="Z273" i="66"/>
  <c r="J473" i="41"/>
  <c r="J467" i="58"/>
  <c r="J467" i="41" s="1"/>
  <c r="P10" i="74"/>
  <c r="R10" i="74" s="1"/>
  <c r="AA10" i="74"/>
  <c r="W289" i="66"/>
  <c r="Y289" i="66" s="1"/>
  <c r="R289" i="66"/>
  <c r="S289" i="66" s="1"/>
  <c r="U289" i="66" s="1"/>
  <c r="U45" i="74"/>
  <c r="T285" i="66"/>
  <c r="Q285" i="66"/>
  <c r="O285" i="66"/>
  <c r="H485" i="41"/>
  <c r="T141" i="66"/>
  <c r="O141" i="66"/>
  <c r="G15" i="39"/>
  <c r="Q141" i="66"/>
  <c r="K141" i="74"/>
  <c r="AI141" i="74" s="1"/>
  <c r="D44" i="17"/>
  <c r="D34" i="17"/>
  <c r="D40" i="17"/>
  <c r="R154" i="66"/>
  <c r="U67" i="74"/>
  <c r="R250" i="66"/>
  <c r="S250" i="66" s="1"/>
  <c r="U250" i="66" s="1"/>
  <c r="U110" i="74"/>
  <c r="U5" i="74"/>
  <c r="O108" i="74"/>
  <c r="AA108" i="74" s="1"/>
  <c r="Z252" i="66"/>
  <c r="Z108" i="66"/>
  <c r="P108" i="66"/>
  <c r="R108" i="66" s="1"/>
  <c r="S108" i="66" s="1"/>
  <c r="U108" i="66" s="1"/>
  <c r="AA108" i="66"/>
  <c r="AA252" i="66"/>
  <c r="Y111" i="74"/>
  <c r="Y66" i="74"/>
  <c r="U34" i="74"/>
  <c r="Y15" i="74"/>
  <c r="Z162" i="66"/>
  <c r="U77" i="74"/>
  <c r="Y79" i="74"/>
  <c r="U95" i="74"/>
  <c r="U135" i="74"/>
  <c r="Y82" i="74"/>
  <c r="Y100" i="74"/>
  <c r="AA18" i="66"/>
  <c r="AA162" i="66"/>
  <c r="U92" i="74"/>
  <c r="U125" i="74"/>
  <c r="U120" i="74"/>
  <c r="Y147" i="74"/>
  <c r="Y130" i="74"/>
  <c r="Y61" i="74"/>
  <c r="Y123" i="74"/>
  <c r="U134" i="74"/>
  <c r="Y95" i="74"/>
  <c r="Y38" i="74"/>
  <c r="Y109" i="74"/>
  <c r="Y31" i="74"/>
  <c r="Y134" i="74"/>
  <c r="U99" i="74"/>
  <c r="U31" i="74"/>
  <c r="Y11" i="74"/>
  <c r="Y115" i="74"/>
  <c r="Y143" i="74"/>
  <c r="AC144" i="74"/>
  <c r="O144" i="74"/>
  <c r="Z96" i="74"/>
  <c r="P96" i="74"/>
  <c r="AA96" i="74"/>
  <c r="D33" i="17"/>
  <c r="I63" i="35" a="1"/>
  <c r="I63" i="35" s="1"/>
  <c r="I19" i="35" a="1"/>
  <c r="I19" i="35" s="1"/>
  <c r="D27" i="17"/>
  <c r="D25" i="17"/>
  <c r="O10" i="9"/>
  <c r="I496" i="18"/>
  <c r="H496" i="18"/>
  <c r="I241" i="18"/>
  <c r="H241" i="18"/>
  <c r="I240" i="18"/>
  <c r="H240" i="18"/>
  <c r="I460" i="18"/>
  <c r="H460" i="18"/>
  <c r="I459" i="18"/>
  <c r="H459" i="18"/>
  <c r="H498" i="18"/>
  <c r="I498" i="18"/>
  <c r="I253" i="18"/>
  <c r="H253" i="18"/>
  <c r="I247" i="18"/>
  <c r="H247" i="18"/>
  <c r="T71" i="66"/>
  <c r="Q71" i="66"/>
  <c r="K71" i="74"/>
  <c r="AI71" i="74" s="1"/>
  <c r="O71" i="66"/>
  <c r="F19" i="39"/>
  <c r="D103" i="72" a="1"/>
  <c r="D103" i="72" s="1"/>
  <c r="D104" i="72" s="1" a="1"/>
  <c r="D104" i="72" s="1"/>
  <c r="T106" i="74"/>
  <c r="Q106" i="74"/>
  <c r="U101" i="74"/>
  <c r="U66" i="74"/>
  <c r="D226" i="72" a="1"/>
  <c r="D226" i="72" s="1"/>
  <c r="D227" i="72" s="1" a="1"/>
  <c r="D227" i="72" s="1"/>
  <c r="J7" i="6"/>
  <c r="AA144" i="66"/>
  <c r="Z144" i="66"/>
  <c r="AA288" i="66"/>
  <c r="Z288" i="66"/>
  <c r="P144" i="66"/>
  <c r="I203" i="18"/>
  <c r="H203" i="18"/>
  <c r="Z29" i="74"/>
  <c r="AA29" i="74"/>
  <c r="I500" i="18"/>
  <c r="H500" i="18"/>
  <c r="AC125" i="74"/>
  <c r="O125" i="74"/>
  <c r="I248" i="18"/>
  <c r="H248" i="18"/>
  <c r="I252" i="18"/>
  <c r="H252" i="18"/>
  <c r="I453" i="18"/>
  <c r="H453" i="18"/>
  <c r="Y27" i="74"/>
  <c r="Y14" i="74"/>
  <c r="U88" i="74"/>
  <c r="U25" i="74"/>
  <c r="AA70" i="74"/>
  <c r="Z70" i="74"/>
  <c r="AA92" i="74"/>
  <c r="Z92" i="74"/>
  <c r="J17" i="39"/>
  <c r="O11" i="74"/>
  <c r="AC11" i="74"/>
  <c r="AG11" i="74" s="1"/>
  <c r="I492" i="18"/>
  <c r="H492" i="18"/>
  <c r="H497" i="18"/>
  <c r="I497" i="18"/>
  <c r="Z125" i="66"/>
  <c r="AA125" i="66"/>
  <c r="Z269" i="66"/>
  <c r="AA269" i="66"/>
  <c r="H243" i="18"/>
  <c r="I243" i="18"/>
  <c r="I462" i="18"/>
  <c r="H462" i="18"/>
  <c r="Z118" i="66"/>
  <c r="Z262" i="66"/>
  <c r="AA118" i="66"/>
  <c r="AA262" i="66"/>
  <c r="R48" i="66"/>
  <c r="AC106" i="74"/>
  <c r="I102" i="35" a="1"/>
  <c r="I102" i="35" s="1"/>
  <c r="G377" i="18" a="1"/>
  <c r="G377" i="18" s="1"/>
  <c r="G371" i="18" a="1"/>
  <c r="G371" i="18" s="1"/>
  <c r="I103" i="35" a="1"/>
  <c r="I103" i="35" s="1"/>
  <c r="G372" i="18" a="1"/>
  <c r="G372" i="18" s="1"/>
  <c r="G378" i="18" a="1"/>
  <c r="G378" i="18" s="1"/>
  <c r="I109" i="35" a="1"/>
  <c r="I109" i="35" s="1"/>
  <c r="G376" i="18" a="1"/>
  <c r="G376" i="18" s="1"/>
  <c r="I105" i="35" a="1"/>
  <c r="I105" i="35" s="1"/>
  <c r="G379" i="18" a="1"/>
  <c r="G379" i="18" s="1"/>
  <c r="I101" i="35" a="1"/>
  <c r="I101" i="35" s="1"/>
  <c r="G373" i="18" a="1"/>
  <c r="G373" i="18" s="1"/>
  <c r="I112" i="35" a="1"/>
  <c r="I112" i="35" s="1"/>
  <c r="G374" i="18" a="1"/>
  <c r="G374" i="18" s="1"/>
  <c r="I108" i="35" a="1"/>
  <c r="I108" i="35" s="1"/>
  <c r="G370" i="18" a="1"/>
  <c r="G370" i="18" s="1"/>
  <c r="I104" i="35" a="1"/>
  <c r="I104" i="35" s="1"/>
  <c r="G368" i="18" a="1"/>
  <c r="G368" i="18" s="1"/>
  <c r="I114" i="35" a="1"/>
  <c r="I114" i="35" s="1"/>
  <c r="G366" i="18" a="1"/>
  <c r="G366" i="18" s="1"/>
  <c r="J47" i="20"/>
  <c r="I110" i="35" a="1"/>
  <c r="I110" i="35" s="1"/>
  <c r="G367" i="18" a="1"/>
  <c r="G367" i="18" s="1"/>
  <c r="I107" i="35" a="1"/>
  <c r="I107" i="35" s="1"/>
  <c r="I111" i="35" a="1"/>
  <c r="I111" i="35" s="1"/>
  <c r="G375" i="18" a="1"/>
  <c r="G375" i="18" s="1"/>
  <c r="I113" i="35" a="1"/>
  <c r="I113" i="35" s="1"/>
  <c r="I106" i="35" a="1"/>
  <c r="I106" i="35" s="1"/>
  <c r="G369" i="18" a="1"/>
  <c r="G369" i="18" s="1"/>
  <c r="I30" i="35" a="1"/>
  <c r="I30" i="35" s="1"/>
  <c r="I22" i="35" a="1"/>
  <c r="I22" i="35" s="1"/>
  <c r="I29" i="35" a="1"/>
  <c r="I29" i="35" s="1"/>
  <c r="G115" i="18" a="1"/>
  <c r="G115" i="18" s="1"/>
  <c r="G118" i="18" a="1"/>
  <c r="G118" i="18" s="1"/>
  <c r="G116" i="18" a="1"/>
  <c r="G116" i="18" s="1"/>
  <c r="G124" i="18" a="1"/>
  <c r="G124" i="18" s="1"/>
  <c r="G125" i="18" a="1"/>
  <c r="G125" i="18" s="1"/>
  <c r="G123" i="18" a="1"/>
  <c r="G123" i="18" s="1"/>
  <c r="G122" i="18" a="1"/>
  <c r="G122" i="18" s="1"/>
  <c r="G117" i="18" a="1"/>
  <c r="G117" i="18" s="1"/>
  <c r="G119" i="18" a="1"/>
  <c r="G119" i="18" s="1"/>
  <c r="G121" i="18" a="1"/>
  <c r="G121" i="18" s="1"/>
  <c r="G114" i="18" a="1"/>
  <c r="G114" i="18" s="1"/>
  <c r="G126" i="18" a="1"/>
  <c r="G126" i="18" s="1"/>
  <c r="I17" i="35" a="1"/>
  <c r="I17" i="35" s="1"/>
  <c r="G120" i="18" a="1"/>
  <c r="G120" i="18" s="1"/>
  <c r="I23" i="35" a="1"/>
  <c r="I23" i="35" s="1"/>
  <c r="G127" i="18" a="1"/>
  <c r="G127" i="18" s="1"/>
  <c r="J20" i="20"/>
  <c r="I26" i="35" a="1"/>
  <c r="I26" i="35" s="1"/>
  <c r="I20" i="35" a="1"/>
  <c r="I20" i="35" s="1"/>
  <c r="I27" i="35" a="1"/>
  <c r="I27" i="35" s="1"/>
  <c r="I21" i="35" a="1"/>
  <c r="I21" i="35" s="1"/>
  <c r="I24" i="35" a="1"/>
  <c r="I24" i="35" s="1"/>
  <c r="I18" i="35" a="1"/>
  <c r="I18" i="35" s="1"/>
  <c r="I25" i="35" a="1"/>
  <c r="I25" i="35" s="1"/>
  <c r="I28" i="35" a="1"/>
  <c r="I28" i="35" s="1"/>
  <c r="Q17" i="39"/>
  <c r="P29" i="39"/>
  <c r="Q29" i="39" s="1"/>
  <c r="AA32" i="74"/>
  <c r="Z32" i="74"/>
  <c r="P32" i="74"/>
  <c r="I503" i="18"/>
  <c r="H503" i="18"/>
  <c r="I251" i="18"/>
  <c r="H251" i="18"/>
  <c r="I242" i="18"/>
  <c r="H242" i="18"/>
  <c r="H461" i="18"/>
  <c r="I461" i="18"/>
  <c r="O118" i="74"/>
  <c r="AC118" i="74"/>
  <c r="C30" i="63"/>
  <c r="J459" i="41"/>
  <c r="D35" i="17"/>
  <c r="Y120" i="74"/>
  <c r="O106" i="74"/>
  <c r="AA106" i="74" s="1"/>
  <c r="U14" i="74"/>
  <c r="U49" i="74"/>
  <c r="Y44" i="74"/>
  <c r="U72" i="74"/>
  <c r="U52" i="74"/>
  <c r="P12" i="20"/>
  <c r="P14" i="20"/>
  <c r="G8" i="20"/>
  <c r="E23" i="22"/>
  <c r="G9" i="20"/>
  <c r="P16" i="20"/>
  <c r="P18" i="20"/>
  <c r="G12" i="20"/>
  <c r="P7" i="20"/>
  <c r="P6" i="20"/>
  <c r="P10" i="20"/>
  <c r="N6" i="9"/>
  <c r="G18" i="20"/>
  <c r="G7" i="20"/>
  <c r="G6" i="20"/>
  <c r="P17" i="20"/>
  <c r="G17" i="20"/>
  <c r="G15" i="20"/>
  <c r="P15" i="20"/>
  <c r="G14" i="20"/>
  <c r="P11" i="20"/>
  <c r="G19" i="20"/>
  <c r="G10" i="20"/>
  <c r="P8" i="20"/>
  <c r="G16" i="20"/>
  <c r="P19" i="20"/>
  <c r="G11" i="20"/>
  <c r="P13" i="20"/>
  <c r="G13" i="20"/>
  <c r="P9" i="20"/>
  <c r="N30" i="9"/>
  <c r="M21" i="74"/>
  <c r="Q21" i="66"/>
  <c r="S21" i="66"/>
  <c r="U21" i="66" s="1"/>
  <c r="O21" i="66"/>
  <c r="I202" i="18"/>
  <c r="H202" i="18"/>
  <c r="H198" i="18"/>
  <c r="I198" i="18"/>
  <c r="R192" i="66"/>
  <c r="I60" i="35" a="1"/>
  <c r="I60" i="35" s="1"/>
  <c r="G162" i="18" a="1"/>
  <c r="G162" i="18" s="1"/>
  <c r="G157" i="18" a="1"/>
  <c r="G157" i="18" s="1"/>
  <c r="G158" i="18" a="1"/>
  <c r="G158" i="18" s="1"/>
  <c r="G160" i="18" a="1"/>
  <c r="G160" i="18" s="1"/>
  <c r="G168" i="18" a="1"/>
  <c r="G168" i="18" s="1"/>
  <c r="I59" i="35" a="1"/>
  <c r="I59" i="35" s="1"/>
  <c r="G161" i="18" a="1"/>
  <c r="G161" i="18" s="1"/>
  <c r="G165" i="18" a="1"/>
  <c r="G165" i="18" s="1"/>
  <c r="G156" i="18" a="1"/>
  <c r="G156" i="18" s="1"/>
  <c r="I71" i="35" a="1"/>
  <c r="I71" i="35" s="1"/>
  <c r="G164" i="18" a="1"/>
  <c r="G164" i="18" s="1"/>
  <c r="G166" i="18" a="1"/>
  <c r="G166" i="18" s="1"/>
  <c r="G167" i="18" a="1"/>
  <c r="G167" i="18" s="1"/>
  <c r="I69" i="35" a="1"/>
  <c r="I69" i="35" s="1"/>
  <c r="G159" i="18" a="1"/>
  <c r="G159" i="18" s="1"/>
  <c r="G169" i="18" a="1"/>
  <c r="G169" i="18" s="1"/>
  <c r="I72" i="35" a="1"/>
  <c r="I72" i="35" s="1"/>
  <c r="G163" i="18" a="1"/>
  <c r="G163" i="18" s="1"/>
  <c r="I64" i="35" a="1"/>
  <c r="I64" i="35" s="1"/>
  <c r="I68" i="35" a="1"/>
  <c r="I68" i="35" s="1"/>
  <c r="S20" i="20"/>
  <c r="I66" i="35" a="1"/>
  <c r="I66" i="35" s="1"/>
  <c r="I62" i="35" a="1"/>
  <c r="I62" i="35" s="1"/>
  <c r="I67" i="35" a="1"/>
  <c r="I67" i="35" s="1"/>
  <c r="I65" i="35" a="1"/>
  <c r="I65" i="35" s="1"/>
  <c r="I61" i="35" a="1"/>
  <c r="I61" i="35" s="1"/>
  <c r="I70" i="35" a="1"/>
  <c r="I70" i="35" s="1"/>
  <c r="N69" i="74"/>
  <c r="F25" i="39"/>
  <c r="I504" i="18"/>
  <c r="H504" i="18"/>
  <c r="I246" i="18"/>
  <c r="H246" i="18"/>
  <c r="I245" i="18"/>
  <c r="H245" i="18"/>
  <c r="Q142" i="66"/>
  <c r="T142" i="66"/>
  <c r="K142" i="74"/>
  <c r="AI142" i="74" s="1"/>
  <c r="O142" i="66"/>
  <c r="G12" i="39"/>
  <c r="D166" i="72" a="1"/>
  <c r="D166" i="72" s="1"/>
  <c r="E25" i="22"/>
  <c r="N8" i="9"/>
  <c r="U8" i="9" s="1"/>
  <c r="I146" i="35" a="1"/>
  <c r="I146" i="35" s="1"/>
  <c r="G412" i="18" a="1"/>
  <c r="G412" i="18" s="1"/>
  <c r="G413" i="18" a="1"/>
  <c r="G413" i="18" s="1"/>
  <c r="G416" i="18" a="1"/>
  <c r="G416" i="18" s="1"/>
  <c r="I149" i="35" a="1"/>
  <c r="I149" i="35" s="1"/>
  <c r="G420" i="18" a="1"/>
  <c r="G420" i="18" s="1"/>
  <c r="I145" i="35" a="1"/>
  <c r="I145" i="35" s="1"/>
  <c r="I156" i="35" a="1"/>
  <c r="I156" i="35" s="1"/>
  <c r="G409" i="18" a="1"/>
  <c r="G409" i="18" s="1"/>
  <c r="I152" i="35" a="1"/>
  <c r="I152" i="35" s="1"/>
  <c r="S47" i="20"/>
  <c r="I148" i="35" a="1"/>
  <c r="I148" i="35" s="1"/>
  <c r="G419" i="18" a="1"/>
  <c r="G419" i="18" s="1"/>
  <c r="I155" i="35" a="1"/>
  <c r="I155" i="35" s="1"/>
  <c r="G418" i="18" a="1"/>
  <c r="G418" i="18" s="1"/>
  <c r="G417" i="18" a="1"/>
  <c r="G417" i="18" s="1"/>
  <c r="I144" i="35" a="1"/>
  <c r="I144" i="35" s="1"/>
  <c r="I150" i="35" a="1"/>
  <c r="I150" i="35" s="1"/>
  <c r="I154" i="35" a="1"/>
  <c r="I154" i="35" s="1"/>
  <c r="G415" i="18" a="1"/>
  <c r="G415" i="18" s="1"/>
  <c r="I151" i="35" a="1"/>
  <c r="I151" i="35" s="1"/>
  <c r="G408" i="18" a="1"/>
  <c r="G408" i="18" s="1"/>
  <c r="I153" i="35" a="1"/>
  <c r="I153" i="35" s="1"/>
  <c r="G421" i="18" a="1"/>
  <c r="G421" i="18" s="1"/>
  <c r="G410" i="18" a="1"/>
  <c r="G410" i="18" s="1"/>
  <c r="I147" i="35" a="1"/>
  <c r="I147" i="35" s="1"/>
  <c r="G411" i="18" a="1"/>
  <c r="G411" i="18" s="1"/>
  <c r="I143" i="35" a="1"/>
  <c r="I143" i="35" s="1"/>
  <c r="G414" i="18" a="1"/>
  <c r="G414" i="18" s="1"/>
  <c r="I205" i="18"/>
  <c r="H205" i="18"/>
  <c r="I208" i="18"/>
  <c r="H208" i="18"/>
  <c r="T94" i="74"/>
  <c r="Q94" i="74"/>
  <c r="I505" i="18"/>
  <c r="H505" i="18"/>
  <c r="I494" i="18"/>
  <c r="H494" i="18"/>
  <c r="I457" i="18"/>
  <c r="H457" i="18"/>
  <c r="I463" i="18"/>
  <c r="H463" i="18"/>
  <c r="I450" i="18"/>
  <c r="H450" i="18"/>
  <c r="H158" i="35" a="1"/>
  <c r="H158" i="35" s="1"/>
  <c r="G481" i="18" a="1"/>
  <c r="G481" i="18" s="1"/>
  <c r="H168" i="35" a="1"/>
  <c r="H168" i="35" s="1"/>
  <c r="G480" i="18" a="1"/>
  <c r="G480" i="18" s="1"/>
  <c r="G482" i="18" a="1"/>
  <c r="G482" i="18" s="1"/>
  <c r="H161" i="35" a="1"/>
  <c r="H161" i="35" s="1"/>
  <c r="H164" i="35" a="1"/>
  <c r="H164" i="35" s="1"/>
  <c r="G478" i="18" a="1"/>
  <c r="G478" i="18" s="1"/>
  <c r="H160" i="35" a="1"/>
  <c r="H160" i="35" s="1"/>
  <c r="G488" i="18" a="1"/>
  <c r="G488" i="18" s="1"/>
  <c r="H165" i="35" a="1"/>
  <c r="H165" i="35" s="1"/>
  <c r="G483" i="18" a="1"/>
  <c r="G483" i="18" s="1"/>
  <c r="Q47" i="20"/>
  <c r="H167" i="35" a="1"/>
  <c r="H167" i="35" s="1"/>
  <c r="G490" i="18" a="1"/>
  <c r="G490" i="18" s="1"/>
  <c r="H163" i="35" a="1"/>
  <c r="H163" i="35" s="1"/>
  <c r="H169" i="35" a="1"/>
  <c r="H169" i="35" s="1"/>
  <c r="H166" i="35" a="1"/>
  <c r="H166" i="35" s="1"/>
  <c r="G479" i="18" a="1"/>
  <c r="G479" i="18" s="1"/>
  <c r="H170" i="35" a="1"/>
  <c r="H170" i="35" s="1"/>
  <c r="H157" i="35" a="1"/>
  <c r="H157" i="35" s="1"/>
  <c r="G486" i="18" a="1"/>
  <c r="G486" i="18" s="1"/>
  <c r="G489" i="18" a="1"/>
  <c r="G489" i="18" s="1"/>
  <c r="H159" i="35" a="1"/>
  <c r="H159" i="35" s="1"/>
  <c r="G491" i="18" a="1"/>
  <c r="G491" i="18" s="1"/>
  <c r="G487" i="18" a="1"/>
  <c r="G487" i="18" s="1"/>
  <c r="G485" i="18" a="1"/>
  <c r="G485" i="18" s="1"/>
  <c r="H162" i="35" a="1"/>
  <c r="H162" i="35" s="1"/>
  <c r="G484" i="18" a="1"/>
  <c r="G484" i="18" s="1"/>
  <c r="J458" i="41"/>
  <c r="U91" i="74"/>
  <c r="Y127" i="74"/>
  <c r="Y51" i="74"/>
  <c r="Y77" i="74"/>
  <c r="P44" i="20"/>
  <c r="G38" i="20"/>
  <c r="G45" i="20"/>
  <c r="G35" i="20"/>
  <c r="P40" i="20"/>
  <c r="P34" i="20"/>
  <c r="G39" i="20"/>
  <c r="P35" i="20"/>
  <c r="G36" i="20"/>
  <c r="G43" i="20"/>
  <c r="G46" i="20"/>
  <c r="P37" i="20"/>
  <c r="G42" i="20"/>
  <c r="P42" i="20"/>
  <c r="P39" i="20"/>
  <c r="G40" i="20"/>
  <c r="P38" i="20"/>
  <c r="P33" i="20"/>
  <c r="P43" i="20"/>
  <c r="G44" i="20"/>
  <c r="P41" i="20"/>
  <c r="P45" i="20"/>
  <c r="G37" i="20"/>
  <c r="E68" i="22"/>
  <c r="P36" i="20"/>
  <c r="G33" i="20"/>
  <c r="P46" i="20"/>
  <c r="G34" i="20"/>
  <c r="G41" i="20"/>
  <c r="N40" i="9"/>
  <c r="R96" i="66"/>
  <c r="S96" i="66" s="1"/>
  <c r="U96" i="66" s="1"/>
  <c r="Q286" i="66"/>
  <c r="T286" i="66"/>
  <c r="O286" i="66"/>
  <c r="D288" i="72" a="1"/>
  <c r="D288" i="72" s="1"/>
  <c r="D72" i="72" a="1"/>
  <c r="D72" i="72" s="1"/>
  <c r="I210" i="18"/>
  <c r="H210" i="18"/>
  <c r="I201" i="18"/>
  <c r="H201" i="18"/>
  <c r="E26" i="17"/>
  <c r="E24" i="17"/>
  <c r="E28" i="17" s="1"/>
  <c r="Q10" i="9"/>
  <c r="V6" i="9"/>
  <c r="AA5" i="39"/>
  <c r="J12" i="39"/>
  <c r="J21" i="39"/>
  <c r="J13" i="39"/>
  <c r="J23" i="39"/>
  <c r="J22" i="39"/>
  <c r="J26" i="39"/>
  <c r="J24" i="39"/>
  <c r="J27" i="39"/>
  <c r="C31" i="39"/>
  <c r="J25" i="39"/>
  <c r="J15" i="39"/>
  <c r="J28" i="39"/>
  <c r="J20" i="39"/>
  <c r="AA6" i="39"/>
  <c r="J19" i="39"/>
  <c r="J16" i="39"/>
  <c r="J18" i="39"/>
  <c r="J14" i="39"/>
  <c r="AA77" i="74"/>
  <c r="Z77" i="74"/>
  <c r="S165" i="66"/>
  <c r="U165" i="66" s="1"/>
  <c r="O165" i="66"/>
  <c r="Q165" i="66"/>
  <c r="O128" i="74"/>
  <c r="AC128" i="74"/>
  <c r="I499" i="18"/>
  <c r="H499" i="18"/>
  <c r="I452" i="18"/>
  <c r="H452" i="18"/>
  <c r="D9" i="72" a="1"/>
  <c r="D9" i="72" s="1"/>
  <c r="D10" i="72" s="1" a="1"/>
  <c r="D10" i="72" s="1"/>
  <c r="D11" i="72" s="1" a="1"/>
  <c r="D11" i="72" s="1"/>
  <c r="I209" i="18"/>
  <c r="H209" i="18"/>
  <c r="U127" i="74"/>
  <c r="U24" i="74"/>
  <c r="U33" i="74"/>
  <c r="Y63" i="74"/>
  <c r="U79" i="74"/>
  <c r="AA48" i="74"/>
  <c r="Z48" i="74"/>
  <c r="P48" i="74"/>
  <c r="I207" i="18"/>
  <c r="H207" i="18"/>
  <c r="I206" i="18"/>
  <c r="H206" i="18"/>
  <c r="H471" i="58"/>
  <c r="D19" i="8"/>
  <c r="N117" i="66"/>
  <c r="J6" i="6"/>
  <c r="AA128" i="66"/>
  <c r="Z272" i="66"/>
  <c r="AA272" i="66"/>
  <c r="Z128" i="66"/>
  <c r="P128" i="66"/>
  <c r="H77" i="35" a="1"/>
  <c r="H77" i="35" s="1"/>
  <c r="G232" i="18" a="1"/>
  <c r="G232" i="18" s="1"/>
  <c r="G233" i="18" a="1"/>
  <c r="G233" i="18" s="1"/>
  <c r="Q20" i="20"/>
  <c r="H82" i="35" a="1"/>
  <c r="H82" i="35" s="1"/>
  <c r="G237" i="18" a="1"/>
  <c r="G237" i="18" s="1"/>
  <c r="H79" i="35" a="1"/>
  <c r="H79" i="35" s="1"/>
  <c r="H78" i="35" a="1"/>
  <c r="H78" i="35" s="1"/>
  <c r="H73" i="35" a="1"/>
  <c r="H73" i="35" s="1"/>
  <c r="H74" i="35" a="1"/>
  <c r="H74" i="35" s="1"/>
  <c r="G239" i="18" a="1"/>
  <c r="G239" i="18" s="1"/>
  <c r="H81" i="35" a="1"/>
  <c r="H81" i="35" s="1"/>
  <c r="G227" i="18" a="1"/>
  <c r="G227" i="18" s="1"/>
  <c r="G226" i="18" a="1"/>
  <c r="G226" i="18" s="1"/>
  <c r="G235" i="18" a="1"/>
  <c r="G235" i="18" s="1"/>
  <c r="H75" i="35" a="1"/>
  <c r="H75" i="35" s="1"/>
  <c r="G230" i="18" a="1"/>
  <c r="G230" i="18" s="1"/>
  <c r="H84" i="35" a="1"/>
  <c r="H84" i="35" s="1"/>
  <c r="G228" i="18" a="1"/>
  <c r="G228" i="18" s="1"/>
  <c r="H80" i="35" a="1"/>
  <c r="H80" i="35" s="1"/>
  <c r="G234" i="18" a="1"/>
  <c r="G234" i="18" s="1"/>
  <c r="H76" i="35" a="1"/>
  <c r="H76" i="35" s="1"/>
  <c r="G238" i="18" a="1"/>
  <c r="G238" i="18" s="1"/>
  <c r="H86" i="35" a="1"/>
  <c r="H86" i="35" s="1"/>
  <c r="G231" i="18" a="1"/>
  <c r="G231" i="18" s="1"/>
  <c r="H85" i="35" a="1"/>
  <c r="H85" i="35" s="1"/>
  <c r="G229" i="18" a="1"/>
  <c r="G229" i="18" s="1"/>
  <c r="H83" i="35" a="1"/>
  <c r="H83" i="35" s="1"/>
  <c r="G236" i="18" a="1"/>
  <c r="G236" i="18" s="1"/>
  <c r="R32" i="66"/>
  <c r="AA155" i="66"/>
  <c r="I249" i="18"/>
  <c r="H249" i="18"/>
  <c r="I455" i="18"/>
  <c r="H455" i="18"/>
  <c r="R80" i="66"/>
  <c r="S80" i="66" s="1"/>
  <c r="U80" i="66" s="1"/>
  <c r="U147" i="74"/>
  <c r="Z284" i="66"/>
  <c r="Z140" i="66"/>
  <c r="AA140" i="66"/>
  <c r="AA284" i="66"/>
  <c r="I211" i="18"/>
  <c r="H211" i="18"/>
  <c r="R272" i="66"/>
  <c r="S272" i="66" s="1"/>
  <c r="U272" i="66" s="1"/>
  <c r="M117" i="66"/>
  <c r="J485" i="37"/>
  <c r="P288" i="66"/>
  <c r="M69" i="74"/>
  <c r="O69" i="66"/>
  <c r="Q69" i="66"/>
  <c r="I493" i="18"/>
  <c r="H493" i="18"/>
  <c r="H495" i="18"/>
  <c r="I495" i="18"/>
  <c r="AA11" i="66"/>
  <c r="I454" i="18"/>
  <c r="H454" i="18"/>
  <c r="I451" i="18"/>
  <c r="H451" i="18"/>
  <c r="Y34" i="74"/>
  <c r="U61" i="74"/>
  <c r="U87" i="74"/>
  <c r="Y29" i="74"/>
  <c r="Y86" i="74"/>
  <c r="U100" i="74"/>
  <c r="O94" i="74"/>
  <c r="P94" i="74" s="1"/>
  <c r="AC140" i="74"/>
  <c r="O140" i="74"/>
  <c r="AC18" i="74"/>
  <c r="O18" i="74"/>
  <c r="I200" i="18"/>
  <c r="H200" i="18"/>
  <c r="H38" i="35" a="1"/>
  <c r="H38" i="35" s="1"/>
  <c r="G187" i="18" a="1"/>
  <c r="G187" i="18" s="1"/>
  <c r="G192" i="18" a="1"/>
  <c r="G192" i="18" s="1"/>
  <c r="H34" i="35" a="1"/>
  <c r="H34" i="35" s="1"/>
  <c r="G188" i="18" a="1"/>
  <c r="G188" i="18" s="1"/>
  <c r="H20" i="20"/>
  <c r="H43" i="35" a="1"/>
  <c r="H43" i="35" s="1"/>
  <c r="H44" i="35" a="1"/>
  <c r="H44" i="35" s="1"/>
  <c r="G190" i="18" a="1"/>
  <c r="G190" i="18" s="1"/>
  <c r="G189" i="18" a="1"/>
  <c r="G189" i="18" s="1"/>
  <c r="H31" i="35" a="1"/>
  <c r="H31" i="35" s="1"/>
  <c r="G191" i="18" a="1"/>
  <c r="G191" i="18" s="1"/>
  <c r="H33" i="35" a="1"/>
  <c r="H33" i="35" s="1"/>
  <c r="H41" i="35" a="1"/>
  <c r="H41" i="35" s="1"/>
  <c r="H40" i="35" a="1"/>
  <c r="H40" i="35" s="1"/>
  <c r="G193" i="18" a="1"/>
  <c r="G193" i="18" s="1"/>
  <c r="H37" i="35" a="1"/>
  <c r="H37" i="35" s="1"/>
  <c r="G184" i="18" a="1"/>
  <c r="G184" i="18" s="1"/>
  <c r="G195" i="18" a="1"/>
  <c r="G195" i="18" s="1"/>
  <c r="G196" i="18" a="1"/>
  <c r="G196" i="18" s="1"/>
  <c r="H39" i="35" a="1"/>
  <c r="H39" i="35" s="1"/>
  <c r="H36" i="35" a="1"/>
  <c r="H36" i="35" s="1"/>
  <c r="G197" i="18" a="1"/>
  <c r="G197" i="18" s="1"/>
  <c r="H32" i="35" a="1"/>
  <c r="H32" i="35" s="1"/>
  <c r="G194" i="18" a="1"/>
  <c r="G194" i="18" s="1"/>
  <c r="G186" i="18" a="1"/>
  <c r="G186" i="18" s="1"/>
  <c r="H42" i="35" a="1"/>
  <c r="H42" i="35" s="1"/>
  <c r="G185" i="18" a="1"/>
  <c r="G185" i="18" s="1"/>
  <c r="H35" i="35" a="1"/>
  <c r="H35" i="35" s="1"/>
  <c r="I502" i="18"/>
  <c r="H502" i="18"/>
  <c r="Z155" i="66"/>
  <c r="O213" i="66"/>
  <c r="Q213" i="66"/>
  <c r="I250" i="18"/>
  <c r="H250" i="18"/>
  <c r="I456" i="18"/>
  <c r="H456" i="18"/>
  <c r="I458" i="18"/>
  <c r="H458" i="18"/>
  <c r="H116" i="35" a="1"/>
  <c r="H116" i="35" s="1"/>
  <c r="G440" i="18" a="1"/>
  <c r="G440" i="18" s="1"/>
  <c r="H126" i="35" a="1"/>
  <c r="H126" i="35" s="1"/>
  <c r="G447" i="18" a="1"/>
  <c r="G447" i="18" s="1"/>
  <c r="G441" i="18" a="1"/>
  <c r="G441" i="18" s="1"/>
  <c r="H117" i="35" a="1"/>
  <c r="H117" i="35" s="1"/>
  <c r="G437" i="18" a="1"/>
  <c r="G437" i="18" s="1"/>
  <c r="G446" i="18" a="1"/>
  <c r="G446" i="18" s="1"/>
  <c r="H119" i="35" a="1"/>
  <c r="H119" i="35" s="1"/>
  <c r="G448" i="18" a="1"/>
  <c r="G448" i="18" s="1"/>
  <c r="H121" i="35" a="1"/>
  <c r="H121" i="35" s="1"/>
  <c r="G438" i="18" a="1"/>
  <c r="G438" i="18" s="1"/>
  <c r="H123" i="35" a="1"/>
  <c r="H123" i="35" s="1"/>
  <c r="G439" i="18" a="1"/>
  <c r="G439" i="18" s="1"/>
  <c r="H128" i="35" a="1"/>
  <c r="H128" i="35" s="1"/>
  <c r="H125" i="35" a="1"/>
  <c r="H125" i="35" s="1"/>
  <c r="G449" i="18" a="1"/>
  <c r="G449" i="18" s="1"/>
  <c r="H124" i="35" a="1"/>
  <c r="H124" i="35" s="1"/>
  <c r="G445" i="18" a="1"/>
  <c r="G445" i="18" s="1"/>
  <c r="H120" i="35" a="1"/>
  <c r="H120" i="35" s="1"/>
  <c r="H122" i="35" a="1"/>
  <c r="H122" i="35" s="1"/>
  <c r="G443" i="18" a="1"/>
  <c r="G443" i="18" s="1"/>
  <c r="H47" i="20"/>
  <c r="G444" i="18" a="1"/>
  <c r="G444" i="18" s="1"/>
  <c r="H127" i="35" a="1"/>
  <c r="H127" i="35" s="1"/>
  <c r="G442" i="18" a="1"/>
  <c r="G442" i="18" s="1"/>
  <c r="H115" i="35" a="1"/>
  <c r="H115" i="35" s="1"/>
  <c r="H118" i="35" a="1"/>
  <c r="H118" i="35" s="1"/>
  <c r="G436" i="18" a="1"/>
  <c r="G436" i="18" s="1"/>
  <c r="D43" i="72" a="1"/>
  <c r="D43" i="72" s="1"/>
  <c r="U39" i="74"/>
  <c r="U16" i="74"/>
  <c r="Q108" i="74"/>
  <c r="T108" i="74"/>
  <c r="I199" i="18"/>
  <c r="H199" i="18"/>
  <c r="I204" i="18"/>
  <c r="H204" i="18"/>
  <c r="Z22" i="74"/>
  <c r="AA22" i="74"/>
  <c r="P80" i="74"/>
  <c r="AA80" i="74"/>
  <c r="Z80" i="74"/>
  <c r="I501" i="18"/>
  <c r="H501" i="18"/>
  <c r="I485" i="41"/>
  <c r="I244" i="18"/>
  <c r="H244" i="18"/>
  <c r="AA44" i="74"/>
  <c r="Z44" i="74"/>
  <c r="U43" i="74"/>
  <c r="AA109" i="74"/>
  <c r="Z109" i="74"/>
  <c r="U40" i="74"/>
  <c r="R45" i="66"/>
  <c r="Y110" i="74"/>
  <c r="Z86" i="74"/>
  <c r="AA86" i="74"/>
  <c r="U129" i="74"/>
  <c r="R124" i="66"/>
  <c r="S124" i="66" s="1"/>
  <c r="U124" i="66" s="1"/>
  <c r="U47" i="74"/>
  <c r="Z4" i="74"/>
  <c r="AA4" i="74"/>
  <c r="R204" i="66"/>
  <c r="S204" i="66" s="1"/>
  <c r="U204" i="66" s="1"/>
  <c r="Z95" i="74"/>
  <c r="AA95" i="74"/>
  <c r="U107" i="74"/>
  <c r="R60" i="66"/>
  <c r="S60" i="66" s="1"/>
  <c r="U60" i="66" s="1"/>
  <c r="U18" i="74"/>
  <c r="Y8" i="74"/>
  <c r="U139" i="74"/>
  <c r="U118" i="74"/>
  <c r="Y125" i="74"/>
  <c r="U15" i="74"/>
  <c r="R241" i="66"/>
  <c r="S241" i="66" s="1"/>
  <c r="U241" i="66" s="1"/>
  <c r="W241" i="66"/>
  <c r="Y241" i="66" s="1"/>
  <c r="V241" i="66"/>
  <c r="R64" i="66"/>
  <c r="S64" i="66" s="1"/>
  <c r="U64" i="66" s="1"/>
  <c r="U104" i="74"/>
  <c r="U121" i="74"/>
  <c r="AA52" i="74"/>
  <c r="Z52" i="74"/>
  <c r="R256" i="66"/>
  <c r="S256" i="66" s="1"/>
  <c r="U256" i="66" s="1"/>
  <c r="U8" i="74"/>
  <c r="Z43" i="74"/>
  <c r="AA43" i="74"/>
  <c r="AA58" i="74"/>
  <c r="Z58" i="74"/>
  <c r="P58" i="74"/>
  <c r="AA28" i="74"/>
  <c r="Z28" i="74"/>
  <c r="P28" i="74"/>
  <c r="Y22" i="74"/>
  <c r="R238" i="66"/>
  <c r="S238" i="66" s="1"/>
  <c r="U238" i="66" s="1"/>
  <c r="Z76" i="74"/>
  <c r="AA76" i="74"/>
  <c r="P76" i="74"/>
  <c r="V145" i="66"/>
  <c r="R145" i="66"/>
  <c r="S145" i="66" s="1"/>
  <c r="U145" i="66" s="1"/>
  <c r="W145" i="66"/>
  <c r="Y145" i="66" s="1"/>
  <c r="U130" i="74"/>
  <c r="U11" i="74"/>
  <c r="R112" i="66"/>
  <c r="S112" i="66" s="1"/>
  <c r="U112" i="66" s="1"/>
  <c r="R23" i="66"/>
  <c r="R16" i="66"/>
  <c r="Z112" i="74"/>
  <c r="AA112" i="74"/>
  <c r="P112" i="74"/>
  <c r="U109" i="74"/>
  <c r="Y99" i="74"/>
  <c r="Y118" i="74"/>
  <c r="AA61" i="74"/>
  <c r="Z61" i="74"/>
  <c r="Y81" i="74"/>
  <c r="Y56" i="74"/>
  <c r="Z93" i="74"/>
  <c r="AA93" i="74"/>
  <c r="P93" i="74"/>
  <c r="R10" i="66"/>
  <c r="U22" i="74"/>
  <c r="J485" i="58"/>
  <c r="M261" i="66"/>
  <c r="Z129" i="74"/>
  <c r="AA129" i="74"/>
  <c r="Z134" i="74"/>
  <c r="AA134" i="74"/>
  <c r="Y59" i="74"/>
  <c r="U51" i="74"/>
  <c r="U38" i="74"/>
  <c r="Z13" i="74"/>
  <c r="AA13" i="74"/>
  <c r="Y62" i="74"/>
  <c r="U81" i="74"/>
  <c r="R94" i="66"/>
  <c r="S94" i="66" s="1"/>
  <c r="U94" i="66" s="1"/>
  <c r="U56" i="74"/>
  <c r="Y13" i="74"/>
  <c r="Y140" i="74"/>
  <c r="U73" i="74"/>
  <c r="Z64" i="74"/>
  <c r="AA64" i="74"/>
  <c r="P64" i="74"/>
  <c r="U59" i="74"/>
  <c r="R97" i="66"/>
  <c r="S97" i="66" s="1"/>
  <c r="U97" i="66" s="1"/>
  <c r="V97" i="66"/>
  <c r="W97" i="66"/>
  <c r="Y97" i="66" s="1"/>
  <c r="AA145" i="74"/>
  <c r="Z145" i="74"/>
  <c r="P145" i="74"/>
  <c r="U111" i="74"/>
  <c r="U82" i="74"/>
  <c r="U86" i="74"/>
  <c r="U62" i="74"/>
  <c r="AA100" i="74"/>
  <c r="Z100" i="74"/>
  <c r="Z45" i="74"/>
  <c r="AA45" i="74"/>
  <c r="P45" i="74"/>
  <c r="Y19" i="74"/>
  <c r="U13" i="74"/>
  <c r="U140" i="74"/>
  <c r="Y49" i="74"/>
  <c r="Y92" i="74"/>
  <c r="AA97" i="74"/>
  <c r="Z97" i="74"/>
  <c r="P97" i="74"/>
  <c r="R220" i="66"/>
  <c r="S220" i="66" s="1"/>
  <c r="U220" i="66" s="1"/>
  <c r="U44" i="74"/>
  <c r="AA81" i="74"/>
  <c r="Z81" i="74"/>
  <c r="AA143" i="74"/>
  <c r="Z143" i="74"/>
  <c r="Y67" i="74"/>
  <c r="U19" i="74"/>
  <c r="AA31" i="74"/>
  <c r="Z31" i="74"/>
  <c r="Y72" i="74"/>
  <c r="Y52" i="74"/>
  <c r="Z91" i="74"/>
  <c r="AA91" i="74"/>
  <c r="U136" i="74"/>
  <c r="AA12" i="74"/>
  <c r="Z12" i="74"/>
  <c r="P12" i="74"/>
  <c r="U123" i="74"/>
  <c r="Z23" i="74"/>
  <c r="AA23" i="74"/>
  <c r="P23" i="74"/>
  <c r="Z49" i="74"/>
  <c r="AA49" i="74"/>
  <c r="P49" i="74"/>
  <c r="R58" i="66"/>
  <c r="S58" i="66" s="1"/>
  <c r="U58" i="66" s="1"/>
  <c r="Z33" i="74"/>
  <c r="AA33" i="74"/>
  <c r="R76" i="66"/>
  <c r="S76" i="66" s="1"/>
  <c r="U76" i="66" s="1"/>
  <c r="AA79" i="74"/>
  <c r="Z79" i="74"/>
  <c r="Y70" i="74"/>
  <c r="AA16" i="74"/>
  <c r="Z16" i="74"/>
  <c r="P16" i="74"/>
  <c r="R208" i="66"/>
  <c r="S208" i="66" s="1"/>
  <c r="U208" i="66" s="1"/>
  <c r="R167" i="66"/>
  <c r="R12" i="66"/>
  <c r="AA38" i="74"/>
  <c r="Z38" i="74"/>
  <c r="R28" i="66"/>
  <c r="AA46" i="74"/>
  <c r="Z46" i="74"/>
  <c r="P46" i="74"/>
  <c r="AA47" i="74"/>
  <c r="Z47" i="74"/>
  <c r="AA127" i="74"/>
  <c r="Z127" i="74"/>
  <c r="Y75" i="74"/>
  <c r="U115" i="74"/>
  <c r="U29" i="74"/>
  <c r="U70" i="74"/>
  <c r="Y91" i="74"/>
  <c r="Y43" i="74"/>
  <c r="U27" i="74"/>
  <c r="R93" i="66"/>
  <c r="S93" i="66" s="1"/>
  <c r="U93" i="66" s="1"/>
  <c r="Y129" i="74"/>
  <c r="Y104" i="74"/>
  <c r="Y24" i="74"/>
  <c r="R49" i="66"/>
  <c r="V49" i="66"/>
  <c r="Y33" i="74"/>
  <c r="Y47" i="74"/>
  <c r="U63" i="74"/>
  <c r="Z60" i="74"/>
  <c r="AA60" i="74"/>
  <c r="P60" i="74"/>
  <c r="Y107" i="74"/>
  <c r="U75" i="74"/>
  <c r="U143" i="74"/>
  <c r="Y18" i="74"/>
  <c r="Y139" i="74"/>
  <c r="D202" i="72" a="1"/>
  <c r="D202" i="72" s="1"/>
  <c r="D264" i="72" a="1"/>
  <c r="D264" i="72" s="1"/>
  <c r="D140" i="72" a="1"/>
  <c r="D140" i="72" s="1"/>
  <c r="AD94" i="74" l="1"/>
  <c r="AD108" i="74"/>
  <c r="AE94" i="74"/>
  <c r="AF94" i="74" s="1"/>
  <c r="AE108" i="74"/>
  <c r="AF108" i="74" s="1"/>
  <c r="I33" i="77"/>
  <c r="AF38" i="74"/>
  <c r="AH38" i="74"/>
  <c r="AF97" i="74"/>
  <c r="AH97" i="74"/>
  <c r="AF43" i="74"/>
  <c r="AH43" i="74"/>
  <c r="AF124" i="74"/>
  <c r="AF143" i="74"/>
  <c r="AH143" i="74"/>
  <c r="AF129" i="74"/>
  <c r="AH129" i="74"/>
  <c r="AF81" i="74"/>
  <c r="AH81" i="74"/>
  <c r="AF76" i="74"/>
  <c r="AF48" i="74"/>
  <c r="AF60" i="74"/>
  <c r="AF112" i="74"/>
  <c r="AF47" i="74"/>
  <c r="AF33" i="74"/>
  <c r="AH33" i="74"/>
  <c r="AF86" i="74"/>
  <c r="AH86" i="74"/>
  <c r="AF91" i="74"/>
  <c r="AH91" i="74"/>
  <c r="AF52" i="74"/>
  <c r="AH52" i="74"/>
  <c r="AF64" i="74"/>
  <c r="AF95" i="74"/>
  <c r="AH95" i="74"/>
  <c r="AF145" i="74"/>
  <c r="AH145" i="74"/>
  <c r="AF31" i="74"/>
  <c r="C32" i="77" s="1"/>
  <c r="AH31" i="74"/>
  <c r="AF29" i="74"/>
  <c r="AH29" i="74"/>
  <c r="AF109" i="74"/>
  <c r="AH109" i="74"/>
  <c r="AF45" i="74"/>
  <c r="AF22" i="74"/>
  <c r="C29" i="77" s="1"/>
  <c r="G29" i="77" s="1"/>
  <c r="G35" i="77" s="1"/>
  <c r="AH22" i="74"/>
  <c r="AF13" i="74"/>
  <c r="AH13" i="74"/>
  <c r="AF61" i="74"/>
  <c r="AH61" i="74"/>
  <c r="AF92" i="74"/>
  <c r="AH92" i="74"/>
  <c r="AF44" i="74"/>
  <c r="AH44" i="74"/>
  <c r="AF134" i="74"/>
  <c r="AH134" i="74"/>
  <c r="AF100" i="74"/>
  <c r="D22" i="77" s="1"/>
  <c r="AH100" i="74"/>
  <c r="AF79" i="74"/>
  <c r="AH79" i="74"/>
  <c r="AF77" i="74"/>
  <c r="AH77" i="74"/>
  <c r="AF46" i="74"/>
  <c r="AF12" i="74"/>
  <c r="AF93" i="74"/>
  <c r="AF70" i="74"/>
  <c r="AH70" i="74"/>
  <c r="AF49" i="74"/>
  <c r="AH49" i="74"/>
  <c r="AF28" i="74"/>
  <c r="AF96" i="74"/>
  <c r="AF23" i="74"/>
  <c r="AF4" i="74"/>
  <c r="C22" i="77" s="1"/>
  <c r="AF16" i="74"/>
  <c r="AF127" i="74"/>
  <c r="D32" i="77" s="1"/>
  <c r="AH127" i="74"/>
  <c r="C55" i="77"/>
  <c r="C49" i="77"/>
  <c r="I24" i="77"/>
  <c r="J24" i="77"/>
  <c r="AG22" i="74"/>
  <c r="AE140" i="74"/>
  <c r="AE144" i="74"/>
  <c r="AG144" i="74"/>
  <c r="AE118" i="74"/>
  <c r="AE106" i="74"/>
  <c r="AG106" i="74"/>
  <c r="AE125" i="74"/>
  <c r="AE18" i="74"/>
  <c r="AG18" i="74"/>
  <c r="AE128" i="74"/>
  <c r="AG128" i="74"/>
  <c r="AE139" i="74"/>
  <c r="AG139" i="74"/>
  <c r="AE11" i="74"/>
  <c r="C6" i="77"/>
  <c r="Z139" i="74"/>
  <c r="Z108" i="74"/>
  <c r="P124" i="74"/>
  <c r="AA124" i="74"/>
  <c r="AF80" i="74"/>
  <c r="AF58" i="74"/>
  <c r="D43" i="17"/>
  <c r="O119" i="66"/>
  <c r="AA263" i="66" s="1"/>
  <c r="K119" i="74"/>
  <c r="AI119" i="74" s="1"/>
  <c r="E33" i="77"/>
  <c r="G19" i="39"/>
  <c r="T119" i="66"/>
  <c r="AD128" i="74"/>
  <c r="D9" i="77"/>
  <c r="AD106" i="74"/>
  <c r="AD18" i="74"/>
  <c r="AF32" i="74"/>
  <c r="AD140" i="74"/>
  <c r="AG140" i="74" s="1"/>
  <c r="AD125" i="74"/>
  <c r="AG125" i="74" s="1"/>
  <c r="AD144" i="74"/>
  <c r="AD11" i="74"/>
  <c r="AF10" i="74"/>
  <c r="AD118" i="74"/>
  <c r="F29" i="77" s="1"/>
  <c r="R252" i="66"/>
  <c r="S252" i="66" s="1"/>
  <c r="U252" i="66" s="1"/>
  <c r="R106" i="66"/>
  <c r="S106" i="66" s="1"/>
  <c r="U106" i="66" s="1"/>
  <c r="P106" i="74"/>
  <c r="R106" i="74" s="1"/>
  <c r="S106" i="74" s="1"/>
  <c r="U106" i="74" s="1"/>
  <c r="Z106" i="74"/>
  <c r="P108" i="74"/>
  <c r="J485" i="41"/>
  <c r="P213" i="66"/>
  <c r="P285" i="66"/>
  <c r="P165" i="66"/>
  <c r="R165" i="66" s="1"/>
  <c r="O141" i="74"/>
  <c r="AC141" i="74"/>
  <c r="Q141" i="74"/>
  <c r="T141" i="74"/>
  <c r="AA285" i="66"/>
  <c r="AA141" i="66"/>
  <c r="Z141" i="66"/>
  <c r="P141" i="66"/>
  <c r="Z285" i="66"/>
  <c r="D228" i="72" a="1"/>
  <c r="D228" i="72" s="1"/>
  <c r="D229" i="72" s="1" a="1"/>
  <c r="D229" i="72" s="1"/>
  <c r="D230" i="72" s="1" a="1"/>
  <c r="D230" i="72" s="1"/>
  <c r="Z94" i="74"/>
  <c r="AA94" i="74"/>
  <c r="J244" i="18"/>
  <c r="F244" i="18"/>
  <c r="I444" i="18"/>
  <c r="H444" i="18"/>
  <c r="I438" i="18"/>
  <c r="H438" i="18"/>
  <c r="I185" i="18"/>
  <c r="H185" i="18"/>
  <c r="I193" i="18"/>
  <c r="H193" i="18"/>
  <c r="R128" i="66"/>
  <c r="S128" i="66" s="1"/>
  <c r="U128" i="66" s="1"/>
  <c r="H112" i="35" a="1"/>
  <c r="H112" i="35" s="1"/>
  <c r="G359" i="18" a="1"/>
  <c r="G359" i="18" s="1"/>
  <c r="H113" i="35" a="1"/>
  <c r="H113" i="35" s="1"/>
  <c r="H108" i="35" a="1"/>
  <c r="H108" i="35" s="1"/>
  <c r="G358" i="18" a="1"/>
  <c r="G358" i="18" s="1"/>
  <c r="G363" i="18" a="1"/>
  <c r="G363" i="18" s="1"/>
  <c r="H103" i="35" a="1"/>
  <c r="H103" i="35" s="1"/>
  <c r="H111" i="35" a="1"/>
  <c r="H111" i="35" s="1"/>
  <c r="G353" i="18" a="1"/>
  <c r="G353" i="18" s="1"/>
  <c r="G355" i="18" a="1"/>
  <c r="G355" i="18" s="1"/>
  <c r="H105" i="35" a="1"/>
  <c r="H105" i="35" s="1"/>
  <c r="H109" i="35" a="1"/>
  <c r="H109" i="35" s="1"/>
  <c r="G356" i="18" a="1"/>
  <c r="G356" i="18" s="1"/>
  <c r="G364" i="18" a="1"/>
  <c r="G364" i="18" s="1"/>
  <c r="G361" i="18" a="1"/>
  <c r="G361" i="18" s="1"/>
  <c r="H101" i="35" a="1"/>
  <c r="H101" i="35" s="1"/>
  <c r="G362" i="18" a="1"/>
  <c r="G362" i="18" s="1"/>
  <c r="G360" i="18" a="1"/>
  <c r="G360" i="18" s="1"/>
  <c r="H114" i="35" a="1"/>
  <c r="H114" i="35" s="1"/>
  <c r="H110" i="35" a="1"/>
  <c r="H110" i="35" s="1"/>
  <c r="G365" i="18" a="1"/>
  <c r="G365" i="18" s="1"/>
  <c r="H106" i="35" a="1"/>
  <c r="H106" i="35" s="1"/>
  <c r="G357" i="18" a="1"/>
  <c r="G357" i="18" s="1"/>
  <c r="H107" i="35" a="1"/>
  <c r="H107" i="35" s="1"/>
  <c r="G354" i="18" a="1"/>
  <c r="G354" i="18" s="1"/>
  <c r="H102" i="35" a="1"/>
  <c r="H102" i="35" s="1"/>
  <c r="G352" i="18" a="1"/>
  <c r="G352" i="18" s="1"/>
  <c r="G47" i="20"/>
  <c r="H104" i="35" a="1"/>
  <c r="H104" i="35" s="1"/>
  <c r="I480" i="18"/>
  <c r="H480" i="18"/>
  <c r="I411" i="18"/>
  <c r="H411" i="18"/>
  <c r="I418" i="18"/>
  <c r="H418" i="18"/>
  <c r="I413" i="18"/>
  <c r="H413" i="18"/>
  <c r="AA142" i="66"/>
  <c r="AA286" i="66"/>
  <c r="Z286" i="66"/>
  <c r="Z142" i="66"/>
  <c r="P142" i="66"/>
  <c r="J245" i="18"/>
  <c r="F245" i="18"/>
  <c r="H156" i="18"/>
  <c r="I156" i="18"/>
  <c r="S21" i="74"/>
  <c r="U21" i="74" s="1"/>
  <c r="O21" i="74"/>
  <c r="AC21" i="74"/>
  <c r="Q21" i="74"/>
  <c r="J251" i="18"/>
  <c r="F251" i="18"/>
  <c r="I115" i="18"/>
  <c r="H115" i="18"/>
  <c r="I373" i="18"/>
  <c r="H373" i="18"/>
  <c r="Z11" i="74"/>
  <c r="AA11" i="74"/>
  <c r="J204" i="18"/>
  <c r="F204" i="18"/>
  <c r="I192" i="18"/>
  <c r="H192" i="18"/>
  <c r="J493" i="18"/>
  <c r="F493" i="18"/>
  <c r="I234" i="18"/>
  <c r="H234" i="18"/>
  <c r="J206" i="18"/>
  <c r="F206" i="18"/>
  <c r="F209" i="18"/>
  <c r="J209" i="18"/>
  <c r="I485" i="18"/>
  <c r="H485" i="18"/>
  <c r="I490" i="18"/>
  <c r="H490" i="18"/>
  <c r="I412" i="18"/>
  <c r="H412" i="18"/>
  <c r="T142" i="74"/>
  <c r="Q142" i="74"/>
  <c r="O142" i="74"/>
  <c r="AC142" i="74"/>
  <c r="I165" i="18"/>
  <c r="H165" i="18"/>
  <c r="I126" i="18"/>
  <c r="H126" i="18"/>
  <c r="H367" i="18"/>
  <c r="I367" i="18"/>
  <c r="R80" i="74"/>
  <c r="S80" i="74" s="1"/>
  <c r="U80" i="74" s="1"/>
  <c r="I443" i="18"/>
  <c r="H443" i="18"/>
  <c r="I448" i="18"/>
  <c r="H448" i="18"/>
  <c r="I186" i="18"/>
  <c r="H186" i="18"/>
  <c r="I187" i="18"/>
  <c r="H187" i="18"/>
  <c r="D12" i="72" a="1"/>
  <c r="D12" i="72" s="1"/>
  <c r="F452" i="18"/>
  <c r="J452" i="18"/>
  <c r="D289" i="72" a="1"/>
  <c r="D289" i="72" s="1"/>
  <c r="I487" i="18"/>
  <c r="H487" i="18"/>
  <c r="I481" i="18"/>
  <c r="H481" i="18"/>
  <c r="I410" i="18"/>
  <c r="H410" i="18"/>
  <c r="I419" i="18"/>
  <c r="H419" i="18"/>
  <c r="J246" i="18"/>
  <c r="F246" i="18"/>
  <c r="I161" i="18"/>
  <c r="H161" i="18"/>
  <c r="I114" i="18"/>
  <c r="H114" i="18"/>
  <c r="I379" i="18"/>
  <c r="H379" i="18"/>
  <c r="J243" i="18"/>
  <c r="F243" i="18"/>
  <c r="F497" i="18"/>
  <c r="J497" i="18"/>
  <c r="J500" i="18"/>
  <c r="F500" i="18"/>
  <c r="Z215" i="66"/>
  <c r="Z71" i="66"/>
  <c r="P71" i="66"/>
  <c r="P215" i="66"/>
  <c r="AA71" i="66"/>
  <c r="AA215" i="66"/>
  <c r="P144" i="74"/>
  <c r="AA144" i="74"/>
  <c r="Z144" i="74"/>
  <c r="J199" i="18"/>
  <c r="F199" i="18"/>
  <c r="H194" i="18"/>
  <c r="I194" i="18"/>
  <c r="Z69" i="66"/>
  <c r="AA213" i="66"/>
  <c r="Z213" i="66"/>
  <c r="AA69" i="66"/>
  <c r="P69" i="66"/>
  <c r="I228" i="18"/>
  <c r="H228" i="18"/>
  <c r="F207" i="18"/>
  <c r="J207" i="18"/>
  <c r="I491" i="18"/>
  <c r="H491" i="18"/>
  <c r="H421" i="18"/>
  <c r="I421" i="18"/>
  <c r="H163" i="18"/>
  <c r="I163" i="18"/>
  <c r="F198" i="18"/>
  <c r="J198" i="18"/>
  <c r="AA118" i="74"/>
  <c r="Z118" i="74"/>
  <c r="I121" i="18"/>
  <c r="H121" i="18"/>
  <c r="T71" i="74"/>
  <c r="Q71" i="74"/>
  <c r="AC71" i="74"/>
  <c r="O71" i="74"/>
  <c r="J247" i="18"/>
  <c r="F247" i="18"/>
  <c r="O261" i="66"/>
  <c r="Q261" i="66"/>
  <c r="I446" i="18"/>
  <c r="H446" i="18"/>
  <c r="I191" i="18"/>
  <c r="H191" i="18"/>
  <c r="AA18" i="74"/>
  <c r="Z18" i="74"/>
  <c r="O69" i="74"/>
  <c r="AC69" i="74"/>
  <c r="Q69" i="74"/>
  <c r="H237" i="18"/>
  <c r="I237" i="18"/>
  <c r="R48" i="74"/>
  <c r="I483" i="18"/>
  <c r="H483" i="18"/>
  <c r="F504" i="18"/>
  <c r="J504" i="18"/>
  <c r="I168" i="18"/>
  <c r="H168" i="18"/>
  <c r="I119" i="18"/>
  <c r="H119" i="18"/>
  <c r="H366" i="18"/>
  <c r="I366" i="18"/>
  <c r="I376" i="18"/>
  <c r="H376" i="18"/>
  <c r="Z125" i="74"/>
  <c r="AA125" i="74"/>
  <c r="D73" i="72" a="1"/>
  <c r="D73" i="72" s="1"/>
  <c r="I445" i="18"/>
  <c r="H445" i="18"/>
  <c r="I437" i="18"/>
  <c r="H437" i="18"/>
  <c r="F458" i="18"/>
  <c r="J458" i="18"/>
  <c r="I197" i="18"/>
  <c r="H197" i="18"/>
  <c r="R288" i="66"/>
  <c r="S288" i="66" s="1"/>
  <c r="U288" i="66" s="1"/>
  <c r="F211" i="18"/>
  <c r="J211" i="18"/>
  <c r="F455" i="18"/>
  <c r="J455" i="18"/>
  <c r="H236" i="18"/>
  <c r="I236" i="18"/>
  <c r="H230" i="18"/>
  <c r="I230" i="18"/>
  <c r="I489" i="18"/>
  <c r="H489" i="18"/>
  <c r="F450" i="18"/>
  <c r="J450" i="18"/>
  <c r="F208" i="18"/>
  <c r="J208" i="18"/>
  <c r="I408" i="18"/>
  <c r="H408" i="18"/>
  <c r="I169" i="18"/>
  <c r="H169" i="18"/>
  <c r="I160" i="18"/>
  <c r="H160" i="18"/>
  <c r="H27" i="35" a="1"/>
  <c r="H27" i="35" s="1"/>
  <c r="G103" i="18" a="1"/>
  <c r="G103" i="18" s="1"/>
  <c r="H24" i="35" a="1"/>
  <c r="H24" i="35" s="1"/>
  <c r="H21" i="35" a="1"/>
  <c r="H21" i="35" s="1"/>
  <c r="G110" i="18" a="1"/>
  <c r="G110" i="18" s="1"/>
  <c r="H28" i="35" a="1"/>
  <c r="H28" i="35" s="1"/>
  <c r="G105" i="18" a="1"/>
  <c r="G105" i="18" s="1"/>
  <c r="G101" i="18" a="1"/>
  <c r="G101" i="18" s="1"/>
  <c r="H20" i="35" a="1"/>
  <c r="H20" i="35" s="1"/>
  <c r="G106" i="18" a="1"/>
  <c r="G106" i="18" s="1"/>
  <c r="H19" i="35" a="1"/>
  <c r="H19" i="35" s="1"/>
  <c r="G113" i="18" a="1"/>
  <c r="G113" i="18" s="1"/>
  <c r="H25" i="35" a="1"/>
  <c r="H25" i="35" s="1"/>
  <c r="G20" i="20"/>
  <c r="H30" i="35" a="1"/>
  <c r="H30" i="35" s="1"/>
  <c r="G102" i="18" a="1"/>
  <c r="G102" i="18" s="1"/>
  <c r="H26" i="35" a="1"/>
  <c r="H26" i="35" s="1"/>
  <c r="H23" i="35" a="1"/>
  <c r="H23" i="35" s="1"/>
  <c r="G107" i="18" a="1"/>
  <c r="G107" i="18" s="1"/>
  <c r="H29" i="35" a="1"/>
  <c r="H29" i="35" s="1"/>
  <c r="G108" i="18" a="1"/>
  <c r="G108" i="18" s="1"/>
  <c r="H22" i="35" a="1"/>
  <c r="H22" i="35" s="1"/>
  <c r="H17" i="35" a="1"/>
  <c r="H17" i="35" s="1"/>
  <c r="G100" i="18" a="1"/>
  <c r="G100" i="18" s="1"/>
  <c r="G109" i="18" a="1"/>
  <c r="G109" i="18" s="1"/>
  <c r="H18" i="35" a="1"/>
  <c r="H18" i="35" s="1"/>
  <c r="G112" i="18" a="1"/>
  <c r="G112" i="18" s="1"/>
  <c r="G104" i="18" a="1"/>
  <c r="G104" i="18" s="1"/>
  <c r="G111" i="18" a="1"/>
  <c r="G111" i="18" s="1"/>
  <c r="J503" i="18"/>
  <c r="F503" i="18"/>
  <c r="H117" i="18"/>
  <c r="I117" i="18"/>
  <c r="F492" i="18"/>
  <c r="J492" i="18"/>
  <c r="F253" i="18"/>
  <c r="J253" i="18"/>
  <c r="F459" i="18"/>
  <c r="J459" i="18"/>
  <c r="J496" i="18"/>
  <c r="F496" i="18"/>
  <c r="I189" i="18"/>
  <c r="H189" i="18"/>
  <c r="Z140" i="74"/>
  <c r="AA140" i="74"/>
  <c r="I486" i="18"/>
  <c r="H486" i="18"/>
  <c r="I488" i="18"/>
  <c r="H488" i="18"/>
  <c r="I409" i="18"/>
  <c r="H409" i="18"/>
  <c r="H159" i="18"/>
  <c r="I159" i="18"/>
  <c r="I158" i="18"/>
  <c r="H158" i="18"/>
  <c r="F202" i="18"/>
  <c r="J202" i="18"/>
  <c r="R32" i="74"/>
  <c r="I122" i="18"/>
  <c r="H122" i="18"/>
  <c r="I368" i="18"/>
  <c r="H368" i="18"/>
  <c r="I378" i="18"/>
  <c r="H378" i="18"/>
  <c r="J203" i="18"/>
  <c r="F203" i="18"/>
  <c r="J498" i="18"/>
  <c r="F498" i="18"/>
  <c r="I436" i="18"/>
  <c r="H436" i="18"/>
  <c r="I449" i="18"/>
  <c r="H449" i="18"/>
  <c r="I441" i="18"/>
  <c r="H441" i="18"/>
  <c r="F456" i="18"/>
  <c r="J456" i="18"/>
  <c r="I190" i="18"/>
  <c r="H190" i="18"/>
  <c r="J249" i="18"/>
  <c r="F249" i="18"/>
  <c r="H229" i="18"/>
  <c r="I229" i="18"/>
  <c r="H235" i="18"/>
  <c r="I235" i="18"/>
  <c r="I233" i="18"/>
  <c r="H233" i="18"/>
  <c r="N117" i="74"/>
  <c r="G25" i="39"/>
  <c r="F499" i="18"/>
  <c r="J499" i="18"/>
  <c r="P286" i="66"/>
  <c r="F463" i="18"/>
  <c r="J463" i="18"/>
  <c r="F205" i="18"/>
  <c r="J205" i="18"/>
  <c r="H415" i="18"/>
  <c r="I415" i="18"/>
  <c r="I157" i="18"/>
  <c r="H157" i="18"/>
  <c r="F461" i="18"/>
  <c r="J461" i="18"/>
  <c r="I123" i="18"/>
  <c r="H123" i="18"/>
  <c r="I369" i="18"/>
  <c r="H369" i="18"/>
  <c r="I372" i="18"/>
  <c r="H372" i="18"/>
  <c r="F453" i="18"/>
  <c r="J453" i="18"/>
  <c r="F460" i="18"/>
  <c r="J460" i="18"/>
  <c r="F501" i="18"/>
  <c r="J501" i="18"/>
  <c r="H447" i="18"/>
  <c r="I447" i="18"/>
  <c r="F502" i="18"/>
  <c r="J502" i="18"/>
  <c r="I196" i="18"/>
  <c r="H196" i="18"/>
  <c r="F451" i="18"/>
  <c r="J451" i="18"/>
  <c r="M117" i="74"/>
  <c r="O117" i="66"/>
  <c r="Q117" i="66"/>
  <c r="I226" i="18"/>
  <c r="H226" i="18"/>
  <c r="H232" i="18"/>
  <c r="I232" i="18"/>
  <c r="H152" i="35" a="1"/>
  <c r="H152" i="35" s="1"/>
  <c r="G397" i="18" a="1"/>
  <c r="G397" i="18" s="1"/>
  <c r="P47" i="20"/>
  <c r="H148" i="35" a="1"/>
  <c r="H148" i="35" s="1"/>
  <c r="G403" i="18" a="1"/>
  <c r="G403" i="18" s="1"/>
  <c r="H151" i="35" a="1"/>
  <c r="H151" i="35" s="1"/>
  <c r="H144" i="35" a="1"/>
  <c r="H144" i="35" s="1"/>
  <c r="G396" i="18" a="1"/>
  <c r="G396" i="18" s="1"/>
  <c r="H145" i="35" a="1"/>
  <c r="H145" i="35" s="1"/>
  <c r="H143" i="35" a="1"/>
  <c r="H143" i="35" s="1"/>
  <c r="G398" i="18" a="1"/>
  <c r="G398" i="18" s="1"/>
  <c r="H147" i="35" a="1"/>
  <c r="H147" i="35" s="1"/>
  <c r="G406" i="18" a="1"/>
  <c r="G406" i="18" s="1"/>
  <c r="G394" i="18" a="1"/>
  <c r="G394" i="18" s="1"/>
  <c r="H155" i="35" a="1"/>
  <c r="H155" i="35" s="1"/>
  <c r="G404" i="18" a="1"/>
  <c r="G404" i="18" s="1"/>
  <c r="G399" i="18" a="1"/>
  <c r="G399" i="18" s="1"/>
  <c r="H154" i="35" a="1"/>
  <c r="H154" i="35" s="1"/>
  <c r="G405" i="18" a="1"/>
  <c r="G405" i="18" s="1"/>
  <c r="H149" i="35" a="1"/>
  <c r="H149" i="35" s="1"/>
  <c r="G395" i="18" a="1"/>
  <c r="G395" i="18" s="1"/>
  <c r="H150" i="35" a="1"/>
  <c r="H150" i="35" s="1"/>
  <c r="G400" i="18" a="1"/>
  <c r="G400" i="18" s="1"/>
  <c r="H146" i="35" a="1"/>
  <c r="H146" i="35" s="1"/>
  <c r="G402" i="18" a="1"/>
  <c r="G402" i="18" s="1"/>
  <c r="H153" i="35" a="1"/>
  <c r="H153" i="35" s="1"/>
  <c r="G407" i="18" a="1"/>
  <c r="G407" i="18" s="1"/>
  <c r="H156" i="35" a="1"/>
  <c r="H156" i="35" s="1"/>
  <c r="G401" i="18" a="1"/>
  <c r="G401" i="18" s="1"/>
  <c r="I478" i="18"/>
  <c r="H478" i="18"/>
  <c r="F494" i="18"/>
  <c r="J494" i="18"/>
  <c r="I167" i="18"/>
  <c r="H167" i="18"/>
  <c r="I162" i="18"/>
  <c r="H162" i="18"/>
  <c r="D26" i="17"/>
  <c r="D24" i="17"/>
  <c r="D28" i="17" s="1"/>
  <c r="N10" i="9"/>
  <c r="U6" i="9"/>
  <c r="I125" i="18"/>
  <c r="H125" i="18"/>
  <c r="I370" i="18"/>
  <c r="H370" i="18"/>
  <c r="D105" i="72" a="1"/>
  <c r="D105" i="72" s="1"/>
  <c r="J250" i="18"/>
  <c r="F250" i="18"/>
  <c r="I195" i="18"/>
  <c r="H195" i="18"/>
  <c r="F200" i="18"/>
  <c r="J200" i="18"/>
  <c r="I231" i="18"/>
  <c r="H231" i="18"/>
  <c r="I227" i="18"/>
  <c r="H227" i="18"/>
  <c r="Z128" i="74"/>
  <c r="AA128" i="74"/>
  <c r="P128" i="74"/>
  <c r="J201" i="18"/>
  <c r="F201" i="18"/>
  <c r="H479" i="18"/>
  <c r="I479" i="18"/>
  <c r="F457" i="18"/>
  <c r="J457" i="18"/>
  <c r="I420" i="18"/>
  <c r="H420" i="18"/>
  <c r="I166" i="18"/>
  <c r="H166" i="18"/>
  <c r="P21" i="66"/>
  <c r="AA165" i="66"/>
  <c r="AA21" i="66"/>
  <c r="Z21" i="66"/>
  <c r="Z165" i="66"/>
  <c r="D167" i="72" a="1"/>
  <c r="D167" i="72" s="1"/>
  <c r="I127" i="18"/>
  <c r="H127" i="18"/>
  <c r="I124" i="18"/>
  <c r="H124" i="18"/>
  <c r="I371" i="18"/>
  <c r="H371" i="18"/>
  <c r="D44" i="72" a="1"/>
  <c r="D44" i="72" s="1"/>
  <c r="J252" i="18"/>
  <c r="F252" i="18"/>
  <c r="F240" i="18"/>
  <c r="J240" i="18"/>
  <c r="I442" i="18"/>
  <c r="H442" i="18"/>
  <c r="I439" i="18"/>
  <c r="H439" i="18"/>
  <c r="I440" i="18"/>
  <c r="H440" i="18"/>
  <c r="I184" i="18"/>
  <c r="H184" i="18"/>
  <c r="J454" i="18"/>
  <c r="F454" i="18"/>
  <c r="F495" i="18"/>
  <c r="J495" i="18"/>
  <c r="S153" i="66"/>
  <c r="Q153" i="66"/>
  <c r="T153" i="66"/>
  <c r="O153" i="66"/>
  <c r="J29" i="39"/>
  <c r="F505" i="18"/>
  <c r="J505" i="18"/>
  <c r="I414" i="18"/>
  <c r="H414" i="18"/>
  <c r="I164" i="18"/>
  <c r="H164" i="18"/>
  <c r="P20" i="20"/>
  <c r="H65" i="35" a="1"/>
  <c r="H65" i="35" s="1"/>
  <c r="G143" i="18" a="1"/>
  <c r="G143" i="18" s="1"/>
  <c r="H61" i="35" a="1"/>
  <c r="H61" i="35" s="1"/>
  <c r="H60" i="35" a="1"/>
  <c r="H60" i="35" s="1"/>
  <c r="G145" i="18" a="1"/>
  <c r="G145" i="18" s="1"/>
  <c r="H69" i="35" a="1"/>
  <c r="H69" i="35" s="1"/>
  <c r="H70" i="35" a="1"/>
  <c r="H70" i="35" s="1"/>
  <c r="G154" i="18" a="1"/>
  <c r="G154" i="18" s="1"/>
  <c r="H67" i="35" a="1"/>
  <c r="H67" i="35" s="1"/>
  <c r="G147" i="18" a="1"/>
  <c r="G147" i="18" s="1"/>
  <c r="G153" i="18" a="1"/>
  <c r="G153" i="18" s="1"/>
  <c r="H63" i="35" a="1"/>
  <c r="H63" i="35" s="1"/>
  <c r="G144" i="18" a="1"/>
  <c r="G144" i="18" s="1"/>
  <c r="G150" i="18" a="1"/>
  <c r="G150" i="18" s="1"/>
  <c r="H66" i="35" a="1"/>
  <c r="H66" i="35" s="1"/>
  <c r="G148" i="18" a="1"/>
  <c r="G148" i="18" s="1"/>
  <c r="H62" i="35" a="1"/>
  <c r="H62" i="35" s="1"/>
  <c r="G152" i="18" a="1"/>
  <c r="G152" i="18" s="1"/>
  <c r="H59" i="35" a="1"/>
  <c r="H59" i="35" s="1"/>
  <c r="G146" i="18" a="1"/>
  <c r="G146" i="18" s="1"/>
  <c r="H72" i="35" a="1"/>
  <c r="H72" i="35" s="1"/>
  <c r="G142" i="18" a="1"/>
  <c r="G142" i="18" s="1"/>
  <c r="H68" i="35" a="1"/>
  <c r="H68" i="35" s="1"/>
  <c r="G149" i="18" a="1"/>
  <c r="G149" i="18" s="1"/>
  <c r="H64" i="35" a="1"/>
  <c r="H64" i="35" s="1"/>
  <c r="G155" i="18" a="1"/>
  <c r="G155" i="18" s="1"/>
  <c r="H71" i="35" a="1"/>
  <c r="H71" i="35" s="1"/>
  <c r="G151" i="18" a="1"/>
  <c r="G151" i="18" s="1"/>
  <c r="J242" i="18"/>
  <c r="F242" i="18"/>
  <c r="H116" i="18"/>
  <c r="I116" i="18"/>
  <c r="I375" i="18"/>
  <c r="H375" i="18"/>
  <c r="I374" i="18"/>
  <c r="H374" i="18"/>
  <c r="I377" i="18"/>
  <c r="H377" i="18"/>
  <c r="F462" i="18"/>
  <c r="J462" i="18"/>
  <c r="R144" i="66"/>
  <c r="S144" i="66" s="1"/>
  <c r="U144" i="66" s="1"/>
  <c r="R96" i="74"/>
  <c r="S96" i="74" s="1"/>
  <c r="U96" i="74" s="1"/>
  <c r="I188" i="18"/>
  <c r="H188" i="18"/>
  <c r="I238" i="18"/>
  <c r="H238" i="18"/>
  <c r="I239" i="18"/>
  <c r="H239" i="18"/>
  <c r="H471" i="41"/>
  <c r="J210" i="18"/>
  <c r="F210" i="18"/>
  <c r="I484" i="18"/>
  <c r="H484" i="18"/>
  <c r="I482" i="18"/>
  <c r="H482" i="18"/>
  <c r="I417" i="18"/>
  <c r="H417" i="18"/>
  <c r="I416" i="18"/>
  <c r="H416" i="18"/>
  <c r="I120" i="18"/>
  <c r="H120" i="18"/>
  <c r="I118" i="18"/>
  <c r="H118" i="18"/>
  <c r="F248" i="18"/>
  <c r="J248" i="18"/>
  <c r="J241" i="18"/>
  <c r="F241" i="18"/>
  <c r="R23" i="74"/>
  <c r="F24" i="77"/>
  <c r="R16" i="74"/>
  <c r="R94" i="74"/>
  <c r="S94" i="74" s="1"/>
  <c r="U94" i="74" s="1"/>
  <c r="R76" i="74"/>
  <c r="S76" i="74" s="1"/>
  <c r="U76" i="74" s="1"/>
  <c r="E24" i="77"/>
  <c r="R49" i="74"/>
  <c r="V49" i="74"/>
  <c r="V97" i="74"/>
  <c r="R97" i="74"/>
  <c r="S97" i="74" s="1"/>
  <c r="U97" i="74" s="1"/>
  <c r="W97" i="74"/>
  <c r="Y97" i="74" s="1"/>
  <c r="R64" i="74"/>
  <c r="S64" i="74" s="1"/>
  <c r="U64" i="74" s="1"/>
  <c r="R28" i="74"/>
  <c r="R60" i="74"/>
  <c r="S60" i="74" s="1"/>
  <c r="U60" i="74" s="1"/>
  <c r="R45" i="74"/>
  <c r="R58" i="74"/>
  <c r="S58" i="74" s="1"/>
  <c r="U58" i="74" s="1"/>
  <c r="R112" i="74"/>
  <c r="S112" i="74" s="1"/>
  <c r="U112" i="74" s="1"/>
  <c r="W145" i="74"/>
  <c r="Y145" i="74" s="1"/>
  <c r="R145" i="74"/>
  <c r="S145" i="74" s="1"/>
  <c r="U145" i="74" s="1"/>
  <c r="V145" i="74"/>
  <c r="R12" i="74"/>
  <c r="R93" i="74"/>
  <c r="S93" i="74" s="1"/>
  <c r="U93" i="74" s="1"/>
  <c r="R46" i="74"/>
  <c r="D203" i="72" a="1"/>
  <c r="D203" i="72" s="1"/>
  <c r="D265" i="72" a="1"/>
  <c r="D265" i="72" s="1"/>
  <c r="D141" i="72" a="1"/>
  <c r="D141" i="72" s="1"/>
  <c r="C24" i="77" l="1"/>
  <c r="D24" i="77"/>
  <c r="C33" i="77"/>
  <c r="AH11" i="74"/>
  <c r="AF144" i="74"/>
  <c r="T119" i="74"/>
  <c r="AF139" i="74"/>
  <c r="AH139" i="74"/>
  <c r="AF18" i="74"/>
  <c r="AH18" i="74"/>
  <c r="AF140" i="74"/>
  <c r="AH140" i="74"/>
  <c r="AF125" i="74"/>
  <c r="AH125" i="74"/>
  <c r="AF118" i="74"/>
  <c r="D29" i="77" s="1"/>
  <c r="H29" i="77" s="1"/>
  <c r="AH118" i="74"/>
  <c r="J33" i="77"/>
  <c r="AG118" i="74"/>
  <c r="J29" i="77" s="1"/>
  <c r="I29" i="77"/>
  <c r="K29" i="77" s="1"/>
  <c r="AE71" i="74"/>
  <c r="AG71" i="74"/>
  <c r="AE21" i="74"/>
  <c r="AG21" i="74"/>
  <c r="AE141" i="74"/>
  <c r="AG141" i="74"/>
  <c r="AE142" i="74"/>
  <c r="AG142" i="74"/>
  <c r="AE69" i="74"/>
  <c r="AG69" i="74"/>
  <c r="AF11" i="74"/>
  <c r="D5" i="77"/>
  <c r="R124" i="74"/>
  <c r="S124" i="74" s="1"/>
  <c r="U124" i="74" s="1"/>
  <c r="O119" i="74"/>
  <c r="AA119" i="74" s="1"/>
  <c r="AC119" i="74"/>
  <c r="Q119" i="74"/>
  <c r="P263" i="66"/>
  <c r="R263" i="66" s="1"/>
  <c r="S263" i="66" s="1"/>
  <c r="U263" i="66" s="1"/>
  <c r="R108" i="74"/>
  <c r="S108" i="74" s="1"/>
  <c r="U108" i="74" s="1"/>
  <c r="P119" i="66"/>
  <c r="R119" i="66" s="1"/>
  <c r="S119" i="66" s="1"/>
  <c r="U119" i="66" s="1"/>
  <c r="AA119" i="66"/>
  <c r="Z119" i="66"/>
  <c r="Z263" i="66"/>
  <c r="F33" i="77"/>
  <c r="AD69" i="74"/>
  <c r="AD71" i="74"/>
  <c r="AD21" i="74"/>
  <c r="AF106" i="74"/>
  <c r="AD142" i="74"/>
  <c r="AD141" i="74"/>
  <c r="AF128" i="74"/>
  <c r="D55" i="77"/>
  <c r="R285" i="66"/>
  <c r="S285" i="66" s="1"/>
  <c r="U285" i="66" s="1"/>
  <c r="R213" i="66"/>
  <c r="S213" i="66" s="1"/>
  <c r="U213" i="66" s="1"/>
  <c r="P141" i="74"/>
  <c r="AA141" i="74"/>
  <c r="Z141" i="74"/>
  <c r="R141" i="66"/>
  <c r="S141" i="66" s="1"/>
  <c r="U141" i="66" s="1"/>
  <c r="U153" i="66"/>
  <c r="J374" i="18"/>
  <c r="F374" i="18"/>
  <c r="H155" i="18"/>
  <c r="I155" i="18"/>
  <c r="I150" i="18"/>
  <c r="H150" i="18"/>
  <c r="I143" i="18"/>
  <c r="H143" i="18"/>
  <c r="J195" i="18"/>
  <c r="F195" i="18"/>
  <c r="F372" i="18"/>
  <c r="J372" i="18"/>
  <c r="F159" i="18"/>
  <c r="J159" i="18"/>
  <c r="I108" i="18"/>
  <c r="H108" i="18"/>
  <c r="F169" i="18"/>
  <c r="J169" i="18"/>
  <c r="F237" i="18"/>
  <c r="J237" i="18"/>
  <c r="J194" i="18"/>
  <c r="F194" i="18"/>
  <c r="J165" i="18"/>
  <c r="F165" i="18"/>
  <c r="F115" i="18"/>
  <c r="J115" i="18"/>
  <c r="I357" i="18"/>
  <c r="H357" i="18"/>
  <c r="F420" i="18"/>
  <c r="J420" i="18"/>
  <c r="F227" i="18"/>
  <c r="J227" i="18"/>
  <c r="D106" i="72" a="1"/>
  <c r="D106" i="72" s="1"/>
  <c r="D107" i="72" s="1" a="1"/>
  <c r="D107" i="72" s="1"/>
  <c r="D108" i="72" s="1" a="1"/>
  <c r="D108" i="72" s="1"/>
  <c r="H401" i="18"/>
  <c r="I401" i="18"/>
  <c r="H399" i="18"/>
  <c r="I399" i="18"/>
  <c r="H403" i="18"/>
  <c r="I403" i="18"/>
  <c r="J232" i="18"/>
  <c r="F232" i="18"/>
  <c r="F436" i="18"/>
  <c r="J436" i="18"/>
  <c r="F122" i="18"/>
  <c r="J122" i="18"/>
  <c r="F488" i="18"/>
  <c r="J488" i="18"/>
  <c r="I101" i="18"/>
  <c r="H101" i="18"/>
  <c r="F419" i="18"/>
  <c r="J419" i="18"/>
  <c r="D290" i="72" a="1"/>
  <c r="D290" i="72" s="1"/>
  <c r="F186" i="18"/>
  <c r="J186" i="18"/>
  <c r="I355" i="18"/>
  <c r="H355" i="18"/>
  <c r="J118" i="18"/>
  <c r="F118" i="18"/>
  <c r="F416" i="18"/>
  <c r="J416" i="18"/>
  <c r="F479" i="18"/>
  <c r="J479" i="18"/>
  <c r="I404" i="18"/>
  <c r="H404" i="18"/>
  <c r="J190" i="18"/>
  <c r="F190" i="18"/>
  <c r="F189" i="18"/>
  <c r="J189" i="18"/>
  <c r="I107" i="18"/>
  <c r="H107" i="18"/>
  <c r="H105" i="18"/>
  <c r="I105" i="18"/>
  <c r="F489" i="18"/>
  <c r="J489" i="18"/>
  <c r="R144" i="74"/>
  <c r="S144" i="74" s="1"/>
  <c r="U144" i="74" s="1"/>
  <c r="J234" i="18"/>
  <c r="F234" i="18"/>
  <c r="I365" i="18"/>
  <c r="H365" i="18"/>
  <c r="I353" i="18"/>
  <c r="H353" i="18"/>
  <c r="D231" i="72" a="1"/>
  <c r="D231" i="72" s="1"/>
  <c r="F375" i="18"/>
  <c r="J375" i="18"/>
  <c r="R21" i="66"/>
  <c r="J116" i="18"/>
  <c r="F116" i="18"/>
  <c r="J231" i="18"/>
  <c r="F231" i="18"/>
  <c r="I407" i="18"/>
  <c r="H407" i="18"/>
  <c r="F486" i="18"/>
  <c r="J486" i="18"/>
  <c r="J197" i="18"/>
  <c r="F197" i="18"/>
  <c r="F376" i="18"/>
  <c r="J376" i="18"/>
  <c r="J168" i="18"/>
  <c r="F168" i="18"/>
  <c r="F161" i="18"/>
  <c r="J161" i="18"/>
  <c r="F410" i="18"/>
  <c r="J410" i="18"/>
  <c r="J448" i="18"/>
  <c r="F448" i="18"/>
  <c r="J126" i="18"/>
  <c r="F126" i="18"/>
  <c r="D74" i="72" a="1"/>
  <c r="D74" i="72" s="1"/>
  <c r="F239" i="18"/>
  <c r="J239" i="18"/>
  <c r="J188" i="18"/>
  <c r="F188" i="18"/>
  <c r="F482" i="18"/>
  <c r="J482" i="18"/>
  <c r="I153" i="18"/>
  <c r="H153" i="18"/>
  <c r="F120" i="18"/>
  <c r="J120" i="18"/>
  <c r="F417" i="18"/>
  <c r="J417" i="18"/>
  <c r="I142" i="18"/>
  <c r="H142" i="18"/>
  <c r="I147" i="18"/>
  <c r="H147" i="18"/>
  <c r="F164" i="18"/>
  <c r="J164" i="18"/>
  <c r="J414" i="18"/>
  <c r="F414" i="18"/>
  <c r="I394" i="18"/>
  <c r="H394" i="18"/>
  <c r="I397" i="18"/>
  <c r="H397" i="18"/>
  <c r="J226" i="18"/>
  <c r="F226" i="18"/>
  <c r="J157" i="18"/>
  <c r="F157" i="18"/>
  <c r="F415" i="18"/>
  <c r="J415" i="18"/>
  <c r="H111" i="18"/>
  <c r="I111" i="18"/>
  <c r="H110" i="18"/>
  <c r="I110" i="18"/>
  <c r="F366" i="18"/>
  <c r="J366" i="18"/>
  <c r="J483" i="18"/>
  <c r="F483" i="18"/>
  <c r="AA21" i="74"/>
  <c r="Z21" i="74"/>
  <c r="P21" i="74"/>
  <c r="F413" i="18"/>
  <c r="J413" i="18"/>
  <c r="I144" i="18"/>
  <c r="H144" i="18"/>
  <c r="H149" i="18"/>
  <c r="I149" i="18"/>
  <c r="J184" i="18"/>
  <c r="F184" i="18"/>
  <c r="F440" i="18"/>
  <c r="J440" i="18"/>
  <c r="I402" i="18"/>
  <c r="H402" i="18"/>
  <c r="I406" i="18"/>
  <c r="H406" i="18"/>
  <c r="J369" i="18"/>
  <c r="F369" i="18"/>
  <c r="F233" i="18"/>
  <c r="J233" i="18"/>
  <c r="J117" i="18"/>
  <c r="F117" i="18"/>
  <c r="I104" i="18"/>
  <c r="H104" i="18"/>
  <c r="I102" i="18"/>
  <c r="H102" i="18"/>
  <c r="F408" i="18"/>
  <c r="J408" i="18"/>
  <c r="F446" i="18"/>
  <c r="J446" i="18"/>
  <c r="J121" i="18"/>
  <c r="F121" i="18"/>
  <c r="J163" i="18"/>
  <c r="F163" i="18"/>
  <c r="F491" i="18"/>
  <c r="J491" i="18"/>
  <c r="J114" i="18"/>
  <c r="F114" i="18"/>
  <c r="F481" i="18"/>
  <c r="J481" i="18"/>
  <c r="F443" i="18"/>
  <c r="J443" i="18"/>
  <c r="AA142" i="74"/>
  <c r="Z142" i="74"/>
  <c r="P142" i="74"/>
  <c r="I360" i="18"/>
  <c r="H360" i="18"/>
  <c r="I363" i="18"/>
  <c r="H363" i="18"/>
  <c r="F193" i="18"/>
  <c r="J193" i="18"/>
  <c r="H146" i="18"/>
  <c r="I146" i="18"/>
  <c r="I154" i="18"/>
  <c r="H154" i="18"/>
  <c r="J124" i="18"/>
  <c r="F124" i="18"/>
  <c r="R128" i="74"/>
  <c r="S128" i="74" s="1"/>
  <c r="U128" i="74" s="1"/>
  <c r="J370" i="18"/>
  <c r="F370" i="18"/>
  <c r="F478" i="18"/>
  <c r="J478" i="18"/>
  <c r="F196" i="18"/>
  <c r="J196" i="18"/>
  <c r="J235" i="18"/>
  <c r="F235" i="18"/>
  <c r="I112" i="18"/>
  <c r="H112" i="18"/>
  <c r="J230" i="18"/>
  <c r="F230" i="18"/>
  <c r="J228" i="18"/>
  <c r="F228" i="18"/>
  <c r="D13" i="72" a="1"/>
  <c r="D13" i="72" s="1"/>
  <c r="J367" i="18"/>
  <c r="F367" i="18"/>
  <c r="F156" i="18"/>
  <c r="J156" i="18"/>
  <c r="F418" i="18"/>
  <c r="J418" i="18"/>
  <c r="I362" i="18"/>
  <c r="H362" i="18"/>
  <c r="I358" i="18"/>
  <c r="H358" i="18"/>
  <c r="F439" i="18"/>
  <c r="J439" i="18"/>
  <c r="I400" i="18"/>
  <c r="H400" i="18"/>
  <c r="I398" i="18"/>
  <c r="H398" i="18"/>
  <c r="J378" i="18"/>
  <c r="F378" i="18"/>
  <c r="I103" i="18"/>
  <c r="H103" i="18"/>
  <c r="F437" i="18"/>
  <c r="J437" i="18"/>
  <c r="Z69" i="74"/>
  <c r="AA69" i="74"/>
  <c r="P69" i="74"/>
  <c r="R215" i="66"/>
  <c r="S215" i="66" s="1"/>
  <c r="U215" i="66" s="1"/>
  <c r="F187" i="18"/>
  <c r="J187" i="18"/>
  <c r="J373" i="18"/>
  <c r="F373" i="18"/>
  <c r="J185" i="18"/>
  <c r="F185" i="18"/>
  <c r="F484" i="18"/>
  <c r="J484" i="18"/>
  <c r="J238" i="18"/>
  <c r="F238" i="18"/>
  <c r="I152" i="18"/>
  <c r="H152" i="18"/>
  <c r="Z9" i="66"/>
  <c r="Z153" i="66"/>
  <c r="P153" i="66"/>
  <c r="AA9" i="66"/>
  <c r="AA153" i="66"/>
  <c r="P9" i="66"/>
  <c r="D45" i="72" a="1"/>
  <c r="D45" i="72" s="1"/>
  <c r="J127" i="18"/>
  <c r="F127" i="18"/>
  <c r="J166" i="18"/>
  <c r="F166" i="18"/>
  <c r="F123" i="18"/>
  <c r="J123" i="18"/>
  <c r="J229" i="18"/>
  <c r="F229" i="18"/>
  <c r="F409" i="18"/>
  <c r="J409" i="18"/>
  <c r="I109" i="18"/>
  <c r="H109" i="18"/>
  <c r="J236" i="18"/>
  <c r="F236" i="18"/>
  <c r="AA71" i="74"/>
  <c r="Z71" i="74"/>
  <c r="P71" i="74"/>
  <c r="R71" i="66"/>
  <c r="S71" i="66" s="1"/>
  <c r="U71" i="66" s="1"/>
  <c r="J192" i="18"/>
  <c r="F192" i="18"/>
  <c r="F411" i="18"/>
  <c r="J411" i="18"/>
  <c r="H352" i="18"/>
  <c r="I352" i="18"/>
  <c r="H361" i="18"/>
  <c r="I361" i="18"/>
  <c r="I145" i="18"/>
  <c r="H145" i="18"/>
  <c r="F442" i="18"/>
  <c r="J442" i="18"/>
  <c r="D168" i="72" a="1"/>
  <c r="D168" i="72" s="1"/>
  <c r="D169" i="72" s="1" a="1"/>
  <c r="D169" i="72" s="1"/>
  <c r="D170" i="72" s="1" a="1"/>
  <c r="D170" i="72" s="1"/>
  <c r="J162" i="18"/>
  <c r="F162" i="18"/>
  <c r="I395" i="18"/>
  <c r="H395" i="18"/>
  <c r="F447" i="18"/>
  <c r="J447" i="18"/>
  <c r="F441" i="18"/>
  <c r="J441" i="18"/>
  <c r="F368" i="18"/>
  <c r="J368" i="18"/>
  <c r="I100" i="18"/>
  <c r="H100" i="18"/>
  <c r="I113" i="18"/>
  <c r="H113" i="18"/>
  <c r="F445" i="18"/>
  <c r="J445" i="18"/>
  <c r="F119" i="18"/>
  <c r="J119" i="18"/>
  <c r="F379" i="18"/>
  <c r="J379" i="18"/>
  <c r="J490" i="18"/>
  <c r="F490" i="18"/>
  <c r="I364" i="18"/>
  <c r="H364" i="18"/>
  <c r="I359" i="18"/>
  <c r="H359" i="18"/>
  <c r="F438" i="18"/>
  <c r="J438" i="18"/>
  <c r="J377" i="18"/>
  <c r="F377" i="18"/>
  <c r="H151" i="18"/>
  <c r="I151" i="18"/>
  <c r="I148" i="18"/>
  <c r="H148" i="18"/>
  <c r="F371" i="18"/>
  <c r="J371" i="18"/>
  <c r="I396" i="18"/>
  <c r="H396" i="18"/>
  <c r="Z117" i="66"/>
  <c r="AA261" i="66"/>
  <c r="AA117" i="66"/>
  <c r="Z261" i="66"/>
  <c r="P117" i="66"/>
  <c r="R286" i="66"/>
  <c r="S286" i="66" s="1"/>
  <c r="U286" i="66" s="1"/>
  <c r="J160" i="18"/>
  <c r="F160" i="18"/>
  <c r="F421" i="18"/>
  <c r="J421" i="18"/>
  <c r="F412" i="18"/>
  <c r="J412" i="18"/>
  <c r="R142" i="66"/>
  <c r="S142" i="66" s="1"/>
  <c r="U142" i="66" s="1"/>
  <c r="I354" i="18"/>
  <c r="H354" i="18"/>
  <c r="I356" i="18"/>
  <c r="H356" i="18"/>
  <c r="Q9" i="74"/>
  <c r="T9" i="74"/>
  <c r="S9" i="74"/>
  <c r="AC9" i="74"/>
  <c r="O9" i="74"/>
  <c r="F125" i="18"/>
  <c r="J125" i="18"/>
  <c r="F167" i="18"/>
  <c r="J167" i="18"/>
  <c r="I405" i="18"/>
  <c r="H405" i="18"/>
  <c r="AC117" i="74"/>
  <c r="Q117" i="74"/>
  <c r="O117" i="74"/>
  <c r="F449" i="18"/>
  <c r="J449" i="18"/>
  <c r="J158" i="18"/>
  <c r="F158" i="18"/>
  <c r="I106" i="18"/>
  <c r="H106" i="18"/>
  <c r="J191" i="18"/>
  <c r="F191" i="18"/>
  <c r="P261" i="66"/>
  <c r="R69" i="66"/>
  <c r="S69" i="66" s="1"/>
  <c r="U69" i="66" s="1"/>
  <c r="F487" i="18"/>
  <c r="J487" i="18"/>
  <c r="F485" i="18"/>
  <c r="J485" i="18"/>
  <c r="F480" i="18"/>
  <c r="J480" i="18"/>
  <c r="F444" i="18"/>
  <c r="J444" i="18"/>
  <c r="D266" i="72" a="1"/>
  <c r="D266" i="72" s="1"/>
  <c r="D204" i="72" a="1"/>
  <c r="D204" i="72" s="1"/>
  <c r="D142" i="72" a="1"/>
  <c r="D142" i="72" s="1"/>
  <c r="D33" i="77" l="1"/>
  <c r="AF21" i="74"/>
  <c r="AF71" i="74"/>
  <c r="AF69" i="74"/>
  <c r="AF142" i="74"/>
  <c r="AF141" i="74"/>
  <c r="L29" i="77"/>
  <c r="AE119" i="74"/>
  <c r="AG119" i="74"/>
  <c r="AE9" i="74"/>
  <c r="AG9" i="74"/>
  <c r="AE117" i="74"/>
  <c r="AG117" i="74"/>
  <c r="AD119" i="74"/>
  <c r="P119" i="74"/>
  <c r="Z119" i="74"/>
  <c r="D49" i="77"/>
  <c r="AD9" i="74"/>
  <c r="AD117" i="74"/>
  <c r="R141" i="74"/>
  <c r="S141" i="74" s="1"/>
  <c r="U141" i="74" s="1"/>
  <c r="D109" i="72" a="1"/>
  <c r="D109" i="72" s="1"/>
  <c r="D110" i="72" s="1" a="1"/>
  <c r="D110" i="72" s="1"/>
  <c r="D111" i="72" s="1" a="1"/>
  <c r="D111" i="72" s="1"/>
  <c r="D171" i="72" a="1"/>
  <c r="D171" i="72" s="1"/>
  <c r="D172" i="72" s="1" a="1"/>
  <c r="D172" i="72" s="1"/>
  <c r="D173" i="72" s="1" a="1"/>
  <c r="D173" i="72" s="1"/>
  <c r="D174" i="72" s="1" a="1"/>
  <c r="D174" i="72" s="1"/>
  <c r="U9" i="74"/>
  <c r="F151" i="18"/>
  <c r="J151" i="18"/>
  <c r="F113" i="18"/>
  <c r="J113" i="18"/>
  <c r="F398" i="18"/>
  <c r="J398" i="18"/>
  <c r="J112" i="18"/>
  <c r="F112" i="18"/>
  <c r="F101" i="18"/>
  <c r="J101" i="18"/>
  <c r="J155" i="18"/>
  <c r="F155" i="18"/>
  <c r="J354" i="18"/>
  <c r="F354" i="18"/>
  <c r="F396" i="18"/>
  <c r="J396" i="18"/>
  <c r="R69" i="74"/>
  <c r="S69" i="74" s="1"/>
  <c r="U69" i="74" s="1"/>
  <c r="F102" i="18"/>
  <c r="J102" i="18"/>
  <c r="F110" i="18"/>
  <c r="J110" i="18"/>
  <c r="R153" i="66"/>
  <c r="F400" i="18"/>
  <c r="J400" i="18"/>
  <c r="F363" i="18"/>
  <c r="J363" i="18"/>
  <c r="F149" i="18"/>
  <c r="J149" i="18"/>
  <c r="F403" i="18"/>
  <c r="J403" i="18"/>
  <c r="J104" i="18"/>
  <c r="F104" i="18"/>
  <c r="R261" i="66"/>
  <c r="S261" i="66" s="1"/>
  <c r="U261" i="66" s="1"/>
  <c r="P9" i="74"/>
  <c r="Z9" i="74"/>
  <c r="AA9" i="74"/>
  <c r="R117" i="66"/>
  <c r="S117" i="66" s="1"/>
  <c r="U117" i="66" s="1"/>
  <c r="J360" i="18"/>
  <c r="F360" i="18"/>
  <c r="F399" i="18"/>
  <c r="J399" i="18"/>
  <c r="J108" i="18"/>
  <c r="F108" i="18"/>
  <c r="F405" i="18"/>
  <c r="J405" i="18"/>
  <c r="J153" i="18"/>
  <c r="F153" i="18"/>
  <c r="F353" i="18"/>
  <c r="J353" i="18"/>
  <c r="F105" i="18"/>
  <c r="J105" i="18"/>
  <c r="J359" i="18"/>
  <c r="F359" i="18"/>
  <c r="J145" i="18"/>
  <c r="F145" i="18"/>
  <c r="F395" i="18"/>
  <c r="J395" i="18"/>
  <c r="J109" i="18"/>
  <c r="F109" i="18"/>
  <c r="F154" i="18"/>
  <c r="J154" i="18"/>
  <c r="F406" i="18"/>
  <c r="J406" i="18"/>
  <c r="J111" i="18"/>
  <c r="F111" i="18"/>
  <c r="F397" i="18"/>
  <c r="J397" i="18"/>
  <c r="F401" i="18"/>
  <c r="J401" i="18"/>
  <c r="D75" i="72" a="1"/>
  <c r="D75" i="72" s="1"/>
  <c r="J106" i="18"/>
  <c r="F106" i="18"/>
  <c r="F361" i="18"/>
  <c r="J361" i="18"/>
  <c r="F146" i="18"/>
  <c r="J146" i="18"/>
  <c r="R142" i="74"/>
  <c r="S142" i="74" s="1"/>
  <c r="U142" i="74" s="1"/>
  <c r="J144" i="18"/>
  <c r="F144" i="18"/>
  <c r="J147" i="18"/>
  <c r="F147" i="18"/>
  <c r="J365" i="18"/>
  <c r="F365" i="18"/>
  <c r="F100" i="18"/>
  <c r="J100" i="18"/>
  <c r="J148" i="18"/>
  <c r="F148" i="18"/>
  <c r="F402" i="18"/>
  <c r="J402" i="18"/>
  <c r="F394" i="18"/>
  <c r="J394" i="18"/>
  <c r="F407" i="18"/>
  <c r="J407" i="18"/>
  <c r="F107" i="18"/>
  <c r="J107" i="18"/>
  <c r="D46" i="72" a="1"/>
  <c r="D46" i="72" s="1"/>
  <c r="J103" i="18"/>
  <c r="F103" i="18"/>
  <c r="F358" i="18"/>
  <c r="J358" i="18"/>
  <c r="R21" i="74"/>
  <c r="F142" i="18"/>
  <c r="J142" i="18"/>
  <c r="J355" i="18"/>
  <c r="F355" i="18"/>
  <c r="F143" i="18"/>
  <c r="J143" i="18"/>
  <c r="Z117" i="74"/>
  <c r="AA117" i="74"/>
  <c r="P117" i="74"/>
  <c r="J152" i="18"/>
  <c r="F152" i="18"/>
  <c r="F404" i="18"/>
  <c r="J404" i="18"/>
  <c r="D232" i="72" a="1"/>
  <c r="D232" i="72" s="1"/>
  <c r="J352" i="18"/>
  <c r="F352" i="18"/>
  <c r="J356" i="18"/>
  <c r="F356" i="18"/>
  <c r="J364" i="18"/>
  <c r="F364" i="18"/>
  <c r="R71" i="74"/>
  <c r="S71" i="74" s="1"/>
  <c r="U71" i="74" s="1"/>
  <c r="R9" i="66"/>
  <c r="F362" i="18"/>
  <c r="J362" i="18"/>
  <c r="D14" i="72" a="1"/>
  <c r="D14" i="72" s="1"/>
  <c r="D291" i="72" a="1"/>
  <c r="D291" i="72" s="1"/>
  <c r="F357" i="18"/>
  <c r="J357" i="18"/>
  <c r="J150" i="18"/>
  <c r="F150" i="18"/>
  <c r="D267" i="72" a="1"/>
  <c r="D267" i="72" s="1"/>
  <c r="D205" i="72" a="1"/>
  <c r="D205" i="72" s="1"/>
  <c r="D143" i="72" a="1"/>
  <c r="D143" i="72" s="1"/>
  <c r="AF119" i="74" l="1"/>
  <c r="AF117" i="74"/>
  <c r="AF9" i="74"/>
  <c r="R119" i="74"/>
  <c r="S119" i="74" s="1"/>
  <c r="U119" i="74" s="1"/>
  <c r="D233" i="72" a="1"/>
  <c r="D233" i="72" s="1"/>
  <c r="D234" i="72" s="1" a="1"/>
  <c r="D234" i="72" s="1"/>
  <c r="D235" i="72" s="1" a="1"/>
  <c r="D235" i="72" s="1"/>
  <c r="R117" i="74"/>
  <c r="S117" i="74" s="1"/>
  <c r="U117" i="74" s="1"/>
  <c r="D47" i="72" a="1"/>
  <c r="D47" i="72" s="1"/>
  <c r="R9" i="74"/>
  <c r="D76" i="72" a="1"/>
  <c r="D76" i="72" s="1"/>
  <c r="D292" i="72" a="1"/>
  <c r="D292" i="72" s="1"/>
  <c r="D293" i="72" s="1" a="1"/>
  <c r="D293" i="72" s="1"/>
  <c r="D112" i="72" a="1"/>
  <c r="D112" i="72" s="1"/>
  <c r="D15" i="72" a="1"/>
  <c r="D15" i="72" s="1"/>
  <c r="D206" i="72" a="1"/>
  <c r="D206" i="72" s="1"/>
  <c r="D175" i="72" a="1"/>
  <c r="D175" i="72" s="1"/>
  <c r="D268" i="72" a="1"/>
  <c r="D268" i="72" s="1"/>
  <c r="D144" i="72" a="1"/>
  <c r="D144" i="72" s="1"/>
  <c r="D236" i="72" l="1" a="1"/>
  <c r="D236" i="72" s="1"/>
  <c r="D237" i="72" s="1" a="1"/>
  <c r="D237" i="72" s="1"/>
  <c r="D238" i="72" s="1" a="1"/>
  <c r="D238" i="72" s="1"/>
  <c r="D16" i="72" a="1"/>
  <c r="D16" i="72" s="1"/>
  <c r="D48" i="72" a="1"/>
  <c r="D48" i="72" s="1"/>
  <c r="D294" i="72" a="1"/>
  <c r="D294" i="72" s="1"/>
  <c r="D295" i="72" s="1" a="1"/>
  <c r="D295" i="72" s="1"/>
  <c r="D77" i="72" a="1"/>
  <c r="D77" i="72" s="1"/>
  <c r="D78" i="72" s="1" a="1"/>
  <c r="D78" i="72" s="1"/>
  <c r="D113" i="72" a="1"/>
  <c r="D113" i="72" s="1"/>
  <c r="D114" i="72" s="1" a="1"/>
  <c r="D114" i="72" s="1"/>
  <c r="D115" i="72" s="1" a="1"/>
  <c r="D115" i="72" s="1"/>
  <c r="D269" i="72" a="1"/>
  <c r="D269" i="72" s="1"/>
  <c r="D207" i="72" a="1"/>
  <c r="D207" i="72" s="1"/>
  <c r="D145" i="72" a="1"/>
  <c r="D145" i="72" s="1"/>
  <c r="D176" i="72" a="1"/>
  <c r="D176" i="72" s="1"/>
  <c r="D79" i="72" l="1" a="1"/>
  <c r="D79" i="72" s="1"/>
  <c r="D80" i="72" s="1" a="1"/>
  <c r="D80" i="72" s="1"/>
  <c r="D49" i="72" a="1"/>
  <c r="D49" i="72" s="1"/>
  <c r="D116" i="72" a="1"/>
  <c r="D116" i="72" s="1"/>
  <c r="D117" i="72" s="1" a="1"/>
  <c r="D117" i="72" s="1"/>
  <c r="D118" i="72" s="1" a="1"/>
  <c r="D118" i="72" s="1"/>
  <c r="D296" i="72" a="1"/>
  <c r="D296" i="72" s="1"/>
  <c r="D17" i="72" a="1"/>
  <c r="D17" i="72" s="1"/>
  <c r="D177" i="72" a="1"/>
  <c r="D177" i="72" s="1"/>
  <c r="D146" i="72" a="1"/>
  <c r="D146" i="72" s="1"/>
  <c r="D208" i="72" a="1"/>
  <c r="D208" i="72" s="1"/>
  <c r="D270" i="72" a="1"/>
  <c r="D270" i="72" s="1"/>
  <c r="D239" i="72" a="1"/>
  <c r="D239" i="72" s="1"/>
  <c r="D81" i="72" l="1" a="1"/>
  <c r="D81" i="72" s="1"/>
  <c r="D82" i="72" s="1" a="1"/>
  <c r="D82" i="72" s="1"/>
  <c r="D18" i="72" a="1"/>
  <c r="D18" i="72" s="1"/>
  <c r="D19" i="72" s="1" a="1"/>
  <c r="D19" i="72" s="1"/>
  <c r="D20" i="72" s="1" a="1"/>
  <c r="D20" i="72" s="1"/>
  <c r="D50" i="72" a="1"/>
  <c r="D50" i="72" s="1"/>
  <c r="D51" i="72" s="1" a="1"/>
  <c r="D51" i="72" s="1"/>
  <c r="D52" i="72" s="1" a="1"/>
  <c r="D52" i="72" s="1"/>
  <c r="D297" i="72" a="1"/>
  <c r="D297" i="72" s="1"/>
  <c r="D298" i="72" s="1" a="1"/>
  <c r="D298" i="72" s="1"/>
  <c r="D240" i="72" a="1"/>
  <c r="D240" i="72" s="1"/>
  <c r="D147" i="72" a="1"/>
  <c r="D147" i="72" s="1"/>
  <c r="D119" i="72" a="1"/>
  <c r="D119" i="72" s="1"/>
  <c r="D178" i="72" a="1"/>
  <c r="D178" i="72" s="1"/>
  <c r="D209" i="72" a="1"/>
  <c r="D209" i="72" s="1"/>
  <c r="D271" i="72" a="1"/>
  <c r="D271" i="72" s="1"/>
  <c r="D83" i="72" l="1" a="1"/>
  <c r="D83" i="72" s="1"/>
  <c r="D84" i="72" s="1" a="1"/>
  <c r="D84" i="72" s="1"/>
  <c r="D299" i="72" a="1"/>
  <c r="D299" i="72" s="1"/>
  <c r="D300" i="72" s="1" a="1"/>
  <c r="D300" i="72" s="1"/>
  <c r="D301" i="72" s="1" a="1"/>
  <c r="D301" i="72" s="1"/>
  <c r="D302" i="72" s="1" a="1"/>
  <c r="D302" i="72" s="1"/>
  <c r="D53" i="72" a="1"/>
  <c r="D53" i="72" s="1"/>
  <c r="D54" i="72" s="1" a="1"/>
  <c r="D54" i="72" s="1"/>
  <c r="D21" i="72" a="1"/>
  <c r="D21" i="72" s="1"/>
  <c r="D22" i="72" s="1" a="1"/>
  <c r="D22" i="72" s="1"/>
  <c r="D23" i="72" s="1" a="1"/>
  <c r="D23" i="72" s="1"/>
  <c r="D148" i="72" a="1"/>
  <c r="D148" i="72" s="1"/>
  <c r="D210" i="72" a="1"/>
  <c r="D210" i="72" s="1"/>
  <c r="D272" i="72" a="1"/>
  <c r="D272" i="72" s="1"/>
  <c r="D179" i="72" a="1"/>
  <c r="D179" i="72" s="1"/>
  <c r="D241" i="72" a="1"/>
  <c r="D241" i="72" s="1"/>
  <c r="D120" i="72" a="1"/>
  <c r="D120" i="72" s="1"/>
  <c r="D55" i="72" l="1" a="1"/>
  <c r="D55" i="72" s="1"/>
  <c r="D56" i="72" s="1" a="1"/>
  <c r="D56" i="72" s="1"/>
  <c r="D57" i="72" s="1" a="1"/>
  <c r="D57" i="72" s="1"/>
  <c r="D24" i="72" a="1"/>
  <c r="D24" i="72" s="1"/>
  <c r="D211" i="72" a="1"/>
  <c r="D211" i="72" s="1"/>
  <c r="D303" i="72" a="1"/>
  <c r="D303" i="72" s="1"/>
  <c r="D85" i="72" a="1"/>
  <c r="D85" i="72" s="1"/>
  <c r="D180" i="72" a="1"/>
  <c r="D180" i="72" s="1"/>
  <c r="D121" i="72" a="1"/>
  <c r="D121" i="72" s="1"/>
  <c r="D273" i="72" a="1"/>
  <c r="D273" i="72" s="1"/>
  <c r="D242" i="72" a="1"/>
  <c r="D242" i="72" s="1"/>
  <c r="D149" i="72" a="1"/>
  <c r="D149" i="72" s="1"/>
  <c r="D58" i="72" l="1" a="1"/>
  <c r="D58" i="72" s="1"/>
  <c r="D59" i="72" s="1" a="1"/>
  <c r="D59" i="72" s="1"/>
  <c r="D60" i="72" s="1" a="1"/>
  <c r="D60" i="72" s="1"/>
  <c r="D25" i="72" a="1"/>
  <c r="D25" i="72" s="1"/>
  <c r="D181" i="72" a="1"/>
  <c r="D181" i="72" s="1"/>
  <c r="D243" i="72" a="1"/>
  <c r="D243" i="72" s="1"/>
  <c r="D150" i="72" a="1"/>
  <c r="D150" i="72" s="1"/>
  <c r="D86" i="72" a="1"/>
  <c r="D86" i="72" s="1"/>
  <c r="D212" i="72" a="1"/>
  <c r="D212" i="72" s="1"/>
  <c r="D122" i="72" a="1"/>
  <c r="D122" i="72" s="1"/>
  <c r="D274" i="72" a="1"/>
  <c r="D274" i="72" s="1"/>
  <c r="D304" i="72" a="1"/>
  <c r="D304" i="72" s="1"/>
  <c r="D26" i="72" l="1" a="1"/>
  <c r="D26" i="72" s="1"/>
  <c r="D213" i="72" a="1"/>
  <c r="D213" i="72" s="1"/>
  <c r="D305" i="72" a="1"/>
  <c r="D305" i="72" s="1"/>
  <c r="D244" i="72" a="1"/>
  <c r="D244" i="72" s="1"/>
  <c r="D275" i="72" a="1"/>
  <c r="D275" i="72" s="1"/>
  <c r="D151" i="72" a="1"/>
  <c r="D151" i="72" s="1"/>
  <c r="D87" i="72" a="1"/>
  <c r="D87" i="72" s="1"/>
  <c r="D182" i="72" a="1"/>
  <c r="D182" i="72" s="1"/>
  <c r="D123" i="72" a="1"/>
  <c r="D123" i="72" s="1"/>
  <c r="D61" i="72" a="1"/>
  <c r="D61" i="72" s="1"/>
  <c r="D27" i="72" l="1" a="1"/>
  <c r="D27" i="72" s="1"/>
  <c r="D183" i="72" a="1"/>
  <c r="D183" i="72" s="1"/>
  <c r="D245" i="72" a="1"/>
  <c r="D245" i="72" s="1"/>
  <c r="D214" i="72" a="1"/>
  <c r="D214" i="72" s="1"/>
  <c r="D152" i="72" a="1"/>
  <c r="D152" i="72" s="1"/>
  <c r="D62" i="72" a="1"/>
  <c r="D62" i="72" s="1"/>
  <c r="D306" i="72" a="1"/>
  <c r="D306" i="72" s="1"/>
  <c r="D276" i="72" a="1"/>
  <c r="D276" i="72" s="1"/>
  <c r="D88" i="72" a="1"/>
  <c r="D88" i="72" s="1"/>
  <c r="D124" i="72" a="1"/>
  <c r="D124" i="72" s="1"/>
  <c r="D28" i="72" l="1" a="1"/>
  <c r="D28" i="72" s="1"/>
  <c r="D277" i="72" a="1"/>
  <c r="D277" i="72" s="1"/>
  <c r="D125" i="72" a="1"/>
  <c r="D125" i="72" s="1"/>
  <c r="D215" i="72" a="1"/>
  <c r="D215" i="72" s="1"/>
  <c r="D246" i="72" a="1"/>
  <c r="D246" i="72" s="1"/>
  <c r="D89" i="72" a="1"/>
  <c r="D89" i="72" s="1"/>
  <c r="D153" i="72" a="1"/>
  <c r="D153" i="72" s="1"/>
  <c r="D307" i="72" a="1"/>
  <c r="D307" i="72" s="1"/>
  <c r="D63" i="72" a="1"/>
  <c r="D63" i="72" s="1"/>
  <c r="D184" i="72" a="1"/>
  <c r="D184" i="72" s="1"/>
  <c r="D29" i="72" l="1" a="1"/>
  <c r="D29" i="72" s="1"/>
  <c r="D154" i="72" a="1"/>
  <c r="D154" i="72" s="1"/>
  <c r="D90" i="72" a="1"/>
  <c r="D90" i="72" s="1"/>
  <c r="D185" i="72" a="1"/>
  <c r="D185" i="72" s="1"/>
  <c r="D247" i="72" a="1"/>
  <c r="D247" i="72" s="1"/>
  <c r="D216" i="72" a="1"/>
  <c r="D216" i="72" s="1"/>
  <c r="D278" i="72" a="1"/>
  <c r="D278" i="72" s="1"/>
  <c r="D308" i="72" a="1"/>
  <c r="D308" i="72" s="1"/>
  <c r="D30" i="72" l="1" a="1"/>
  <c r="D30" i="72" s="1"/>
  <c r="D31" i="72" s="1" a="1"/>
  <c r="D31" i="72" s="1"/>
  <c r="D309" i="72" a="1"/>
  <c r="D309" i="72" s="1"/>
  <c r="D91" i="72" a="1"/>
  <c r="D91" i="72" s="1"/>
  <c r="D217" i="72" a="1"/>
  <c r="D217" i="72" s="1"/>
  <c r="D155" i="72" a="1"/>
  <c r="D155" i="72" s="1"/>
  <c r="D248" i="72" a="1"/>
  <c r="D248" i="72" s="1"/>
  <c r="D186" i="72" a="1"/>
  <c r="D186" i="72" s="1"/>
  <c r="D279" i="72" a="1"/>
  <c r="D279" i="72" s="1"/>
  <c r="D32" i="72" l="1" a="1"/>
  <c r="D32" i="72" s="1"/>
  <c r="D280" i="72" a="1"/>
  <c r="D280" i="72" s="1"/>
  <c r="D156" i="72" a="1"/>
  <c r="D156" i="72" s="1"/>
  <c r="D92" i="72" a="1"/>
  <c r="D92" i="72" s="1"/>
  <c r="D218" i="72" a="1"/>
  <c r="D218" i="72" s="1"/>
  <c r="D187" i="72" a="1"/>
  <c r="D187" i="72" s="1"/>
  <c r="D249" i="72" a="1"/>
  <c r="D249" i="72" s="1"/>
  <c r="D310" i="72" a="1"/>
  <c r="D310" i="72" s="1"/>
  <c r="D93" i="72" l="1" a="1"/>
  <c r="D93" i="72" s="1"/>
  <c r="D311" i="72" a="1"/>
  <c r="D311" i="72" s="1"/>
  <c r="D94" i="72" l="1" a="1"/>
  <c r="D94" i="72" s="1"/>
  <c r="H183" i="58" l="1"/>
  <c r="H183" i="37"/>
  <c r="H184" i="58"/>
  <c r="H184" i="37"/>
  <c r="H183" i="41" l="1"/>
  <c r="I410" i="37"/>
  <c r="I410" i="58"/>
  <c r="H370" i="58"/>
  <c r="H370" i="37"/>
  <c r="H377" i="58"/>
  <c r="H377" i="37"/>
  <c r="J373" i="58"/>
  <c r="J373" i="37"/>
  <c r="J376" i="58"/>
  <c r="J376" i="37"/>
  <c r="H410" i="58"/>
  <c r="H410" i="37"/>
  <c r="H284" i="58"/>
  <c r="H284" i="37"/>
  <c r="H394" i="58"/>
  <c r="H394" i="37"/>
  <c r="H236" i="58"/>
  <c r="H236" i="37"/>
  <c r="I409" i="37"/>
  <c r="I409" i="58"/>
  <c r="H254" i="58"/>
  <c r="H254" i="37"/>
  <c r="J394" i="58"/>
  <c r="J394" i="37"/>
  <c r="H320" i="58"/>
  <c r="H320" i="37"/>
  <c r="H398" i="58"/>
  <c r="H398" i="37"/>
  <c r="H386" i="58"/>
  <c r="H386" i="37"/>
  <c r="H351" i="58"/>
  <c r="H351" i="37"/>
  <c r="H328" i="58"/>
  <c r="H328" i="37"/>
  <c r="H184" i="41"/>
  <c r="I422" i="37"/>
  <c r="I422" i="58"/>
  <c r="H406" i="58"/>
  <c r="H406" i="37"/>
  <c r="I382" i="37"/>
  <c r="I382" i="58"/>
  <c r="H344" i="58"/>
  <c r="H344" i="37"/>
  <c r="J382" i="58"/>
  <c r="J382" i="37"/>
  <c r="H374" i="58"/>
  <c r="H374" i="37"/>
  <c r="I374" i="37"/>
  <c r="I374" i="58"/>
  <c r="J413" i="58"/>
  <c r="J413" i="37"/>
  <c r="I412" i="37"/>
  <c r="I412" i="58"/>
  <c r="I308" i="58"/>
  <c r="I308" i="37"/>
  <c r="J404" i="58"/>
  <c r="J404" i="37"/>
  <c r="I395" i="37"/>
  <c r="I395" i="58"/>
  <c r="H269" i="58"/>
  <c r="H269" i="37"/>
  <c r="J236" i="37"/>
  <c r="J236" i="58"/>
  <c r="I363" i="37"/>
  <c r="I363" i="58"/>
  <c r="J409" i="58"/>
  <c r="J409" i="37"/>
  <c r="H392" i="58"/>
  <c r="H392" i="37"/>
  <c r="I383" i="58"/>
  <c r="I383" i="37"/>
  <c r="H305" i="58"/>
  <c r="H305" i="37"/>
  <c r="J244" i="58"/>
  <c r="J244" i="37"/>
  <c r="H422" i="58"/>
  <c r="H422" i="37"/>
  <c r="J290" i="58"/>
  <c r="J290" i="37"/>
  <c r="J401" i="37"/>
  <c r="J401" i="58"/>
  <c r="H388" i="58"/>
  <c r="H388" i="37"/>
  <c r="H379" i="58"/>
  <c r="H379" i="37"/>
  <c r="H317" i="58"/>
  <c r="H317" i="37"/>
  <c r="J344" i="58"/>
  <c r="J344" i="37"/>
  <c r="H379" i="41" l="1"/>
  <c r="H305" i="41"/>
  <c r="I409" i="41"/>
  <c r="H377" i="41"/>
  <c r="J344" i="41"/>
  <c r="J376" i="41"/>
  <c r="J413" i="41"/>
  <c r="H344" i="41"/>
  <c r="H422" i="41"/>
  <c r="I374" i="41"/>
  <c r="I382" i="41"/>
  <c r="H254" i="41"/>
  <c r="H398" i="41"/>
  <c r="I308" i="41"/>
  <c r="H374" i="41"/>
  <c r="J236" i="41"/>
  <c r="J382" i="41"/>
  <c r="J394" i="41"/>
  <c r="H394" i="41"/>
  <c r="I410" i="41"/>
  <c r="H284" i="41"/>
  <c r="I395" i="41"/>
  <c r="J290" i="41"/>
  <c r="J409" i="41"/>
  <c r="I363" i="41"/>
  <c r="H320" i="41"/>
  <c r="H236" i="41"/>
  <c r="J401" i="41"/>
  <c r="H418" i="58"/>
  <c r="H418" i="37"/>
  <c r="J368" i="58"/>
  <c r="J368" i="37"/>
  <c r="H185" i="58"/>
  <c r="H185" i="37"/>
  <c r="J377" i="58"/>
  <c r="J377" i="37"/>
  <c r="H413" i="58"/>
  <c r="H413" i="37"/>
  <c r="H308" i="58"/>
  <c r="H308" i="37"/>
  <c r="J320" i="58"/>
  <c r="J320" i="37"/>
  <c r="H409" i="58"/>
  <c r="H409" i="37"/>
  <c r="I340" i="58"/>
  <c r="I340" i="37"/>
  <c r="H290" i="58"/>
  <c r="H290" i="37"/>
  <c r="I376" i="58"/>
  <c r="I376" i="37"/>
  <c r="J340" i="58"/>
  <c r="J340" i="37"/>
  <c r="J293" i="58"/>
  <c r="J293" i="37"/>
  <c r="J356" i="37"/>
  <c r="J356" i="58"/>
  <c r="H347" i="58"/>
  <c r="H347" i="37"/>
  <c r="J332" i="37"/>
  <c r="J332" i="58"/>
  <c r="J193" i="58"/>
  <c r="J193" i="37"/>
  <c r="H146" i="58"/>
  <c r="H146" i="37"/>
  <c r="H172" i="58"/>
  <c r="H172" i="37"/>
  <c r="I162" i="58"/>
  <c r="I162" i="37"/>
  <c r="I235" i="58"/>
  <c r="I235" i="37"/>
  <c r="J178" i="58"/>
  <c r="J178" i="37"/>
  <c r="H208" i="58"/>
  <c r="H208" i="37"/>
  <c r="I204" i="37"/>
  <c r="I204" i="58"/>
  <c r="J206" i="58"/>
  <c r="J206" i="37"/>
  <c r="I281" i="37"/>
  <c r="I281" i="58"/>
  <c r="I343" i="58"/>
  <c r="I343" i="37"/>
  <c r="H163" i="58"/>
  <c r="H163" i="37"/>
  <c r="I261" i="37"/>
  <c r="I261" i="58"/>
  <c r="I179" i="37"/>
  <c r="I179" i="58"/>
  <c r="H197" i="58"/>
  <c r="H197" i="37"/>
  <c r="H221" i="58"/>
  <c r="H221" i="37"/>
  <c r="I197" i="37"/>
  <c r="I197" i="58"/>
  <c r="I221" i="58"/>
  <c r="I221" i="37"/>
  <c r="H227" i="58"/>
  <c r="H227" i="37"/>
  <c r="H253" i="58"/>
  <c r="H253" i="37"/>
  <c r="H289" i="58"/>
  <c r="H289" i="37"/>
  <c r="H323" i="58"/>
  <c r="H323" i="37"/>
  <c r="H353" i="58"/>
  <c r="H353" i="37"/>
  <c r="J273" i="37"/>
  <c r="J273" i="58"/>
  <c r="J309" i="37"/>
  <c r="J309" i="58"/>
  <c r="J337" i="37"/>
  <c r="J337" i="58"/>
  <c r="H230" i="58"/>
  <c r="H230" i="37"/>
  <c r="H270" i="58"/>
  <c r="H270" i="37"/>
  <c r="H306" i="58"/>
  <c r="H306" i="37"/>
  <c r="H350" i="58"/>
  <c r="H350" i="37"/>
  <c r="H384" i="58"/>
  <c r="H384" i="37"/>
  <c r="I384" i="58"/>
  <c r="I384" i="37"/>
  <c r="J402" i="58"/>
  <c r="J402" i="37"/>
  <c r="H411" i="58"/>
  <c r="H411" i="37"/>
  <c r="I411" i="37"/>
  <c r="I411" i="58"/>
  <c r="J411" i="37"/>
  <c r="J411" i="58"/>
  <c r="J404" i="41"/>
  <c r="H386" i="41"/>
  <c r="H370" i="41"/>
  <c r="I421" i="37"/>
  <c r="I421" i="58"/>
  <c r="I373" i="37"/>
  <c r="I373" i="58"/>
  <c r="I290" i="58"/>
  <c r="I290" i="37"/>
  <c r="H421" i="58"/>
  <c r="H421" i="37"/>
  <c r="H348" i="58"/>
  <c r="H348" i="37"/>
  <c r="H415" i="58"/>
  <c r="H415" i="37"/>
  <c r="J410" i="58"/>
  <c r="J410" i="37"/>
  <c r="H244" i="58"/>
  <c r="H244" i="37"/>
  <c r="J422" i="37"/>
  <c r="J422" i="58"/>
  <c r="H263" i="58"/>
  <c r="H263" i="37"/>
  <c r="I283" i="58"/>
  <c r="I283" i="37"/>
  <c r="J195" i="58"/>
  <c r="J195" i="37"/>
  <c r="J219" i="37"/>
  <c r="J219" i="58"/>
  <c r="H148" i="58"/>
  <c r="H148" i="37"/>
  <c r="H174" i="58"/>
  <c r="H174" i="37"/>
  <c r="I164" i="58"/>
  <c r="I164" i="37"/>
  <c r="I243" i="58"/>
  <c r="I243" i="37"/>
  <c r="J180" i="58"/>
  <c r="J180" i="37"/>
  <c r="H210" i="58"/>
  <c r="H210" i="37"/>
  <c r="I301" i="37"/>
  <c r="I301" i="58"/>
  <c r="I206" i="37"/>
  <c r="I206" i="58"/>
  <c r="I291" i="58"/>
  <c r="I291" i="37"/>
  <c r="H141" i="58"/>
  <c r="H141" i="37"/>
  <c r="H165" i="58"/>
  <c r="H165" i="37"/>
  <c r="I157" i="58"/>
  <c r="I157" i="37"/>
  <c r="I181" i="37"/>
  <c r="I181" i="58"/>
  <c r="J145" i="58"/>
  <c r="J145" i="37"/>
  <c r="J169" i="58"/>
  <c r="J169" i="37"/>
  <c r="H199" i="58"/>
  <c r="H199" i="37"/>
  <c r="J223" i="58"/>
  <c r="J223" i="37"/>
  <c r="H229" i="58"/>
  <c r="H229" i="37"/>
  <c r="H255" i="58"/>
  <c r="H255" i="37"/>
  <c r="H291" i="58"/>
  <c r="H291" i="37"/>
  <c r="H325" i="58"/>
  <c r="H325" i="37"/>
  <c r="H357" i="58"/>
  <c r="H357" i="37"/>
  <c r="J339" i="58"/>
  <c r="J339" i="37"/>
  <c r="H234" i="58"/>
  <c r="H234" i="37"/>
  <c r="H274" i="58"/>
  <c r="H274" i="37"/>
  <c r="H310" i="58"/>
  <c r="H310" i="37"/>
  <c r="H354" i="58"/>
  <c r="H354" i="37"/>
  <c r="I280" i="37"/>
  <c r="I280" i="58"/>
  <c r="I316" i="37"/>
  <c r="I316" i="58"/>
  <c r="J230" i="37"/>
  <c r="J230" i="58"/>
  <c r="J270" i="37"/>
  <c r="J270" i="58"/>
  <c r="J306" i="58"/>
  <c r="J306" i="37"/>
  <c r="J350" i="58"/>
  <c r="J350" i="37"/>
  <c r="H390" i="58"/>
  <c r="H390" i="37"/>
  <c r="I390" i="37"/>
  <c r="I390" i="58"/>
  <c r="J408" i="58"/>
  <c r="J408" i="37"/>
  <c r="H417" i="58"/>
  <c r="H417" i="37"/>
  <c r="I417" i="58"/>
  <c r="I417" i="37"/>
  <c r="J417" i="58"/>
  <c r="J417" i="37"/>
  <c r="H332" i="58"/>
  <c r="H332" i="37"/>
  <c r="H410" i="41"/>
  <c r="I244" i="58"/>
  <c r="I244" i="37"/>
  <c r="H391" i="58"/>
  <c r="H391" i="37"/>
  <c r="J386" i="37"/>
  <c r="J386" i="58"/>
  <c r="H314" i="58"/>
  <c r="H314" i="37"/>
  <c r="J257" i="58"/>
  <c r="J257" i="37"/>
  <c r="J197" i="37"/>
  <c r="J197" i="58"/>
  <c r="J221" i="58"/>
  <c r="J221" i="37"/>
  <c r="H150" i="58"/>
  <c r="H150" i="37"/>
  <c r="H176" i="58"/>
  <c r="H176" i="37"/>
  <c r="I263" i="37"/>
  <c r="I263" i="58"/>
  <c r="J158" i="37"/>
  <c r="J158" i="58"/>
  <c r="J182" i="37"/>
  <c r="J182" i="58"/>
  <c r="H212" i="58"/>
  <c r="H212" i="37"/>
  <c r="I325" i="58"/>
  <c r="I325" i="37"/>
  <c r="I315" i="58"/>
  <c r="I315" i="37"/>
  <c r="J210" i="58"/>
  <c r="J210" i="37"/>
  <c r="I329" i="37"/>
  <c r="I329" i="58"/>
  <c r="H143" i="58"/>
  <c r="H143" i="37"/>
  <c r="H167" i="58"/>
  <c r="H167" i="37"/>
  <c r="I309" i="37"/>
  <c r="I309" i="58"/>
  <c r="I159" i="58"/>
  <c r="I159" i="37"/>
  <c r="H186" i="58"/>
  <c r="H186" i="37"/>
  <c r="J147" i="58"/>
  <c r="J147" i="37"/>
  <c r="J171" i="37"/>
  <c r="J171" i="58"/>
  <c r="H201" i="58"/>
  <c r="H201" i="37"/>
  <c r="J231" i="37"/>
  <c r="J231" i="58"/>
  <c r="I201" i="58"/>
  <c r="I201" i="37"/>
  <c r="I234" i="58"/>
  <c r="I234" i="37"/>
  <c r="H231" i="58"/>
  <c r="H231" i="37"/>
  <c r="H259" i="58"/>
  <c r="H259" i="37"/>
  <c r="H295" i="58"/>
  <c r="H295" i="37"/>
  <c r="H327" i="58"/>
  <c r="H327" i="37"/>
  <c r="J366" i="58"/>
  <c r="J366" i="37"/>
  <c r="J279" i="58"/>
  <c r="J279" i="37"/>
  <c r="J315" i="58"/>
  <c r="J315" i="37"/>
  <c r="J341" i="58"/>
  <c r="J341" i="37"/>
  <c r="H238" i="58"/>
  <c r="H238" i="37"/>
  <c r="H276" i="58"/>
  <c r="H276" i="37"/>
  <c r="H312" i="58"/>
  <c r="H312" i="37"/>
  <c r="I246" i="37"/>
  <c r="I246" i="58"/>
  <c r="I282" i="58"/>
  <c r="I282" i="37"/>
  <c r="I318" i="37"/>
  <c r="I318" i="58"/>
  <c r="J234" i="37"/>
  <c r="J234" i="58"/>
  <c r="J274" i="37"/>
  <c r="J274" i="58"/>
  <c r="J310" i="37"/>
  <c r="J310" i="58"/>
  <c r="J354" i="37"/>
  <c r="J354" i="58"/>
  <c r="H396" i="58"/>
  <c r="H396" i="37"/>
  <c r="I332" i="58"/>
  <c r="I332" i="37"/>
  <c r="H240" i="58"/>
  <c r="H240" i="37"/>
  <c r="I368" i="37"/>
  <c r="I368" i="58"/>
  <c r="H275" i="58"/>
  <c r="H275" i="37"/>
  <c r="H401" i="58"/>
  <c r="H401" i="37"/>
  <c r="J224" i="58"/>
  <c r="J224" i="37"/>
  <c r="H293" i="58"/>
  <c r="H293" i="37"/>
  <c r="H380" i="58"/>
  <c r="H380" i="37"/>
  <c r="H224" i="58"/>
  <c r="H224" i="37"/>
  <c r="H355" i="58"/>
  <c r="H355" i="37"/>
  <c r="H302" i="58"/>
  <c r="H302" i="37"/>
  <c r="J299" i="58"/>
  <c r="J299" i="37"/>
  <c r="H382" i="58"/>
  <c r="H382" i="37"/>
  <c r="H373" i="58"/>
  <c r="H373" i="37"/>
  <c r="I352" i="37"/>
  <c r="I352" i="58"/>
  <c r="H364" i="58"/>
  <c r="H364" i="37"/>
  <c r="H360" i="58"/>
  <c r="H360" i="37"/>
  <c r="I248" i="37"/>
  <c r="I248" i="58"/>
  <c r="J374" i="58"/>
  <c r="J374" i="37"/>
  <c r="J364" i="37"/>
  <c r="J364" i="58"/>
  <c r="I229" i="37"/>
  <c r="I229" i="58"/>
  <c r="H152" i="58"/>
  <c r="H152" i="37"/>
  <c r="H178" i="58"/>
  <c r="H178" i="37"/>
  <c r="I168" i="58"/>
  <c r="I168" i="37"/>
  <c r="J160" i="37"/>
  <c r="J160" i="58"/>
  <c r="H190" i="58"/>
  <c r="H190" i="37"/>
  <c r="H214" i="58"/>
  <c r="H214" i="37"/>
  <c r="I349" i="58"/>
  <c r="I349" i="37"/>
  <c r="I210" i="58"/>
  <c r="I210" i="37"/>
  <c r="I339" i="37"/>
  <c r="I339" i="58"/>
  <c r="J212" i="58"/>
  <c r="J212" i="37"/>
  <c r="I353" i="58"/>
  <c r="I353" i="37"/>
  <c r="H145" i="58"/>
  <c r="H145" i="37"/>
  <c r="H169" i="58"/>
  <c r="H169" i="37"/>
  <c r="I161" i="58"/>
  <c r="I161" i="37"/>
  <c r="I223" i="37"/>
  <c r="I223" i="58"/>
  <c r="J149" i="58"/>
  <c r="J149" i="37"/>
  <c r="J173" i="58"/>
  <c r="J173" i="37"/>
  <c r="H203" i="58"/>
  <c r="H203" i="37"/>
  <c r="I203" i="58"/>
  <c r="I203" i="37"/>
  <c r="I242" i="37"/>
  <c r="I242" i="58"/>
  <c r="H233" i="58"/>
  <c r="H233" i="37"/>
  <c r="H261" i="58"/>
  <c r="H261" i="37"/>
  <c r="H297" i="58"/>
  <c r="H297" i="37"/>
  <c r="H329" i="58"/>
  <c r="H329" i="37"/>
  <c r="J247" i="37"/>
  <c r="J247" i="58"/>
  <c r="J283" i="58"/>
  <c r="J283" i="37"/>
  <c r="J319" i="58"/>
  <c r="J319" i="37"/>
  <c r="H242" i="58"/>
  <c r="H242" i="37"/>
  <c r="H280" i="58"/>
  <c r="H280" i="37"/>
  <c r="H316" i="58"/>
  <c r="H316" i="37"/>
  <c r="H402" i="58"/>
  <c r="H402" i="37"/>
  <c r="I402" i="37"/>
  <c r="I402" i="58"/>
  <c r="J420" i="58"/>
  <c r="J420" i="37"/>
  <c r="I361" i="58"/>
  <c r="I361" i="37"/>
  <c r="J361" i="37"/>
  <c r="J361" i="58"/>
  <c r="H356" i="58"/>
  <c r="H356" i="37"/>
  <c r="H389" i="58"/>
  <c r="H389" i="37"/>
  <c r="H406" i="41"/>
  <c r="J395" i="37"/>
  <c r="J395" i="58"/>
  <c r="H412" i="58"/>
  <c r="H412" i="37"/>
  <c r="H251" i="58"/>
  <c r="H251" i="37"/>
  <c r="J317" i="37"/>
  <c r="J317" i="58"/>
  <c r="H368" i="58"/>
  <c r="H368" i="37"/>
  <c r="I266" i="58"/>
  <c r="I266" i="37"/>
  <c r="H397" i="58"/>
  <c r="H397" i="37"/>
  <c r="H311" i="58"/>
  <c r="H311" i="37"/>
  <c r="J311" i="37"/>
  <c r="J311" i="58"/>
  <c r="H257" i="58"/>
  <c r="H257" i="37"/>
  <c r="J418" i="37"/>
  <c r="J418" i="58"/>
  <c r="I385" i="37"/>
  <c r="I385" i="58"/>
  <c r="H400" i="58"/>
  <c r="H400" i="37"/>
  <c r="J272" i="37"/>
  <c r="J272" i="58"/>
  <c r="H281" i="58"/>
  <c r="H281" i="37"/>
  <c r="I413" i="58"/>
  <c r="I413" i="37"/>
  <c r="I320" i="37"/>
  <c r="I320" i="58"/>
  <c r="I401" i="58"/>
  <c r="I401" i="37"/>
  <c r="H278" i="58"/>
  <c r="H278" i="37"/>
  <c r="J201" i="37"/>
  <c r="J201" i="58"/>
  <c r="H154" i="58"/>
  <c r="H154" i="37"/>
  <c r="H180" i="58"/>
  <c r="H180" i="37"/>
  <c r="I146" i="37"/>
  <c r="I146" i="58"/>
  <c r="I170" i="37"/>
  <c r="I170" i="58"/>
  <c r="I311" i="58"/>
  <c r="I311" i="37"/>
  <c r="J162" i="37"/>
  <c r="J162" i="58"/>
  <c r="H192" i="58"/>
  <c r="H192" i="37"/>
  <c r="H216" i="58"/>
  <c r="H216" i="37"/>
  <c r="H363" i="58"/>
  <c r="H363" i="37"/>
  <c r="I212" i="58"/>
  <c r="I212" i="37"/>
  <c r="J214" i="58"/>
  <c r="J214" i="37"/>
  <c r="H147" i="58"/>
  <c r="H147" i="37"/>
  <c r="H171" i="58"/>
  <c r="H171" i="37"/>
  <c r="I163" i="58"/>
  <c r="I163" i="37"/>
  <c r="I231" i="37"/>
  <c r="I231" i="58"/>
  <c r="J151" i="58"/>
  <c r="J151" i="37"/>
  <c r="H205" i="58"/>
  <c r="H205" i="37"/>
  <c r="I265" i="37"/>
  <c r="I265" i="58"/>
  <c r="I205" i="58"/>
  <c r="I205" i="37"/>
  <c r="I245" i="58"/>
  <c r="I245" i="37"/>
  <c r="H235" i="58"/>
  <c r="H235" i="37"/>
  <c r="H265" i="58"/>
  <c r="H265" i="37"/>
  <c r="H301" i="58"/>
  <c r="H301" i="37"/>
  <c r="H331" i="58"/>
  <c r="H331" i="37"/>
  <c r="J349" i="58"/>
  <c r="J349" i="37"/>
  <c r="H246" i="58"/>
  <c r="H246" i="37"/>
  <c r="H282" i="58"/>
  <c r="H282" i="37"/>
  <c r="H318" i="58"/>
  <c r="H318" i="37"/>
  <c r="I252" i="37"/>
  <c r="I252" i="58"/>
  <c r="I288" i="58"/>
  <c r="I288" i="37"/>
  <c r="I326" i="37"/>
  <c r="I326" i="58"/>
  <c r="J242" i="58"/>
  <c r="J242" i="37"/>
  <c r="J280" i="58"/>
  <c r="J280" i="37"/>
  <c r="J316" i="58"/>
  <c r="J316" i="37"/>
  <c r="H359" i="58"/>
  <c r="H359" i="37"/>
  <c r="H408" i="58"/>
  <c r="H408" i="37"/>
  <c r="I408" i="37"/>
  <c r="I408" i="58"/>
  <c r="H365" i="58"/>
  <c r="H365" i="37"/>
  <c r="I365" i="37"/>
  <c r="I365" i="58"/>
  <c r="J365" i="37"/>
  <c r="J365" i="58"/>
  <c r="H260" i="58"/>
  <c r="H260" i="37"/>
  <c r="H317" i="41"/>
  <c r="J244" i="41"/>
  <c r="I254" i="37"/>
  <c r="I254" i="58"/>
  <c r="H324" i="58"/>
  <c r="H324" i="37"/>
  <c r="H272" i="58"/>
  <c r="H272" i="37"/>
  <c r="J391" i="58"/>
  <c r="J391" i="37"/>
  <c r="H343" i="58"/>
  <c r="H343" i="37"/>
  <c r="H287" i="58"/>
  <c r="H287" i="37"/>
  <c r="J403" i="58"/>
  <c r="J403" i="37"/>
  <c r="J302" i="58"/>
  <c r="J302" i="37"/>
  <c r="J421" i="37"/>
  <c r="J421" i="58"/>
  <c r="H376" i="58"/>
  <c r="H376" i="37"/>
  <c r="J275" i="58"/>
  <c r="J275" i="37"/>
  <c r="J232" i="37"/>
  <c r="J232" i="58"/>
  <c r="I377" i="58"/>
  <c r="I377" i="37"/>
  <c r="H340" i="58"/>
  <c r="H340" i="37"/>
  <c r="I307" i="58"/>
  <c r="I307" i="37"/>
  <c r="J203" i="37"/>
  <c r="J203" i="58"/>
  <c r="J245" i="37"/>
  <c r="J245" i="58"/>
  <c r="H156" i="58"/>
  <c r="H156" i="37"/>
  <c r="H182" i="58"/>
  <c r="H182" i="37"/>
  <c r="I148" i="37"/>
  <c r="I148" i="58"/>
  <c r="I172" i="58"/>
  <c r="I172" i="37"/>
  <c r="J164" i="58"/>
  <c r="J164" i="37"/>
  <c r="H194" i="58"/>
  <c r="H194" i="37"/>
  <c r="H218" i="58"/>
  <c r="H218" i="37"/>
  <c r="I214" i="58"/>
  <c r="I214" i="37"/>
  <c r="J192" i="58"/>
  <c r="J192" i="37"/>
  <c r="H149" i="58"/>
  <c r="H149" i="37"/>
  <c r="H173" i="58"/>
  <c r="H173" i="37"/>
  <c r="J177" i="58"/>
  <c r="J177" i="37"/>
  <c r="H207" i="58"/>
  <c r="H207" i="37"/>
  <c r="I289" i="58"/>
  <c r="I289" i="37"/>
  <c r="I255" i="37"/>
  <c r="I255" i="58"/>
  <c r="H237" i="58"/>
  <c r="H237" i="37"/>
  <c r="H267" i="58"/>
  <c r="H267" i="37"/>
  <c r="H303" i="58"/>
  <c r="H303" i="37"/>
  <c r="H333" i="58"/>
  <c r="H333" i="37"/>
  <c r="J253" i="37"/>
  <c r="J253" i="58"/>
  <c r="J289" i="58"/>
  <c r="J289" i="37"/>
  <c r="J353" i="37"/>
  <c r="J353" i="58"/>
  <c r="H250" i="58"/>
  <c r="H250" i="37"/>
  <c r="H286" i="58"/>
  <c r="H286" i="37"/>
  <c r="H322" i="58"/>
  <c r="H322" i="37"/>
  <c r="I256" i="58"/>
  <c r="I256" i="37"/>
  <c r="I292" i="37"/>
  <c r="I292" i="58"/>
  <c r="I330" i="37"/>
  <c r="I330" i="58"/>
  <c r="J246" i="37"/>
  <c r="J246" i="58"/>
  <c r="J282" i="58"/>
  <c r="J282" i="37"/>
  <c r="J318" i="58"/>
  <c r="J318" i="37"/>
  <c r="J362" i="58"/>
  <c r="J362" i="37"/>
  <c r="H414" i="58"/>
  <c r="H414" i="37"/>
  <c r="H369" i="58"/>
  <c r="H369" i="37"/>
  <c r="J281" i="58"/>
  <c r="J281" i="37"/>
  <c r="J284" i="58"/>
  <c r="J284" i="37"/>
  <c r="J383" i="58"/>
  <c r="J383" i="37"/>
  <c r="H188" i="58"/>
  <c r="H188" i="37"/>
  <c r="I391" i="37"/>
  <c r="I391" i="58"/>
  <c r="J419" i="58"/>
  <c r="J419" i="37"/>
  <c r="J343" i="58"/>
  <c r="J343" i="37"/>
  <c r="H232" i="58"/>
  <c r="H232" i="37"/>
  <c r="I284" i="37"/>
  <c r="I284" i="58"/>
  <c r="I331" i="58"/>
  <c r="I331" i="37"/>
  <c r="J205" i="37"/>
  <c r="J205" i="58"/>
  <c r="H158" i="58"/>
  <c r="H158" i="37"/>
  <c r="I224" i="37"/>
  <c r="I224" i="58"/>
  <c r="I150" i="37"/>
  <c r="I150" i="58"/>
  <c r="H196" i="58"/>
  <c r="H196" i="37"/>
  <c r="H220" i="58"/>
  <c r="H220" i="37"/>
  <c r="I192" i="37"/>
  <c r="I192" i="58"/>
  <c r="J194" i="58"/>
  <c r="J194" i="37"/>
  <c r="J233" i="58"/>
  <c r="J233" i="37"/>
  <c r="H151" i="58"/>
  <c r="H151" i="37"/>
  <c r="H175" i="58"/>
  <c r="H175" i="37"/>
  <c r="J179" i="58"/>
  <c r="J179" i="37"/>
  <c r="H209" i="58"/>
  <c r="H209" i="37"/>
  <c r="I279" i="37"/>
  <c r="I279" i="58"/>
  <c r="H239" i="58"/>
  <c r="H239" i="37"/>
  <c r="H271" i="58"/>
  <c r="H271" i="37"/>
  <c r="H307" i="58"/>
  <c r="H307" i="37"/>
  <c r="H335" i="58"/>
  <c r="H335" i="37"/>
  <c r="J255" i="37"/>
  <c r="J255" i="58"/>
  <c r="J291" i="58"/>
  <c r="J291" i="37"/>
  <c r="J325" i="58"/>
  <c r="J325" i="37"/>
  <c r="H252" i="58"/>
  <c r="H252" i="37"/>
  <c r="H288" i="58"/>
  <c r="H288" i="37"/>
  <c r="H326" i="58"/>
  <c r="H326" i="37"/>
  <c r="H420" i="58"/>
  <c r="H420" i="37"/>
  <c r="I420" i="37"/>
  <c r="I420" i="58"/>
  <c r="H375" i="58"/>
  <c r="H375" i="37"/>
  <c r="I375" i="58"/>
  <c r="I375" i="37"/>
  <c r="J375" i="58"/>
  <c r="J375" i="37"/>
  <c r="I364" i="37"/>
  <c r="I364" i="58"/>
  <c r="I328" i="58"/>
  <c r="I328" i="37"/>
  <c r="J254" i="37"/>
  <c r="J254" i="58"/>
  <c r="J392" i="58"/>
  <c r="J392" i="37"/>
  <c r="I422" i="41"/>
  <c r="I419" i="58"/>
  <c r="I419" i="37"/>
  <c r="I392" i="58"/>
  <c r="I392" i="37"/>
  <c r="I404" i="58"/>
  <c r="I404" i="37"/>
  <c r="J229" i="37"/>
  <c r="J229" i="58"/>
  <c r="I293" i="58"/>
  <c r="I293" i="37"/>
  <c r="H162" i="58"/>
  <c r="H162" i="37"/>
  <c r="I232" i="58"/>
  <c r="I232" i="37"/>
  <c r="I152" i="37"/>
  <c r="I152" i="58"/>
  <c r="J168" i="58"/>
  <c r="J168" i="37"/>
  <c r="H198" i="58"/>
  <c r="H198" i="37"/>
  <c r="I222" i="37"/>
  <c r="I222" i="58"/>
  <c r="I194" i="58"/>
  <c r="I194" i="37"/>
  <c r="J196" i="58"/>
  <c r="J196" i="37"/>
  <c r="J220" i="37"/>
  <c r="J220" i="58"/>
  <c r="J241" i="58"/>
  <c r="J241" i="37"/>
  <c r="H153" i="58"/>
  <c r="H153" i="37"/>
  <c r="H177" i="58"/>
  <c r="H177" i="37"/>
  <c r="I145" i="37"/>
  <c r="I145" i="58"/>
  <c r="I169" i="37"/>
  <c r="I169" i="58"/>
  <c r="I275" i="37"/>
  <c r="I275" i="58"/>
  <c r="J157" i="37"/>
  <c r="J157" i="58"/>
  <c r="J181" i="58"/>
  <c r="J181" i="37"/>
  <c r="H211" i="58"/>
  <c r="H211" i="37"/>
  <c r="I337" i="37"/>
  <c r="I337" i="58"/>
  <c r="I211" i="58"/>
  <c r="I211" i="37"/>
  <c r="H241" i="58"/>
  <c r="H241" i="37"/>
  <c r="H273" i="58"/>
  <c r="H273" i="37"/>
  <c r="H309" i="58"/>
  <c r="H309" i="37"/>
  <c r="H337" i="58"/>
  <c r="H337" i="37"/>
  <c r="J327" i="37"/>
  <c r="J327" i="58"/>
  <c r="H256" i="58"/>
  <c r="H256" i="37"/>
  <c r="H292" i="58"/>
  <c r="H292" i="37"/>
  <c r="H330" i="58"/>
  <c r="H330" i="37"/>
  <c r="I262" i="37"/>
  <c r="I262" i="58"/>
  <c r="I298" i="58"/>
  <c r="I298" i="37"/>
  <c r="I338" i="37"/>
  <c r="I338" i="58"/>
  <c r="J252" i="58"/>
  <c r="J252" i="37"/>
  <c r="J288" i="37"/>
  <c r="J288" i="58"/>
  <c r="J326" i="58"/>
  <c r="J326" i="37"/>
  <c r="H358" i="58"/>
  <c r="H358" i="37"/>
  <c r="J372" i="58"/>
  <c r="J372" i="37"/>
  <c r="H381" i="58"/>
  <c r="H381" i="37"/>
  <c r="I381" i="58"/>
  <c r="I381" i="37"/>
  <c r="J381" i="37"/>
  <c r="J381" i="58"/>
  <c r="H403" i="58"/>
  <c r="H403" i="37"/>
  <c r="J263" i="37"/>
  <c r="J263" i="58"/>
  <c r="J363" i="58"/>
  <c r="J363" i="37"/>
  <c r="H296" i="58"/>
  <c r="H296" i="37"/>
  <c r="J352" i="58"/>
  <c r="J352" i="37"/>
  <c r="I344" i="58"/>
  <c r="I344" i="37"/>
  <c r="H266" i="58"/>
  <c r="H266" i="37"/>
  <c r="I386" i="58"/>
  <c r="I386" i="37"/>
  <c r="H352" i="58"/>
  <c r="H352" i="37"/>
  <c r="H407" i="58"/>
  <c r="H407" i="37"/>
  <c r="I355" i="37"/>
  <c r="I355" i="58"/>
  <c r="I317" i="58"/>
  <c r="I317" i="37"/>
  <c r="H164" i="58"/>
  <c r="H164" i="37"/>
  <c r="I178" i="37"/>
  <c r="I178" i="58"/>
  <c r="J146" i="58"/>
  <c r="J146" i="37"/>
  <c r="J170" i="37"/>
  <c r="J170" i="58"/>
  <c r="H200" i="58"/>
  <c r="H200" i="37"/>
  <c r="I196" i="37"/>
  <c r="I196" i="58"/>
  <c r="I220" i="58"/>
  <c r="I220" i="37"/>
  <c r="I247" i="58"/>
  <c r="I247" i="37"/>
  <c r="H155" i="58"/>
  <c r="H155" i="37"/>
  <c r="H179" i="58"/>
  <c r="H179" i="37"/>
  <c r="I147" i="37"/>
  <c r="I147" i="58"/>
  <c r="I171" i="58"/>
  <c r="I171" i="37"/>
  <c r="I299" i="58"/>
  <c r="I299" i="37"/>
  <c r="J159" i="37"/>
  <c r="J159" i="58"/>
  <c r="H189" i="58"/>
  <c r="H189" i="37"/>
  <c r="H213" i="58"/>
  <c r="H213" i="37"/>
  <c r="I213" i="58"/>
  <c r="I213" i="37"/>
  <c r="I327" i="37"/>
  <c r="I327" i="58"/>
  <c r="H243" i="58"/>
  <c r="H243" i="37"/>
  <c r="H277" i="58"/>
  <c r="H277" i="37"/>
  <c r="H313" i="58"/>
  <c r="H313" i="37"/>
  <c r="H339" i="58"/>
  <c r="H339" i="37"/>
  <c r="J261" i="37"/>
  <c r="J261" i="58"/>
  <c r="J297" i="58"/>
  <c r="J297" i="37"/>
  <c r="J329" i="58"/>
  <c r="J329" i="37"/>
  <c r="H361" i="58"/>
  <c r="H361" i="37"/>
  <c r="H258" i="58"/>
  <c r="H258" i="37"/>
  <c r="H294" i="58"/>
  <c r="H294" i="37"/>
  <c r="H334" i="58"/>
  <c r="H334" i="37"/>
  <c r="I264" i="37"/>
  <c r="I264" i="58"/>
  <c r="I300" i="58"/>
  <c r="I300" i="37"/>
  <c r="I342" i="58"/>
  <c r="I342" i="37"/>
  <c r="J256" i="58"/>
  <c r="J256" i="37"/>
  <c r="J292" i="37"/>
  <c r="J292" i="58"/>
  <c r="J330" i="37"/>
  <c r="J330" i="58"/>
  <c r="H362" i="58"/>
  <c r="H362" i="37"/>
  <c r="I362" i="37"/>
  <c r="I362" i="58"/>
  <c r="H387" i="58"/>
  <c r="H387" i="37"/>
  <c r="H336" i="58"/>
  <c r="H336" i="37"/>
  <c r="H388" i="41"/>
  <c r="I383" i="41"/>
  <c r="H269" i="41"/>
  <c r="H328" i="41"/>
  <c r="J373" i="41"/>
  <c r="I302" i="37"/>
  <c r="I302" i="58"/>
  <c r="H383" i="58"/>
  <c r="H383" i="37"/>
  <c r="H367" i="58"/>
  <c r="H367" i="37"/>
  <c r="H419" i="58"/>
  <c r="H419" i="37"/>
  <c r="J328" i="37"/>
  <c r="J328" i="58"/>
  <c r="H187" i="58"/>
  <c r="H187" i="37"/>
  <c r="J211" i="58"/>
  <c r="J211" i="37"/>
  <c r="I341" i="58"/>
  <c r="I341" i="37"/>
  <c r="H166" i="58"/>
  <c r="H166" i="37"/>
  <c r="I180" i="37"/>
  <c r="I180" i="58"/>
  <c r="J148" i="37"/>
  <c r="J148" i="58"/>
  <c r="J172" i="37"/>
  <c r="J172" i="58"/>
  <c r="H202" i="58"/>
  <c r="H202" i="37"/>
  <c r="J235" i="58"/>
  <c r="J235" i="37"/>
  <c r="J222" i="58"/>
  <c r="J222" i="37"/>
  <c r="I233" i="58"/>
  <c r="I233" i="37"/>
  <c r="I271" i="58"/>
  <c r="I271" i="37"/>
  <c r="H157" i="58"/>
  <c r="H157" i="37"/>
  <c r="H181" i="58"/>
  <c r="H181" i="37"/>
  <c r="I149" i="37"/>
  <c r="I149" i="58"/>
  <c r="I173" i="58"/>
  <c r="I173" i="37"/>
  <c r="J161" i="37"/>
  <c r="J161" i="58"/>
  <c r="H191" i="58"/>
  <c r="H191" i="37"/>
  <c r="H215" i="58"/>
  <c r="H215" i="37"/>
  <c r="I215" i="58"/>
  <c r="I215" i="37"/>
  <c r="I351" i="58"/>
  <c r="I351" i="37"/>
  <c r="H245" i="58"/>
  <c r="H245" i="37"/>
  <c r="H279" i="58"/>
  <c r="H279" i="37"/>
  <c r="H315" i="58"/>
  <c r="H315" i="37"/>
  <c r="H341" i="58"/>
  <c r="H341" i="37"/>
  <c r="J265" i="37"/>
  <c r="J265" i="58"/>
  <c r="J301" i="58"/>
  <c r="J301" i="37"/>
  <c r="J331" i="58"/>
  <c r="J331" i="37"/>
  <c r="H160" i="58"/>
  <c r="H160" i="37"/>
  <c r="H262" i="58"/>
  <c r="H262" i="37"/>
  <c r="H298" i="58"/>
  <c r="H298" i="37"/>
  <c r="H338" i="58"/>
  <c r="H338" i="37"/>
  <c r="H366" i="58"/>
  <c r="H366" i="37"/>
  <c r="I366" i="37"/>
  <c r="I366" i="58"/>
  <c r="J384" i="37"/>
  <c r="J384" i="58"/>
  <c r="H393" i="58"/>
  <c r="H393" i="37"/>
  <c r="I393" i="37"/>
  <c r="I393" i="58"/>
  <c r="J393" i="37"/>
  <c r="J393" i="58"/>
  <c r="H416" i="58"/>
  <c r="H416" i="37"/>
  <c r="H248" i="58"/>
  <c r="H248" i="37"/>
  <c r="H404" i="58"/>
  <c r="H404" i="37"/>
  <c r="J412" i="58"/>
  <c r="J412" i="37"/>
  <c r="I418" i="58"/>
  <c r="I418" i="37"/>
  <c r="I356" i="58"/>
  <c r="I356" i="37"/>
  <c r="J355" i="37"/>
  <c r="J355" i="58"/>
  <c r="I367" i="37"/>
  <c r="I367" i="58"/>
  <c r="H395" i="58"/>
  <c r="H395" i="37"/>
  <c r="J351" i="37"/>
  <c r="J351" i="58"/>
  <c r="J213" i="58"/>
  <c r="J213" i="37"/>
  <c r="H142" i="58"/>
  <c r="H142" i="37"/>
  <c r="H168" i="58"/>
  <c r="H168" i="37"/>
  <c r="I273" i="37"/>
  <c r="I273" i="58"/>
  <c r="I158" i="37"/>
  <c r="I158" i="58"/>
  <c r="I182" i="37"/>
  <c r="I182" i="58"/>
  <c r="J150" i="37"/>
  <c r="J150" i="58"/>
  <c r="H204" i="58"/>
  <c r="H204" i="37"/>
  <c r="J243" i="37"/>
  <c r="J243" i="58"/>
  <c r="I230" i="37"/>
  <c r="I230" i="58"/>
  <c r="J202" i="37"/>
  <c r="J202" i="58"/>
  <c r="I241" i="58"/>
  <c r="I241" i="37"/>
  <c r="H159" i="58"/>
  <c r="H159" i="37"/>
  <c r="I151" i="37"/>
  <c r="I151" i="58"/>
  <c r="J163" i="37"/>
  <c r="J163" i="58"/>
  <c r="H193" i="58"/>
  <c r="H193" i="37"/>
  <c r="H217" i="58"/>
  <c r="H217" i="37"/>
  <c r="I193" i="58"/>
  <c r="I193" i="37"/>
  <c r="H223" i="58"/>
  <c r="H223" i="37"/>
  <c r="H247" i="58"/>
  <c r="H247" i="37"/>
  <c r="H283" i="58"/>
  <c r="H283" i="37"/>
  <c r="H319" i="58"/>
  <c r="H319" i="37"/>
  <c r="H345" i="58"/>
  <c r="H345" i="37"/>
  <c r="H222" i="58"/>
  <c r="H222" i="37"/>
  <c r="H264" i="58"/>
  <c r="H264" i="37"/>
  <c r="H300" i="58"/>
  <c r="H300" i="37"/>
  <c r="H342" i="58"/>
  <c r="H342" i="37"/>
  <c r="I270" i="37"/>
  <c r="I270" i="58"/>
  <c r="I306" i="58"/>
  <c r="I306" i="37"/>
  <c r="I350" i="58"/>
  <c r="I350" i="37"/>
  <c r="J262" i="37"/>
  <c r="J262" i="58"/>
  <c r="J298" i="58"/>
  <c r="J298" i="37"/>
  <c r="J338" i="37"/>
  <c r="J338" i="58"/>
  <c r="H372" i="58"/>
  <c r="H372" i="37"/>
  <c r="I372" i="37"/>
  <c r="I372" i="58"/>
  <c r="J390" i="37"/>
  <c r="J390" i="58"/>
  <c r="H399" i="58"/>
  <c r="H399" i="37"/>
  <c r="I399" i="37"/>
  <c r="I399" i="58"/>
  <c r="J399" i="37"/>
  <c r="J399" i="58"/>
  <c r="H392" i="41"/>
  <c r="I412" i="41"/>
  <c r="H351" i="41"/>
  <c r="J400" i="58"/>
  <c r="J400" i="37"/>
  <c r="J385" i="37"/>
  <c r="J385" i="58"/>
  <c r="I272" i="58"/>
  <c r="I272" i="37"/>
  <c r="J308" i="58"/>
  <c r="J308" i="37"/>
  <c r="I403" i="37"/>
  <c r="I403" i="58"/>
  <c r="I394" i="58"/>
  <c r="I394" i="37"/>
  <c r="H228" i="58"/>
  <c r="H228" i="37"/>
  <c r="I400" i="58"/>
  <c r="I400" i="37"/>
  <c r="H299" i="58"/>
  <c r="H299" i="37"/>
  <c r="J367" i="58"/>
  <c r="J367" i="37"/>
  <c r="H371" i="58"/>
  <c r="H371" i="37"/>
  <c r="J266" i="37"/>
  <c r="J266" i="58"/>
  <c r="J215" i="37"/>
  <c r="J215" i="58"/>
  <c r="H144" i="58"/>
  <c r="H144" i="37"/>
  <c r="H170" i="58"/>
  <c r="H170" i="37"/>
  <c r="I297" i="58"/>
  <c r="I297" i="37"/>
  <c r="I160" i="37"/>
  <c r="I160" i="58"/>
  <c r="J152" i="58"/>
  <c r="J152" i="37"/>
  <c r="H206" i="58"/>
  <c r="H206" i="37"/>
  <c r="I253" i="58"/>
  <c r="I253" i="37"/>
  <c r="I202" i="58"/>
  <c r="I202" i="37"/>
  <c r="J204" i="58"/>
  <c r="J204" i="37"/>
  <c r="I257" i="37"/>
  <c r="I257" i="58"/>
  <c r="I319" i="37"/>
  <c r="I319" i="58"/>
  <c r="H161" i="58"/>
  <c r="H161" i="37"/>
  <c r="I236" i="58"/>
  <c r="I236" i="37"/>
  <c r="I177" i="58"/>
  <c r="I177" i="37"/>
  <c r="H195" i="58"/>
  <c r="H195" i="37"/>
  <c r="H219" i="58"/>
  <c r="H219" i="37"/>
  <c r="I195" i="58"/>
  <c r="I195" i="37"/>
  <c r="I219" i="37"/>
  <c r="I219" i="58"/>
  <c r="H225" i="58"/>
  <c r="H225" i="37"/>
  <c r="H249" i="58"/>
  <c r="H249" i="37"/>
  <c r="H285" i="58"/>
  <c r="H285" i="37"/>
  <c r="H321" i="58"/>
  <c r="H321" i="37"/>
  <c r="H349" i="58"/>
  <c r="H349" i="37"/>
  <c r="J271" i="58"/>
  <c r="J271" i="37"/>
  <c r="J307" i="58"/>
  <c r="J307" i="37"/>
  <c r="H226" i="58"/>
  <c r="H226" i="37"/>
  <c r="H268" i="58"/>
  <c r="H268" i="37"/>
  <c r="H304" i="58"/>
  <c r="H304" i="37"/>
  <c r="H346" i="58"/>
  <c r="H346" i="37"/>
  <c r="I274" i="37"/>
  <c r="I274" i="58"/>
  <c r="I310" i="58"/>
  <c r="I310" i="37"/>
  <c r="I354" i="37"/>
  <c r="I354" i="58"/>
  <c r="J264" i="58"/>
  <c r="J264" i="37"/>
  <c r="J300" i="58"/>
  <c r="J300" i="37"/>
  <c r="J342" i="37"/>
  <c r="J342" i="58"/>
  <c r="H378" i="58"/>
  <c r="H378" i="37"/>
  <c r="H405" i="58"/>
  <c r="H405" i="37"/>
  <c r="H385" i="58"/>
  <c r="H385" i="37"/>
  <c r="J248" i="37"/>
  <c r="J248" i="58"/>
  <c r="J234" i="41" l="1"/>
  <c r="J375" i="41"/>
  <c r="H326" i="41"/>
  <c r="J194" i="41"/>
  <c r="H232" i="41"/>
  <c r="J383" i="41"/>
  <c r="J177" i="41"/>
  <c r="H149" i="41"/>
  <c r="H218" i="41"/>
  <c r="H182" i="41"/>
  <c r="I377" i="41"/>
  <c r="J391" i="41"/>
  <c r="H260" i="41"/>
  <c r="H359" i="41"/>
  <c r="I245" i="41"/>
  <c r="J214" i="41"/>
  <c r="I413" i="41"/>
  <c r="H257" i="41"/>
  <c r="J408" i="41"/>
  <c r="H234" i="41"/>
  <c r="H291" i="41"/>
  <c r="H199" i="41"/>
  <c r="H263" i="41"/>
  <c r="H421" i="41"/>
  <c r="J364" i="41"/>
  <c r="I350" i="41"/>
  <c r="H222" i="41"/>
  <c r="H283" i="41"/>
  <c r="H193" i="41"/>
  <c r="H159" i="41"/>
  <c r="H395" i="41"/>
  <c r="H404" i="41"/>
  <c r="H160" i="41"/>
  <c r="H279" i="41"/>
  <c r="H191" i="41"/>
  <c r="H157" i="41"/>
  <c r="J235" i="41"/>
  <c r="H419" i="41"/>
  <c r="I375" i="41"/>
  <c r="H288" i="41"/>
  <c r="H335" i="41"/>
  <c r="I331" i="41"/>
  <c r="J343" i="41"/>
  <c r="J284" i="41"/>
  <c r="H414" i="41"/>
  <c r="H237" i="41"/>
  <c r="J215" i="41"/>
  <c r="I362" i="41"/>
  <c r="J159" i="41"/>
  <c r="J288" i="41"/>
  <c r="I337" i="41"/>
  <c r="I145" i="41"/>
  <c r="J309" i="41"/>
  <c r="H194" i="41"/>
  <c r="H156" i="41"/>
  <c r="J316" i="41"/>
  <c r="H366" i="41"/>
  <c r="J301" i="41"/>
  <c r="I351" i="41"/>
  <c r="H271" i="41"/>
  <c r="J179" i="41"/>
  <c r="H151" i="41"/>
  <c r="H220" i="41"/>
  <c r="J318" i="41"/>
  <c r="H322" i="41"/>
  <c r="J192" i="41"/>
  <c r="J275" i="41"/>
  <c r="H287" i="41"/>
  <c r="H324" i="41"/>
  <c r="H365" i="41"/>
  <c r="J242" i="41"/>
  <c r="H246" i="41"/>
  <c r="H301" i="41"/>
  <c r="H278" i="41"/>
  <c r="H400" i="41"/>
  <c r="H397" i="41"/>
  <c r="I219" i="41"/>
  <c r="J342" i="41"/>
  <c r="I399" i="41"/>
  <c r="I151" i="41"/>
  <c r="I230" i="41"/>
  <c r="I393" i="41"/>
  <c r="I149" i="41"/>
  <c r="I180" i="41"/>
  <c r="I364" i="41"/>
  <c r="I279" i="41"/>
  <c r="J246" i="41"/>
  <c r="I320" i="41"/>
  <c r="J418" i="41"/>
  <c r="J270" i="41"/>
  <c r="I233" i="41"/>
  <c r="I341" i="41"/>
  <c r="H383" i="41"/>
  <c r="H205" i="41"/>
  <c r="H171" i="41"/>
  <c r="H363" i="41"/>
  <c r="I361" i="41"/>
  <c r="I210" i="41"/>
  <c r="I384" i="41"/>
  <c r="H253" i="41"/>
  <c r="I343" i="41"/>
  <c r="H208" i="41"/>
  <c r="H172" i="41"/>
  <c r="I340" i="41"/>
  <c r="J377" i="41"/>
  <c r="I248" i="41"/>
  <c r="I368" i="41"/>
  <c r="I329" i="41"/>
  <c r="J182" i="41"/>
  <c r="I411" i="41"/>
  <c r="I197" i="41"/>
  <c r="H385" i="41"/>
  <c r="H378" i="41"/>
  <c r="J307" i="41"/>
  <c r="H299" i="41"/>
  <c r="J308" i="41"/>
  <c r="I342" i="41"/>
  <c r="H361" i="41"/>
  <c r="H277" i="41"/>
  <c r="H155" i="41"/>
  <c r="I386" i="41"/>
  <c r="H296" i="41"/>
  <c r="J326" i="41"/>
  <c r="H330" i="41"/>
  <c r="I211" i="41"/>
  <c r="H356" i="41"/>
  <c r="J283" i="41"/>
  <c r="J212" i="41"/>
  <c r="H360" i="41"/>
  <c r="J299" i="41"/>
  <c r="J224" i="41"/>
  <c r="H240" i="41"/>
  <c r="J417" i="41"/>
  <c r="J350" i="41"/>
  <c r="H354" i="41"/>
  <c r="J229" i="41"/>
  <c r="J361" i="41"/>
  <c r="J247" i="41"/>
  <c r="I339" i="41"/>
  <c r="J310" i="41"/>
  <c r="I263" i="41"/>
  <c r="J197" i="41"/>
  <c r="J410" i="41"/>
  <c r="H342" i="41"/>
  <c r="J213" i="41"/>
  <c r="I356" i="41"/>
  <c r="H338" i="41"/>
  <c r="I215" i="41"/>
  <c r="I173" i="41"/>
  <c r="J211" i="41"/>
  <c r="I328" i="41"/>
  <c r="H420" i="41"/>
  <c r="J325" i="41"/>
  <c r="H239" i="41"/>
  <c r="J233" i="41"/>
  <c r="H196" i="41"/>
  <c r="H158" i="41"/>
  <c r="J282" i="41"/>
  <c r="H286" i="41"/>
  <c r="H333" i="41"/>
  <c r="I289" i="41"/>
  <c r="I214" i="41"/>
  <c r="I172" i="41"/>
  <c r="I307" i="41"/>
  <c r="H343" i="41"/>
  <c r="J349" i="41"/>
  <c r="H265" i="41"/>
  <c r="H147" i="41"/>
  <c r="H216" i="41"/>
  <c r="I417" i="41"/>
  <c r="J306" i="41"/>
  <c r="H310" i="41"/>
  <c r="I157" i="41"/>
  <c r="H405" i="41"/>
  <c r="J264" i="41"/>
  <c r="H268" i="41"/>
  <c r="H219" i="41"/>
  <c r="I236" i="41"/>
  <c r="I202" i="41"/>
  <c r="H228" i="41"/>
  <c r="I206" i="41"/>
  <c r="J302" i="41"/>
  <c r="H318" i="41"/>
  <c r="I372" i="41"/>
  <c r="J163" i="41"/>
  <c r="I367" i="41"/>
  <c r="I366" i="41"/>
  <c r="J161" i="41"/>
  <c r="I192" i="41"/>
  <c r="I150" i="41"/>
  <c r="I284" i="41"/>
  <c r="I255" i="41"/>
  <c r="J245" i="41"/>
  <c r="I365" i="41"/>
  <c r="I265" i="41"/>
  <c r="J279" i="41"/>
  <c r="I234" i="41"/>
  <c r="H186" i="41"/>
  <c r="I280" i="41"/>
  <c r="H411" i="41"/>
  <c r="H270" i="41"/>
  <c r="H323" i="41"/>
  <c r="H221" i="41"/>
  <c r="I162" i="41"/>
  <c r="H290" i="41"/>
  <c r="I205" i="41"/>
  <c r="I163" i="41"/>
  <c r="I311" i="41"/>
  <c r="H281" i="41"/>
  <c r="H251" i="41"/>
  <c r="J339" i="41"/>
  <c r="H255" i="41"/>
  <c r="J169" i="41"/>
  <c r="H210" i="41"/>
  <c r="H174" i="41"/>
  <c r="I290" i="41"/>
  <c r="I310" i="41"/>
  <c r="H206" i="41"/>
  <c r="H170" i="41"/>
  <c r="J367" i="41"/>
  <c r="J256" i="41"/>
  <c r="H258" i="41"/>
  <c r="H313" i="41"/>
  <c r="H213" i="41"/>
  <c r="H179" i="41"/>
  <c r="J352" i="41"/>
  <c r="H403" i="41"/>
  <c r="H358" i="41"/>
  <c r="I275" i="41"/>
  <c r="J168" i="41"/>
  <c r="I170" i="41"/>
  <c r="J272" i="41"/>
  <c r="I373" i="41"/>
  <c r="H413" i="41"/>
  <c r="H357" i="41"/>
  <c r="I291" i="41"/>
  <c r="I243" i="41"/>
  <c r="J385" i="41"/>
  <c r="I281" i="41"/>
  <c r="J196" i="41"/>
  <c r="J210" i="41"/>
  <c r="J221" i="41"/>
  <c r="I270" i="41"/>
  <c r="J355" i="41"/>
  <c r="H180" i="41"/>
  <c r="I401" i="41"/>
  <c r="I266" i="41"/>
  <c r="J195" i="41"/>
  <c r="H415" i="41"/>
  <c r="H362" i="41"/>
  <c r="J297" i="41"/>
  <c r="I299" i="41"/>
  <c r="I317" i="41"/>
  <c r="H407" i="41"/>
  <c r="J363" i="41"/>
  <c r="H381" i="41"/>
  <c r="J252" i="41"/>
  <c r="H256" i="41"/>
  <c r="H309" i="41"/>
  <c r="H211" i="41"/>
  <c r="H177" i="41"/>
  <c r="I194" i="41"/>
  <c r="H280" i="41"/>
  <c r="H329" i="41"/>
  <c r="I168" i="41"/>
  <c r="H355" i="41"/>
  <c r="H276" i="41"/>
  <c r="H327" i="41"/>
  <c r="J400" i="41"/>
  <c r="H334" i="41"/>
  <c r="I213" i="41"/>
  <c r="I171" i="41"/>
  <c r="J146" i="41"/>
  <c r="H352" i="41"/>
  <c r="J372" i="41"/>
  <c r="H273" i="41"/>
  <c r="J181" i="41"/>
  <c r="H153" i="41"/>
  <c r="I232" i="41"/>
  <c r="I392" i="41"/>
  <c r="H384" i="41"/>
  <c r="H227" i="41"/>
  <c r="J178" i="41"/>
  <c r="H409" i="41"/>
  <c r="J262" i="41"/>
  <c r="I158" i="41"/>
  <c r="J351" i="41"/>
  <c r="J328" i="41"/>
  <c r="J248" i="41"/>
  <c r="I354" i="41"/>
  <c r="J292" i="41"/>
  <c r="I147" i="41"/>
  <c r="I178" i="41"/>
  <c r="I355" i="41"/>
  <c r="J263" i="41"/>
  <c r="J327" i="41"/>
  <c r="J157" i="41"/>
  <c r="I402" i="41"/>
  <c r="I318" i="41"/>
  <c r="J171" i="41"/>
  <c r="J411" i="41"/>
  <c r="J273" i="41"/>
  <c r="I179" i="41"/>
  <c r="I293" i="41"/>
  <c r="H396" i="41"/>
  <c r="I282" i="41"/>
  <c r="J315" i="41"/>
  <c r="I235" i="41"/>
  <c r="C35" i="63"/>
  <c r="I274" i="41"/>
  <c r="D42" i="57"/>
  <c r="G149" i="66"/>
  <c r="O149" i="66" s="1"/>
  <c r="I257" i="41"/>
  <c r="C34" i="63"/>
  <c r="H372" i="41"/>
  <c r="H223" i="41"/>
  <c r="I241" i="41"/>
  <c r="I20" i="66"/>
  <c r="E2" i="53"/>
  <c r="G20" i="66"/>
  <c r="I68" i="66"/>
  <c r="I116" i="66"/>
  <c r="H142" i="41"/>
  <c r="H416" i="41"/>
  <c r="D46" i="57"/>
  <c r="G169" i="66"/>
  <c r="O169" i="66" s="1"/>
  <c r="J381" i="41"/>
  <c r="I169" i="41"/>
  <c r="I242" i="41"/>
  <c r="I223" i="41"/>
  <c r="J160" i="41"/>
  <c r="I229" i="41"/>
  <c r="J354" i="41"/>
  <c r="I246" i="41"/>
  <c r="J158" i="41"/>
  <c r="J386" i="41"/>
  <c r="I261" i="41"/>
  <c r="I204" i="41"/>
  <c r="J332" i="41"/>
  <c r="H346" i="41"/>
  <c r="J271" i="41"/>
  <c r="I177" i="41"/>
  <c r="J204" i="41"/>
  <c r="J152" i="41"/>
  <c r="C26" i="63"/>
  <c r="I272" i="41"/>
  <c r="I164" i="66"/>
  <c r="I260" i="66"/>
  <c r="E8" i="53"/>
  <c r="I212" i="66"/>
  <c r="G164" i="66"/>
  <c r="J172" i="41"/>
  <c r="H336" i="41"/>
  <c r="I300" i="41"/>
  <c r="J329" i="41"/>
  <c r="H243" i="41"/>
  <c r="I247" i="41"/>
  <c r="H200" i="41"/>
  <c r="H164" i="41"/>
  <c r="H266" i="41"/>
  <c r="I381" i="41"/>
  <c r="H292" i="41"/>
  <c r="H337" i="41"/>
  <c r="J254" i="41"/>
  <c r="I420" i="41"/>
  <c r="I224" i="41"/>
  <c r="J253" i="41"/>
  <c r="J203" i="41"/>
  <c r="I146" i="41"/>
  <c r="J395" i="41"/>
  <c r="H316" i="41"/>
  <c r="I203" i="41"/>
  <c r="I161" i="41"/>
  <c r="H364" i="41"/>
  <c r="H302" i="41"/>
  <c r="H401" i="41"/>
  <c r="I332" i="41"/>
  <c r="H312" i="41"/>
  <c r="J366" i="41"/>
  <c r="I201" i="41"/>
  <c r="I159" i="41"/>
  <c r="I315" i="41"/>
  <c r="H391" i="41"/>
  <c r="I181" i="41"/>
  <c r="J219" i="41"/>
  <c r="I421" i="41"/>
  <c r="J402" i="41"/>
  <c r="H230" i="41"/>
  <c r="H289" i="41"/>
  <c r="H197" i="41"/>
  <c r="H163" i="41"/>
  <c r="H347" i="41"/>
  <c r="C4" i="63"/>
  <c r="H144" i="41"/>
  <c r="C56" i="63"/>
  <c r="C55" i="63"/>
  <c r="J300" i="41"/>
  <c r="H304" i="41"/>
  <c r="H349" i="41"/>
  <c r="I195" i="41"/>
  <c r="I400" i="41"/>
  <c r="J399" i="41"/>
  <c r="J338" i="41"/>
  <c r="J202" i="41"/>
  <c r="J150" i="41"/>
  <c r="J393" i="41"/>
  <c r="J265" i="41"/>
  <c r="J148" i="41"/>
  <c r="C25" i="63"/>
  <c r="I302" i="41"/>
  <c r="C46" i="63"/>
  <c r="I404" i="41"/>
  <c r="I391" i="41"/>
  <c r="I254" i="41"/>
  <c r="I408" i="41"/>
  <c r="I326" i="41"/>
  <c r="I385" i="41"/>
  <c r="G5" i="66"/>
  <c r="D3" i="57"/>
  <c r="H225" i="41"/>
  <c r="J298" i="41"/>
  <c r="H300" i="41"/>
  <c r="D12" i="57"/>
  <c r="H345" i="41"/>
  <c r="G14" i="66"/>
  <c r="I193" i="41"/>
  <c r="I182" i="41"/>
  <c r="I418" i="41"/>
  <c r="H298" i="41"/>
  <c r="H341" i="41"/>
  <c r="J222" i="41"/>
  <c r="H187" i="41"/>
  <c r="I264" i="41"/>
  <c r="I327" i="41"/>
  <c r="J170" i="41"/>
  <c r="I152" i="41"/>
  <c r="C16" i="63"/>
  <c r="J291" i="41"/>
  <c r="H188" i="41"/>
  <c r="G24" i="66"/>
  <c r="D13" i="57"/>
  <c r="H369" i="41"/>
  <c r="H250" i="41"/>
  <c r="G30" i="66"/>
  <c r="D9" i="57"/>
  <c r="H303" i="41"/>
  <c r="D5" i="57"/>
  <c r="G17" i="66"/>
  <c r="H207" i="41"/>
  <c r="H173" i="41"/>
  <c r="C45" i="63"/>
  <c r="H340" i="41"/>
  <c r="H376" i="41"/>
  <c r="H408" i="41"/>
  <c r="I288" i="41"/>
  <c r="H235" i="41"/>
  <c r="J151" i="41"/>
  <c r="H192" i="41"/>
  <c r="H154" i="41"/>
  <c r="H368" i="41"/>
  <c r="I352" i="41"/>
  <c r="J274" i="41"/>
  <c r="J231" i="41"/>
  <c r="I309" i="41"/>
  <c r="H417" i="41"/>
  <c r="H274" i="41"/>
  <c r="H325" i="41"/>
  <c r="J223" i="41"/>
  <c r="I164" i="41"/>
  <c r="I283" i="41"/>
  <c r="H348" i="41"/>
  <c r="J337" i="41"/>
  <c r="J356" i="41"/>
  <c r="D51" i="57"/>
  <c r="G158" i="66"/>
  <c r="O158" i="66" s="1"/>
  <c r="D52" i="57"/>
  <c r="G168" i="66"/>
  <c r="O168" i="66" s="1"/>
  <c r="G174" i="66"/>
  <c r="D48" i="57"/>
  <c r="D44" i="57"/>
  <c r="G161" i="66"/>
  <c r="I148" i="41"/>
  <c r="C15" i="63"/>
  <c r="J420" i="41"/>
  <c r="H242" i="41"/>
  <c r="H297" i="41"/>
  <c r="H203" i="41"/>
  <c r="H169" i="41"/>
  <c r="I349" i="41"/>
  <c r="H373" i="41"/>
  <c r="H224" i="41"/>
  <c r="H275" i="41"/>
  <c r="H238" i="41"/>
  <c r="H295" i="41"/>
  <c r="H201" i="41"/>
  <c r="H167" i="41"/>
  <c r="I325" i="41"/>
  <c r="J257" i="41"/>
  <c r="H146" i="41"/>
  <c r="J293" i="41"/>
  <c r="H185" i="41"/>
  <c r="D4" i="57"/>
  <c r="G39" i="66"/>
  <c r="H494" i="37"/>
  <c r="H321" i="41"/>
  <c r="E392" i="38"/>
  <c r="N39" i="66" s="1"/>
  <c r="H493" i="37"/>
  <c r="E395" i="38"/>
  <c r="N183" i="66" s="1"/>
  <c r="H494" i="58"/>
  <c r="H493" i="58"/>
  <c r="G184" i="66" s="1"/>
  <c r="O184" i="66" s="1"/>
  <c r="D43" i="57"/>
  <c r="G183" i="66"/>
  <c r="I160" i="41"/>
  <c r="J266" i="41"/>
  <c r="H399" i="41"/>
  <c r="H264" i="41"/>
  <c r="H319" i="41"/>
  <c r="H217" i="41"/>
  <c r="J412" i="41"/>
  <c r="H393" i="41"/>
  <c r="H262" i="41"/>
  <c r="H315" i="41"/>
  <c r="H215" i="41"/>
  <c r="H181" i="41"/>
  <c r="J330" i="41"/>
  <c r="J261" i="41"/>
  <c r="I338" i="41"/>
  <c r="I222" i="41"/>
  <c r="H267" i="41"/>
  <c r="G15" i="66"/>
  <c r="D10" i="57"/>
  <c r="D6" i="57"/>
  <c r="G19" i="66"/>
  <c r="H165" i="41"/>
  <c r="G25" i="66"/>
  <c r="D7" i="57"/>
  <c r="H189" i="41"/>
  <c r="H226" i="41"/>
  <c r="D11" i="57"/>
  <c r="G34" i="66"/>
  <c r="H285" i="41"/>
  <c r="H195" i="41"/>
  <c r="H161" i="41"/>
  <c r="I253" i="41"/>
  <c r="I297" i="41"/>
  <c r="H371" i="41"/>
  <c r="I394" i="41"/>
  <c r="H294" i="41"/>
  <c r="H339" i="41"/>
  <c r="I220" i="41"/>
  <c r="I344" i="41"/>
  <c r="I298" i="41"/>
  <c r="H241" i="41"/>
  <c r="J241" i="41"/>
  <c r="H198" i="41"/>
  <c r="H162" i="41"/>
  <c r="I419" i="41"/>
  <c r="J255" i="41"/>
  <c r="J205" i="41"/>
  <c r="I330" i="41"/>
  <c r="J353" i="41"/>
  <c r="D49" i="57"/>
  <c r="G159" i="66"/>
  <c r="O159" i="66" s="1"/>
  <c r="J421" i="41"/>
  <c r="I252" i="41"/>
  <c r="I231" i="41"/>
  <c r="J162" i="41"/>
  <c r="J317" i="41"/>
  <c r="H389" i="41"/>
  <c r="H261" i="41"/>
  <c r="J173" i="41"/>
  <c r="H145" i="41"/>
  <c r="H214" i="41"/>
  <c r="H178" i="41"/>
  <c r="J374" i="41"/>
  <c r="H380" i="41"/>
  <c r="J341" i="41"/>
  <c r="H259" i="41"/>
  <c r="H143" i="41"/>
  <c r="H212" i="41"/>
  <c r="H176" i="41"/>
  <c r="I244" i="41"/>
  <c r="J230" i="41"/>
  <c r="D45" i="57"/>
  <c r="G163" i="66"/>
  <c r="O163" i="66" s="1"/>
  <c r="I301" i="41"/>
  <c r="H350" i="41"/>
  <c r="I221" i="41"/>
  <c r="J206" i="41"/>
  <c r="J340" i="41"/>
  <c r="J320" i="41"/>
  <c r="J368" i="41"/>
  <c r="G26" i="66"/>
  <c r="H141" i="41"/>
  <c r="D2" i="57"/>
  <c r="G42" i="66"/>
  <c r="D8" i="57"/>
  <c r="H249" i="41"/>
  <c r="M3" i="37"/>
  <c r="J390" i="41"/>
  <c r="J243" i="41"/>
  <c r="I273" i="41"/>
  <c r="J384" i="41"/>
  <c r="G35" i="66"/>
  <c r="D14" i="57"/>
  <c r="H387" i="41"/>
  <c r="E4" i="53"/>
  <c r="F4" i="53" s="1"/>
  <c r="I292" i="41"/>
  <c r="J232" i="41"/>
  <c r="J365" i="41"/>
  <c r="J201" i="41"/>
  <c r="J311" i="41"/>
  <c r="H402" i="41"/>
  <c r="J319" i="41"/>
  <c r="H233" i="41"/>
  <c r="J149" i="41"/>
  <c r="I353" i="41"/>
  <c r="H190" i="41"/>
  <c r="C6" i="63"/>
  <c r="H152" i="41"/>
  <c r="H382" i="41"/>
  <c r="H293" i="41"/>
  <c r="H231" i="41"/>
  <c r="J147" i="41"/>
  <c r="H150" i="41"/>
  <c r="H314" i="41"/>
  <c r="I390" i="41"/>
  <c r="I316" i="41"/>
  <c r="D41" i="57"/>
  <c r="G170" i="66"/>
  <c r="J422" i="41"/>
  <c r="H306" i="41"/>
  <c r="H353" i="41"/>
  <c r="J193" i="41"/>
  <c r="I376" i="41"/>
  <c r="H308" i="41"/>
  <c r="H418" i="41"/>
  <c r="G178" i="66"/>
  <c r="O178" i="66" s="1"/>
  <c r="D50" i="57"/>
  <c r="D47" i="57"/>
  <c r="G186" i="66"/>
  <c r="M3" i="58"/>
  <c r="I319" i="41"/>
  <c r="I403" i="41"/>
  <c r="I306" i="41"/>
  <c r="H247" i="41"/>
  <c r="H204" i="41"/>
  <c r="H168" i="41"/>
  <c r="H248" i="41"/>
  <c r="J331" i="41"/>
  <c r="H245" i="41"/>
  <c r="I271" i="41"/>
  <c r="H202" i="41"/>
  <c r="H166" i="41"/>
  <c r="H367" i="41"/>
  <c r="E10" i="53"/>
  <c r="F10" i="53" s="1"/>
  <c r="H4" i="53" s="1"/>
  <c r="D53" i="57"/>
  <c r="G179" i="66"/>
  <c r="I196" i="41"/>
  <c r="I262" i="41"/>
  <c r="J220" i="41"/>
  <c r="J392" i="41"/>
  <c r="H375" i="41"/>
  <c r="H252" i="41"/>
  <c r="H307" i="41"/>
  <c r="H209" i="41"/>
  <c r="H175" i="41"/>
  <c r="J419" i="41"/>
  <c r="J281" i="41"/>
  <c r="J362" i="41"/>
  <c r="I256" i="41"/>
  <c r="J289" i="41"/>
  <c r="J164" i="41"/>
  <c r="J403" i="41"/>
  <c r="H272" i="41"/>
  <c r="J280" i="41"/>
  <c r="H282" i="41"/>
  <c r="H331" i="41"/>
  <c r="I212" i="41"/>
  <c r="H311" i="41"/>
  <c r="H412" i="41"/>
  <c r="C36" i="63"/>
  <c r="H332" i="41"/>
  <c r="H390" i="41"/>
  <c r="H229" i="41"/>
  <c r="J145" i="41"/>
  <c r="J180" i="41"/>
  <c r="H148" i="41"/>
  <c r="C5" i="63"/>
  <c r="H244" i="41"/>
  <c r="M7" i="41" l="1"/>
  <c r="K49" i="39"/>
  <c r="E147" i="38" s="1"/>
  <c r="K48" i="39"/>
  <c r="E146" i="38" s="1"/>
  <c r="O170" i="66" s="1"/>
  <c r="E401" i="38"/>
  <c r="H496" i="58" s="1"/>
  <c r="C51" i="39"/>
  <c r="E98" i="38" s="1"/>
  <c r="K42" i="66" s="1"/>
  <c r="C50" i="39"/>
  <c r="E97" i="38" s="1"/>
  <c r="K30" i="66" s="1"/>
  <c r="C47" i="39"/>
  <c r="E94" i="38" s="1"/>
  <c r="H455" i="37" s="1"/>
  <c r="C48" i="39"/>
  <c r="E95" i="38" s="1"/>
  <c r="H456" i="37" s="1"/>
  <c r="H10" i="53"/>
  <c r="G10" i="53" s="1"/>
  <c r="G4" i="53"/>
  <c r="I68" i="74"/>
  <c r="G26" i="74"/>
  <c r="O183" i="66"/>
  <c r="G20" i="74"/>
  <c r="G34" i="74"/>
  <c r="O34" i="66"/>
  <c r="K50" i="39"/>
  <c r="E148" i="38" s="1"/>
  <c r="O8" i="41"/>
  <c r="G35" i="74"/>
  <c r="I20" i="74"/>
  <c r="K51" i="39"/>
  <c r="E149" i="38" s="1"/>
  <c r="O19" i="66"/>
  <c r="G19" i="74"/>
  <c r="G15" i="74"/>
  <c r="O15" i="66"/>
  <c r="G185" i="66"/>
  <c r="E9" i="53"/>
  <c r="F9" i="53" s="1"/>
  <c r="H3" i="53" s="1"/>
  <c r="G30" i="74"/>
  <c r="G5" i="74"/>
  <c r="O5" i="66"/>
  <c r="M8" i="41"/>
  <c r="H493" i="41"/>
  <c r="G40" i="66"/>
  <c r="K47" i="39"/>
  <c r="E145" i="38" s="1"/>
  <c r="O9" i="41"/>
  <c r="M9" i="41"/>
  <c r="G25" i="74"/>
  <c r="O25" i="66"/>
  <c r="N39" i="74"/>
  <c r="G42" i="74"/>
  <c r="G24" i="74"/>
  <c r="O24" i="66"/>
  <c r="G14" i="74"/>
  <c r="O14" i="66"/>
  <c r="E3" i="53"/>
  <c r="F3" i="53" s="1"/>
  <c r="G41" i="66"/>
  <c r="H494" i="41"/>
  <c r="C49" i="39"/>
  <c r="E96" i="38" s="1"/>
  <c r="O39" i="66"/>
  <c r="G39" i="74"/>
  <c r="H457" i="58"/>
  <c r="E398" i="38"/>
  <c r="G17" i="74"/>
  <c r="I116" i="74"/>
  <c r="O30" i="66" l="1"/>
  <c r="K30" i="74"/>
  <c r="AI30" i="74" s="1"/>
  <c r="O42" i="66"/>
  <c r="K42" i="74"/>
  <c r="AI42" i="74" s="1"/>
  <c r="C23" i="34"/>
  <c r="C24" i="34" s="1"/>
  <c r="H456" i="58"/>
  <c r="H456" i="41" s="1"/>
  <c r="H464" i="37"/>
  <c r="H497" i="58"/>
  <c r="E410" i="38" s="1"/>
  <c r="H495" i="58"/>
  <c r="C41" i="63" s="1"/>
  <c r="K26" i="66"/>
  <c r="H465" i="37"/>
  <c r="K20" i="66"/>
  <c r="G41" i="74"/>
  <c r="G3" i="53"/>
  <c r="H9" i="53"/>
  <c r="G9" i="53" s="1"/>
  <c r="G40" i="74"/>
  <c r="O40" i="66"/>
  <c r="S42" i="66"/>
  <c r="T42" i="66"/>
  <c r="Q42" i="66"/>
  <c r="Q161" i="66"/>
  <c r="T161" i="66"/>
  <c r="S161" i="66"/>
  <c r="AA158" i="66"/>
  <c r="AA14" i="66"/>
  <c r="Z14" i="66"/>
  <c r="Z158" i="66"/>
  <c r="AA15" i="66"/>
  <c r="Z15" i="66"/>
  <c r="AA159" i="66"/>
  <c r="Z159" i="66"/>
  <c r="Z34" i="66"/>
  <c r="Z178" i="66"/>
  <c r="AA34" i="66"/>
  <c r="AA178" i="66"/>
  <c r="E411" i="38"/>
  <c r="G181" i="66"/>
  <c r="AC15" i="74"/>
  <c r="O15" i="74"/>
  <c r="AC34" i="74"/>
  <c r="O34" i="74"/>
  <c r="O14" i="74"/>
  <c r="AC14" i="74"/>
  <c r="Z24" i="66"/>
  <c r="AA168" i="66"/>
  <c r="Z168" i="66"/>
  <c r="AA24" i="66"/>
  <c r="O19" i="74"/>
  <c r="AC19" i="74"/>
  <c r="H497" i="37"/>
  <c r="H495" i="37"/>
  <c r="H496" i="37"/>
  <c r="AC24" i="74"/>
  <c r="O24" i="74"/>
  <c r="Z19" i="66"/>
  <c r="AA163" i="66"/>
  <c r="Z163" i="66"/>
  <c r="AA19" i="66"/>
  <c r="T30" i="66"/>
  <c r="S30" i="66"/>
  <c r="Q30" i="66"/>
  <c r="K17" i="66"/>
  <c r="K17" i="74" s="1"/>
  <c r="AI17" i="74" s="1"/>
  <c r="H457" i="37"/>
  <c r="H457" i="41" s="1"/>
  <c r="Q170" i="66"/>
  <c r="T170" i="66"/>
  <c r="S170" i="66"/>
  <c r="H455" i="58"/>
  <c r="H455" i="41" s="1"/>
  <c r="D8" i="53"/>
  <c r="F8" i="53" s="1"/>
  <c r="H2" i="53" s="1"/>
  <c r="Z39" i="66"/>
  <c r="Z183" i="66"/>
  <c r="AA183" i="66"/>
  <c r="AA39" i="66"/>
  <c r="Z149" i="66"/>
  <c r="AA5" i="66"/>
  <c r="H5" i="6"/>
  <c r="Z5" i="66"/>
  <c r="AA149" i="66"/>
  <c r="O5" i="74"/>
  <c r="AC5" i="74"/>
  <c r="H465" i="58"/>
  <c r="O161" i="66"/>
  <c r="H464" i="58"/>
  <c r="E286" i="38"/>
  <c r="E280" i="38"/>
  <c r="D2" i="53"/>
  <c r="F2" i="53" s="1"/>
  <c r="AC39" i="74"/>
  <c r="O39" i="74"/>
  <c r="E298" i="38"/>
  <c r="N179" i="66" s="1"/>
  <c r="E292" i="38"/>
  <c r="AA25" i="66"/>
  <c r="Z25" i="66"/>
  <c r="AA169" i="66"/>
  <c r="Z169" i="66"/>
  <c r="AC25" i="74"/>
  <c r="O25" i="74"/>
  <c r="O26" i="66" l="1"/>
  <c r="Z170" i="66" s="1"/>
  <c r="K26" i="74"/>
  <c r="T26" i="66"/>
  <c r="T20" i="66"/>
  <c r="K20" i="74"/>
  <c r="AI20" i="74" s="1"/>
  <c r="AE39" i="74"/>
  <c r="AG39" i="74"/>
  <c r="AE14" i="74"/>
  <c r="AG14" i="74"/>
  <c r="AE24" i="74"/>
  <c r="AG24" i="74"/>
  <c r="AE34" i="74"/>
  <c r="AG34" i="74"/>
  <c r="AE25" i="74"/>
  <c r="AG25" i="74"/>
  <c r="I30" i="77" s="1"/>
  <c r="K30" i="77" s="1"/>
  <c r="AE15" i="74"/>
  <c r="AG15" i="74"/>
  <c r="I25" i="77" s="1"/>
  <c r="K25" i="77" s="1"/>
  <c r="AE19" i="74"/>
  <c r="AG19" i="74"/>
  <c r="I27" i="77" s="1"/>
  <c r="K27" i="77" s="1"/>
  <c r="AE5" i="74"/>
  <c r="AG5" i="74"/>
  <c r="I23" i="77" s="1"/>
  <c r="K23" i="77" s="1"/>
  <c r="S26" i="66"/>
  <c r="Q26" i="66"/>
  <c r="H464" i="41"/>
  <c r="AA26" i="66"/>
  <c r="G180" i="66"/>
  <c r="H465" i="41"/>
  <c r="AD19" i="74"/>
  <c r="E27" i="77" s="1"/>
  <c r="AD15" i="74"/>
  <c r="E25" i="77" s="1"/>
  <c r="AD39" i="74"/>
  <c r="AD5" i="74"/>
  <c r="E23" i="77" s="1"/>
  <c r="AD24" i="74"/>
  <c r="AD25" i="74"/>
  <c r="E30" i="77" s="1"/>
  <c r="AD14" i="74"/>
  <c r="AD34" i="74"/>
  <c r="U170" i="66"/>
  <c r="T42" i="74"/>
  <c r="Q42" i="74"/>
  <c r="S42" i="74"/>
  <c r="AC42" i="74"/>
  <c r="O42" i="74"/>
  <c r="AA39" i="74"/>
  <c r="Z39" i="74"/>
  <c r="C11" i="63"/>
  <c r="H495" i="41"/>
  <c r="C2" i="63"/>
  <c r="G36" i="66"/>
  <c r="E404" i="38"/>
  <c r="H497" i="41"/>
  <c r="AA19" i="74"/>
  <c r="Z19" i="74"/>
  <c r="AA15" i="74"/>
  <c r="Z15" i="74"/>
  <c r="G2" i="53"/>
  <c r="H8" i="53"/>
  <c r="G8" i="53" s="1"/>
  <c r="T174" i="66"/>
  <c r="Q174" i="66"/>
  <c r="S174" i="66"/>
  <c r="O174" i="66"/>
  <c r="U42" i="66"/>
  <c r="U30" i="66"/>
  <c r="T164" i="66"/>
  <c r="T17" i="66"/>
  <c r="Q17" i="66"/>
  <c r="S17" i="66"/>
  <c r="O17" i="66"/>
  <c r="AC30" i="74"/>
  <c r="AA24" i="74"/>
  <c r="Z24" i="74"/>
  <c r="M180" i="66"/>
  <c r="H488" i="58"/>
  <c r="Q186" i="66"/>
  <c r="T186" i="66"/>
  <c r="S186" i="66"/>
  <c r="O186" i="66"/>
  <c r="AA14" i="74"/>
  <c r="Z14" i="74"/>
  <c r="H483" i="37"/>
  <c r="M35" i="66"/>
  <c r="H487" i="58"/>
  <c r="M181" i="66"/>
  <c r="E291" i="38"/>
  <c r="E297" i="38"/>
  <c r="N185" i="66" s="1"/>
  <c r="AA25" i="74"/>
  <c r="Z25" i="74"/>
  <c r="B18" i="8"/>
  <c r="N35" i="66"/>
  <c r="N35" i="74" s="1"/>
  <c r="E279" i="38"/>
  <c r="E285" i="38"/>
  <c r="AA34" i="74"/>
  <c r="Z34" i="74"/>
  <c r="Z40" i="66"/>
  <c r="AA184" i="66"/>
  <c r="Z184" i="66"/>
  <c r="AA40" i="66"/>
  <c r="H483" i="58"/>
  <c r="M179" i="66"/>
  <c r="AA5" i="74"/>
  <c r="Z5" i="74"/>
  <c r="U161" i="66"/>
  <c r="O40" i="74"/>
  <c r="AC40" i="74"/>
  <c r="G37" i="66"/>
  <c r="G37" i="74" s="1"/>
  <c r="E405" i="38"/>
  <c r="H496" i="41"/>
  <c r="S26" i="74" l="1"/>
  <c r="AI26" i="74"/>
  <c r="P170" i="66"/>
  <c r="R170" i="66" s="1"/>
  <c r="AA170" i="66"/>
  <c r="AF39" i="74"/>
  <c r="AF34" i="74"/>
  <c r="AH34" i="74"/>
  <c r="AF24" i="74"/>
  <c r="AH24" i="74"/>
  <c r="AF5" i="74"/>
  <c r="C23" i="77" s="1"/>
  <c r="AF14" i="74"/>
  <c r="AH14" i="74"/>
  <c r="AF19" i="74"/>
  <c r="C27" i="77" s="1"/>
  <c r="AH19" i="74"/>
  <c r="AF15" i="74"/>
  <c r="C25" i="77" s="1"/>
  <c r="AH15" i="74"/>
  <c r="AF25" i="74"/>
  <c r="C30" i="77" s="1"/>
  <c r="P26" i="66"/>
  <c r="R26" i="66" s="1"/>
  <c r="U26" i="66"/>
  <c r="Z26" i="66"/>
  <c r="O26" i="74"/>
  <c r="AA26" i="74" s="1"/>
  <c r="AC26" i="74"/>
  <c r="AD26" i="74" s="1"/>
  <c r="T26" i="74"/>
  <c r="U26" i="74" s="1"/>
  <c r="Q26" i="74"/>
  <c r="AE40" i="74"/>
  <c r="AG40" i="74"/>
  <c r="AE42" i="74"/>
  <c r="AG42" i="74"/>
  <c r="I34" i="77" s="1"/>
  <c r="K34" i="77" s="1"/>
  <c r="O180" i="66"/>
  <c r="T20" i="74"/>
  <c r="AD42" i="74"/>
  <c r="E34" i="77" s="1"/>
  <c r="AD40" i="74"/>
  <c r="U174" i="66"/>
  <c r="U42" i="74"/>
  <c r="H482" i="37"/>
  <c r="M41" i="66"/>
  <c r="E290" i="38"/>
  <c r="E296" i="38"/>
  <c r="N164" i="66" s="1"/>
  <c r="H482" i="58"/>
  <c r="M185" i="66"/>
  <c r="E278" i="38"/>
  <c r="E284" i="38"/>
  <c r="H488" i="37"/>
  <c r="H488" i="41" s="1"/>
  <c r="M36" i="66"/>
  <c r="O36" i="66" s="1"/>
  <c r="O181" i="66"/>
  <c r="S181" i="66"/>
  <c r="U181" i="66" s="1"/>
  <c r="Q181" i="66"/>
  <c r="W181" i="66" s="1"/>
  <c r="Y181" i="66" s="1"/>
  <c r="G36" i="74"/>
  <c r="S179" i="66"/>
  <c r="U179" i="66" s="1"/>
  <c r="Q179" i="66"/>
  <c r="O179" i="66"/>
  <c r="S180" i="66"/>
  <c r="U180" i="66" s="1"/>
  <c r="Q180" i="66"/>
  <c r="W180" i="66" s="1"/>
  <c r="Y180" i="66" s="1"/>
  <c r="H487" i="37"/>
  <c r="H487" i="41" s="1"/>
  <c r="M37" i="66"/>
  <c r="M35" i="74"/>
  <c r="Q35" i="66"/>
  <c r="S35" i="66"/>
  <c r="U35" i="66" s="1"/>
  <c r="O35" i="66"/>
  <c r="AA42" i="74"/>
  <c r="P42" i="74"/>
  <c r="Z42" i="74"/>
  <c r="AA40" i="74"/>
  <c r="Z40" i="74"/>
  <c r="H483" i="41"/>
  <c r="T30" i="74"/>
  <c r="Q30" i="74"/>
  <c r="S30" i="74"/>
  <c r="O30" i="74"/>
  <c r="P174" i="66"/>
  <c r="Z174" i="66"/>
  <c r="AA30" i="66"/>
  <c r="AA174" i="66"/>
  <c r="Z30" i="66"/>
  <c r="P30" i="66"/>
  <c r="P186" i="66"/>
  <c r="P42" i="66"/>
  <c r="Z42" i="66"/>
  <c r="AA42" i="66"/>
  <c r="AA186" i="66"/>
  <c r="Z186" i="66"/>
  <c r="P161" i="66"/>
  <c r="AA161" i="66"/>
  <c r="Z17" i="66"/>
  <c r="Z161" i="66"/>
  <c r="P17" i="66"/>
  <c r="AA17" i="66"/>
  <c r="U186" i="66"/>
  <c r="U17" i="66"/>
  <c r="T17" i="74"/>
  <c r="Q17" i="74"/>
  <c r="S17" i="74"/>
  <c r="O17" i="74"/>
  <c r="AC17" i="74"/>
  <c r="N41" i="66"/>
  <c r="N41" i="74" s="1"/>
  <c r="F17" i="8"/>
  <c r="AF42" i="74" l="1"/>
  <c r="C34" i="77" s="1"/>
  <c r="AF40" i="74"/>
  <c r="P26" i="74"/>
  <c r="Z26" i="74"/>
  <c r="AG26" i="74"/>
  <c r="AE26" i="74"/>
  <c r="AE17" i="74"/>
  <c r="AG17" i="74"/>
  <c r="I26" i="77" s="1"/>
  <c r="K26" i="77" s="1"/>
  <c r="AE30" i="74"/>
  <c r="AH30" i="74" s="1"/>
  <c r="AG30" i="74"/>
  <c r="AD17" i="74"/>
  <c r="E26" i="77" s="1"/>
  <c r="C7" i="77"/>
  <c r="AD30" i="74"/>
  <c r="E31" i="77" s="1"/>
  <c r="U30" i="74"/>
  <c r="M36" i="74"/>
  <c r="O36" i="74" s="1"/>
  <c r="U17" i="74"/>
  <c r="H482" i="41"/>
  <c r="R174" i="66"/>
  <c r="Z30" i="74"/>
  <c r="AA30" i="74"/>
  <c r="P30" i="74"/>
  <c r="P179" i="66"/>
  <c r="R42" i="66"/>
  <c r="R42" i="74"/>
  <c r="M164" i="66"/>
  <c r="H481" i="58"/>
  <c r="R186" i="66"/>
  <c r="O37" i="66"/>
  <c r="P181" i="66" s="1"/>
  <c r="S37" i="66"/>
  <c r="U37" i="66" s="1"/>
  <c r="Q37" i="66"/>
  <c r="W37" i="66" s="1"/>
  <c r="Y37" i="66" s="1"/>
  <c r="M37" i="74"/>
  <c r="Z180" i="66"/>
  <c r="AA180" i="66"/>
  <c r="P36" i="66"/>
  <c r="Z36" i="66"/>
  <c r="Z17" i="74"/>
  <c r="P17" i="74"/>
  <c r="AA17" i="74"/>
  <c r="P180" i="66"/>
  <c r="R17" i="66"/>
  <c r="AA36" i="66"/>
  <c r="Q185" i="66"/>
  <c r="W185" i="66" s="1"/>
  <c r="Y185" i="66" s="1"/>
  <c r="S185" i="66"/>
  <c r="U185" i="66" s="1"/>
  <c r="O185" i="66"/>
  <c r="Q36" i="66"/>
  <c r="W36" i="66" s="1"/>
  <c r="Y36" i="66" s="1"/>
  <c r="S36" i="66"/>
  <c r="U36" i="66" s="1"/>
  <c r="R30" i="66"/>
  <c r="Z179" i="66"/>
  <c r="P35" i="66"/>
  <c r="AA179" i="66"/>
  <c r="Z35" i="66"/>
  <c r="AA35" i="66"/>
  <c r="M41" i="74"/>
  <c r="S41" i="66"/>
  <c r="U41" i="66" s="1"/>
  <c r="Q41" i="66"/>
  <c r="W41" i="66" s="1"/>
  <c r="Y41" i="66" s="1"/>
  <c r="O41" i="66"/>
  <c r="N20" i="66"/>
  <c r="N20" i="74" s="1"/>
  <c r="B16" i="8"/>
  <c r="R161" i="66"/>
  <c r="H481" i="37"/>
  <c r="M20" i="66"/>
  <c r="S35" i="74"/>
  <c r="U35" i="74" s="1"/>
  <c r="Q35" i="74"/>
  <c r="O35" i="74"/>
  <c r="AC35" i="74"/>
  <c r="C52" i="77" l="1"/>
  <c r="AF26" i="74"/>
  <c r="C53" i="77"/>
  <c r="R26" i="74"/>
  <c r="AF30" i="74"/>
  <c r="I31" i="77"/>
  <c r="K31" i="77" s="1"/>
  <c r="AE35" i="74"/>
  <c r="AG35" i="74"/>
  <c r="Q36" i="74"/>
  <c r="W36" i="74" s="1"/>
  <c r="Y36" i="74" s="1"/>
  <c r="S36" i="74"/>
  <c r="U36" i="74" s="1"/>
  <c r="AC36" i="74"/>
  <c r="AF17" i="74"/>
  <c r="C26" i="77" s="1"/>
  <c r="AD35" i="74"/>
  <c r="H481" i="41"/>
  <c r="R181" i="66"/>
  <c r="V181" i="66"/>
  <c r="S41" i="74"/>
  <c r="U41" i="74" s="1"/>
  <c r="Q41" i="74"/>
  <c r="W41" i="74" s="1"/>
  <c r="Y41" i="74" s="1"/>
  <c r="O41" i="74"/>
  <c r="AC41" i="74"/>
  <c r="Z181" i="66"/>
  <c r="AA37" i="66"/>
  <c r="Z37" i="66"/>
  <c r="P37" i="66"/>
  <c r="AA181" i="66"/>
  <c r="P185" i="66"/>
  <c r="AA35" i="74"/>
  <c r="Z35" i="74"/>
  <c r="P35" i="74"/>
  <c r="V36" i="66"/>
  <c r="R36" i="66"/>
  <c r="R179" i="66"/>
  <c r="R35" i="66"/>
  <c r="S164" i="66"/>
  <c r="U164" i="66" s="1"/>
  <c r="Q164" i="66"/>
  <c r="O164" i="66"/>
  <c r="M20" i="74"/>
  <c r="O20" i="66"/>
  <c r="Q20" i="66"/>
  <c r="S20" i="66"/>
  <c r="U20" i="66" s="1"/>
  <c r="AA41" i="66"/>
  <c r="Z41" i="66"/>
  <c r="AA185" i="66"/>
  <c r="Z185" i="66"/>
  <c r="P41" i="66"/>
  <c r="R17" i="74"/>
  <c r="R180" i="66"/>
  <c r="V180" i="66"/>
  <c r="Q37" i="74"/>
  <c r="W37" i="74" s="1"/>
  <c r="Y37" i="74" s="1"/>
  <c r="S37" i="74"/>
  <c r="U37" i="74" s="1"/>
  <c r="AC37" i="74"/>
  <c r="O37" i="74"/>
  <c r="R30" i="74"/>
  <c r="Z36" i="74"/>
  <c r="AA36" i="74"/>
  <c r="P36" i="74"/>
  <c r="AF35" i="74" l="1"/>
  <c r="C31" i="77"/>
  <c r="AE36" i="74"/>
  <c r="AG36" i="74"/>
  <c r="AE37" i="74"/>
  <c r="AG37" i="74"/>
  <c r="AE41" i="74"/>
  <c r="AH41" i="74" s="1"/>
  <c r="E57" i="77" s="1"/>
  <c r="AG41" i="74"/>
  <c r="I28" i="77" s="1"/>
  <c r="K28" i="77" s="1"/>
  <c r="AD36" i="74"/>
  <c r="AD37" i="74"/>
  <c r="AD41" i="74"/>
  <c r="E28" i="77" s="1"/>
  <c r="E35" i="77" s="1"/>
  <c r="R185" i="66"/>
  <c r="V185" i="66"/>
  <c r="V36" i="74"/>
  <c r="R36" i="74"/>
  <c r="AA41" i="74"/>
  <c r="Z41" i="74"/>
  <c r="P41" i="74"/>
  <c r="Z164" i="66"/>
  <c r="AA20" i="66"/>
  <c r="Z20" i="66"/>
  <c r="AA164" i="66"/>
  <c r="P20" i="66"/>
  <c r="R37" i="66"/>
  <c r="V37" i="66"/>
  <c r="O20" i="74"/>
  <c r="AC20" i="74"/>
  <c r="S20" i="74"/>
  <c r="U20" i="74" s="1"/>
  <c r="Q20" i="74"/>
  <c r="R35" i="74"/>
  <c r="V41" i="66"/>
  <c r="R41" i="66"/>
  <c r="Z37" i="74"/>
  <c r="P37" i="74"/>
  <c r="AA37" i="74"/>
  <c r="P164" i="66"/>
  <c r="AF37" i="74" l="1"/>
  <c r="AH37" i="74"/>
  <c r="AF36" i="74"/>
  <c r="AH36" i="74"/>
  <c r="E39" i="77"/>
  <c r="E38" i="77"/>
  <c r="AF41" i="74"/>
  <c r="C28" i="77" s="1"/>
  <c r="C35" i="77" s="1"/>
  <c r="C38" i="77" s="1"/>
  <c r="C57" i="77"/>
  <c r="AE20" i="74"/>
  <c r="AG20" i="74"/>
  <c r="AD20" i="74"/>
  <c r="C8" i="77"/>
  <c r="R20" i="66"/>
  <c r="P20" i="74"/>
  <c r="AA20" i="74"/>
  <c r="Z20" i="74"/>
  <c r="V37" i="74"/>
  <c r="R37" i="74"/>
  <c r="V41" i="74"/>
  <c r="R41" i="74"/>
  <c r="R164" i="66"/>
  <c r="AF20" i="74" l="1"/>
  <c r="C54" i="77"/>
  <c r="R20" i="74"/>
  <c r="C11" i="77" l="1"/>
  <c r="D45" i="17" l="1"/>
  <c r="D56" i="17" s="1"/>
  <c r="E56" i="17"/>
  <c r="E55" i="17"/>
  <c r="D42" i="17"/>
  <c r="D41" i="17"/>
  <c r="D38" i="17"/>
  <c r="D39" i="17"/>
  <c r="D37" i="17"/>
  <c r="D36" i="17"/>
  <c r="E46" i="17"/>
  <c r="D55" i="17" l="1"/>
  <c r="E47" i="17" a="1"/>
  <c r="E47" i="17" s="1"/>
  <c r="I45" i="20" s="1"/>
  <c r="D32" i="17"/>
  <c r="I17" i="20" l="1"/>
  <c r="I40" i="20"/>
  <c r="R18" i="20"/>
  <c r="I46" i="20"/>
  <c r="R44" i="20"/>
  <c r="R6" i="20"/>
  <c r="R36" i="20"/>
  <c r="R13" i="20"/>
  <c r="R7" i="20"/>
  <c r="R39" i="20"/>
  <c r="I14" i="20"/>
  <c r="I44" i="20"/>
  <c r="R34" i="20"/>
  <c r="R37" i="20"/>
  <c r="R9" i="20"/>
  <c r="I10" i="20"/>
  <c r="I15" i="20"/>
  <c r="I19" i="20"/>
  <c r="I18" i="20"/>
  <c r="I34" i="20"/>
  <c r="R41" i="20"/>
  <c r="I35" i="20"/>
  <c r="R12" i="20"/>
  <c r="R38" i="20"/>
  <c r="I6" i="20"/>
  <c r="R40" i="20"/>
  <c r="I9" i="20"/>
  <c r="I13" i="20"/>
  <c r="I39" i="20"/>
  <c r="I43" i="20"/>
  <c r="R14" i="20"/>
  <c r="I11" i="20"/>
  <c r="I16" i="20"/>
  <c r="I41" i="20"/>
  <c r="R8" i="20"/>
  <c r="R15" i="20"/>
  <c r="R46" i="20"/>
  <c r="I36" i="20"/>
  <c r="I38" i="20"/>
  <c r="R19" i="20"/>
  <c r="R45" i="20"/>
  <c r="I7" i="20"/>
  <c r="R33" i="20"/>
  <c r="R11" i="20"/>
  <c r="R42" i="20"/>
  <c r="R17" i="20"/>
  <c r="R16" i="20"/>
  <c r="I33" i="20"/>
  <c r="R35" i="20"/>
  <c r="I42" i="20"/>
  <c r="R43" i="20"/>
  <c r="I12" i="20"/>
  <c r="R10" i="20"/>
  <c r="I8" i="20"/>
  <c r="I37" i="20"/>
  <c r="D47" i="17" a="1"/>
  <c r="D47" i="17" s="1"/>
  <c r="D46" i="17"/>
  <c r="I100" i="35" l="1" a="1"/>
  <c r="I100" i="35" s="1"/>
  <c r="J407" i="58" s="1"/>
  <c r="I58" i="35" a="1"/>
  <c r="I58" i="35" s="1"/>
  <c r="G30" i="18" a="1"/>
  <c r="G30" i="18" s="1"/>
  <c r="G289" i="18" a="1"/>
  <c r="G289" i="18" s="1"/>
  <c r="I132" i="35" a="1"/>
  <c r="I132" i="35" s="1"/>
  <c r="I95" i="35" a="1"/>
  <c r="I95" i="35" s="1"/>
  <c r="G283" i="18" a="1"/>
  <c r="G283" i="18" s="1"/>
  <c r="H283" i="18" s="1"/>
  <c r="G33" i="18" a="1"/>
  <c r="G33" i="18" s="1"/>
  <c r="I33" i="18" s="1"/>
  <c r="G288" i="18" a="1"/>
  <c r="G288" i="18" s="1"/>
  <c r="H288" i="18" s="1"/>
  <c r="G81" i="18" a="1"/>
  <c r="G81" i="18" s="1"/>
  <c r="I81" i="18" s="1"/>
  <c r="I14" i="35" a="1"/>
  <c r="I14" i="35" s="1"/>
  <c r="J370" i="37" s="1"/>
  <c r="I88" i="35" a="1"/>
  <c r="I88" i="35" s="1"/>
  <c r="J228" i="58" s="1"/>
  <c r="G324" i="18" a="1"/>
  <c r="G324" i="18" s="1"/>
  <c r="I324" i="18" s="1"/>
  <c r="G293" i="18" a="1"/>
  <c r="G293" i="18" s="1"/>
  <c r="H293" i="18" s="1"/>
  <c r="I137" i="35" a="1"/>
  <c r="I137" i="35" s="1"/>
  <c r="G325" i="18" a="1"/>
  <c r="G325" i="18" s="1"/>
  <c r="G328" i="18" a="1"/>
  <c r="G328" i="18" s="1"/>
  <c r="H328" i="18" s="1"/>
  <c r="G295" i="18" a="1"/>
  <c r="G295" i="18" s="1"/>
  <c r="G290" i="18" a="1"/>
  <c r="G290" i="18" s="1"/>
  <c r="I96" i="35" a="1"/>
  <c r="I96" i="35" s="1"/>
  <c r="J286" i="58" s="1"/>
  <c r="G294" i="18" a="1"/>
  <c r="G294" i="18" s="1"/>
  <c r="H294" i="18" s="1"/>
  <c r="I89" i="35" a="1"/>
  <c r="I89" i="35" s="1"/>
  <c r="J323" i="58" s="1"/>
  <c r="G292" i="18" a="1"/>
  <c r="G292" i="18" s="1"/>
  <c r="H292" i="18" s="1"/>
  <c r="I93" i="35" a="1"/>
  <c r="I93" i="35" s="1"/>
  <c r="J251" i="58" s="1"/>
  <c r="I99" i="35" a="1"/>
  <c r="I99" i="35" s="1"/>
  <c r="J389" i="58" s="1"/>
  <c r="I91" i="35" a="1"/>
  <c r="I91" i="35" s="1"/>
  <c r="J183" i="58" s="1"/>
  <c r="I3" i="35" a="1"/>
  <c r="I3" i="35" s="1"/>
  <c r="I92" i="35" a="1"/>
  <c r="I92" i="35" s="1"/>
  <c r="I47" i="20"/>
  <c r="I90" i="35" a="1"/>
  <c r="I90" i="35" s="1"/>
  <c r="I133" i="35" a="1"/>
  <c r="I133" i="35" s="1"/>
  <c r="I97" i="35" a="1"/>
  <c r="I97" i="35" s="1"/>
  <c r="J346" i="58" s="1"/>
  <c r="I136" i="35" a="1"/>
  <c r="I136" i="35" s="1"/>
  <c r="J312" i="58" s="1"/>
  <c r="I57" i="35" a="1"/>
  <c r="I57" i="35" s="1"/>
  <c r="J398" i="37" s="1"/>
  <c r="I98" i="35" a="1"/>
  <c r="I98" i="35" s="1"/>
  <c r="J370" i="58" s="1"/>
  <c r="I94" i="35" a="1"/>
  <c r="I94" i="35" s="1"/>
  <c r="J305" i="58" s="1"/>
  <c r="G282" i="18" a="1"/>
  <c r="G282" i="18" s="1"/>
  <c r="H282" i="18" s="1"/>
  <c r="I6" i="35" a="1"/>
  <c r="I6" i="35" s="1"/>
  <c r="I13" i="35" a="1"/>
  <c r="I13" i="35" s="1"/>
  <c r="I55" i="35" a="1"/>
  <c r="I55" i="35" s="1"/>
  <c r="I46" i="35" a="1"/>
  <c r="I46" i="35" s="1"/>
  <c r="J237" i="37" s="1"/>
  <c r="G37" i="18" a="1"/>
  <c r="G37" i="18" s="1"/>
  <c r="H37" i="18" s="1"/>
  <c r="G35" i="18" a="1"/>
  <c r="G35" i="18" s="1"/>
  <c r="I35" i="18" s="1"/>
  <c r="I49" i="35" a="1"/>
  <c r="I49" i="35" s="1"/>
  <c r="J187" i="37" s="1"/>
  <c r="G327" i="18" a="1"/>
  <c r="G327" i="18" s="1"/>
  <c r="H327" i="18" s="1"/>
  <c r="I138" i="35" a="1"/>
  <c r="I138" i="35" s="1"/>
  <c r="J295" i="58" s="1"/>
  <c r="I20" i="20"/>
  <c r="G291" i="18" a="1"/>
  <c r="G291" i="18" s="1"/>
  <c r="I291" i="18" s="1"/>
  <c r="G286" i="18" a="1"/>
  <c r="G286" i="18" s="1"/>
  <c r="I286" i="18" s="1"/>
  <c r="G43" i="18" a="1"/>
  <c r="G43" i="18" s="1"/>
  <c r="H43" i="18" s="1"/>
  <c r="G72" i="18" a="1"/>
  <c r="G72" i="18" s="1"/>
  <c r="H72" i="18" s="1"/>
  <c r="G85" i="18" a="1"/>
  <c r="G85" i="18" s="1"/>
  <c r="G39" i="18" a="1"/>
  <c r="G39" i="18" s="1"/>
  <c r="H39" i="18" s="1"/>
  <c r="I87" i="35" a="1"/>
  <c r="I87" i="35" s="1"/>
  <c r="G284" i="18" a="1"/>
  <c r="G284" i="18" s="1"/>
  <c r="H284" i="18" s="1"/>
  <c r="G285" i="18" a="1"/>
  <c r="G285" i="18" s="1"/>
  <c r="I285" i="18" s="1"/>
  <c r="I50" i="35" a="1"/>
  <c r="I50" i="35" s="1"/>
  <c r="J200" i="37" s="1"/>
  <c r="I53" i="35" a="1"/>
  <c r="I53" i="35" s="1"/>
  <c r="J277" i="37" s="1"/>
  <c r="G287" i="18" a="1"/>
  <c r="G287" i="18" s="1"/>
  <c r="I287" i="18" s="1"/>
  <c r="I12" i="35" a="1"/>
  <c r="I12" i="35" s="1"/>
  <c r="J286" i="37" s="1"/>
  <c r="G84" i="18" a="1"/>
  <c r="G84" i="18" s="1"/>
  <c r="H84" i="18" s="1"/>
  <c r="G75" i="18" a="1"/>
  <c r="G75" i="18" s="1"/>
  <c r="H75" i="18" s="1"/>
  <c r="I5" i="35" a="1"/>
  <c r="I5" i="35" s="1"/>
  <c r="I9" i="35" a="1"/>
  <c r="I9" i="35" s="1"/>
  <c r="I48" i="35" a="1"/>
  <c r="I48" i="35" s="1"/>
  <c r="J216" i="37" s="1"/>
  <c r="I51" i="35" a="1"/>
  <c r="I51" i="35" s="1"/>
  <c r="G80" i="18" a="1"/>
  <c r="G80" i="18" s="1"/>
  <c r="I15" i="35" a="1"/>
  <c r="I15" i="35" s="1"/>
  <c r="J387" i="37" s="1"/>
  <c r="G76" i="18" a="1"/>
  <c r="G76" i="18" s="1"/>
  <c r="H76" i="18" s="1"/>
  <c r="G334" i="18" a="1"/>
  <c r="G334" i="18" s="1"/>
  <c r="I334" i="18" s="1"/>
  <c r="G40" i="18" a="1"/>
  <c r="G40" i="18" s="1"/>
  <c r="H40" i="18" s="1"/>
  <c r="G32" i="18" a="1"/>
  <c r="G32" i="18" s="1"/>
  <c r="H32" i="18" s="1"/>
  <c r="R20" i="20"/>
  <c r="G336" i="18" a="1"/>
  <c r="G336" i="18" s="1"/>
  <c r="I336" i="18" s="1"/>
  <c r="G42" i="18" a="1"/>
  <c r="G42" i="18" s="1"/>
  <c r="G333" i="18" a="1"/>
  <c r="G333" i="18" s="1"/>
  <c r="H333" i="18" s="1"/>
  <c r="I7" i="35" a="1"/>
  <c r="I7" i="35" s="1"/>
  <c r="I8" i="35" a="1"/>
  <c r="I8" i="35" s="1"/>
  <c r="J189" i="37" s="1"/>
  <c r="G41" i="18" a="1"/>
  <c r="G41" i="18" s="1"/>
  <c r="H41" i="18" s="1"/>
  <c r="G73" i="18" a="1"/>
  <c r="G73" i="18" s="1"/>
  <c r="I73" i="18" s="1"/>
  <c r="G34" i="18" a="1"/>
  <c r="G34" i="18" s="1"/>
  <c r="H34" i="18" s="1"/>
  <c r="G79" i="18" a="1"/>
  <c r="G79" i="18" s="1"/>
  <c r="H79" i="18" s="1"/>
  <c r="G36" i="18" a="1"/>
  <c r="G36" i="18" s="1"/>
  <c r="H36" i="18" s="1"/>
  <c r="G83" i="18" a="1"/>
  <c r="G83" i="18" s="1"/>
  <c r="H83" i="18" s="1"/>
  <c r="I140" i="35" a="1"/>
  <c r="I140" i="35" s="1"/>
  <c r="J380" i="58" s="1"/>
  <c r="G335" i="18" a="1"/>
  <c r="G335" i="18" s="1"/>
  <c r="H335" i="18" s="1"/>
  <c r="G330" i="18" a="1"/>
  <c r="G330" i="18" s="1"/>
  <c r="G38" i="18" a="1"/>
  <c r="G38" i="18" s="1"/>
  <c r="I10" i="35" a="1"/>
  <c r="I10" i="35" s="1"/>
  <c r="J304" i="37" s="1"/>
  <c r="I52" i="35" a="1"/>
  <c r="I52" i="35" s="1"/>
  <c r="I47" i="35" a="1"/>
  <c r="I47" i="35" s="1"/>
  <c r="R47" i="20"/>
  <c r="G329" i="18" a="1"/>
  <c r="G329" i="18" s="1"/>
  <c r="H329" i="18" s="1"/>
  <c r="I139" i="35" a="1"/>
  <c r="I139" i="35" s="1"/>
  <c r="J359" i="58" s="1"/>
  <c r="G332" i="18" a="1"/>
  <c r="G332" i="18" s="1"/>
  <c r="H332" i="18" s="1"/>
  <c r="I141" i="35" a="1"/>
  <c r="I141" i="35" s="1"/>
  <c r="J397" i="58" s="1"/>
  <c r="G31" i="18" a="1"/>
  <c r="G31" i="18" s="1"/>
  <c r="H31" i="18" s="1"/>
  <c r="I16" i="35" a="1"/>
  <c r="I16" i="35" s="1"/>
  <c r="J407" i="37" s="1"/>
  <c r="I56" i="35" a="1"/>
  <c r="I56" i="35" s="1"/>
  <c r="I45" i="35" a="1"/>
  <c r="I45" i="35" s="1"/>
  <c r="G331" i="18" a="1"/>
  <c r="G331" i="18" s="1"/>
  <c r="I331" i="18" s="1"/>
  <c r="I130" i="35" a="1"/>
  <c r="I130" i="35" s="1"/>
  <c r="I142" i="35" a="1"/>
  <c r="I142" i="35" s="1"/>
  <c r="J415" i="58" s="1"/>
  <c r="G78" i="18" a="1"/>
  <c r="G78" i="18" s="1"/>
  <c r="I78" i="18" s="1"/>
  <c r="G337" i="18" a="1"/>
  <c r="G337" i="18" s="1"/>
  <c r="H337" i="18" s="1"/>
  <c r="I131" i="35" a="1"/>
  <c r="I131" i="35" s="1"/>
  <c r="J333" i="58" s="1"/>
  <c r="I135" i="35" a="1"/>
  <c r="I135" i="35" s="1"/>
  <c r="J258" i="58" s="1"/>
  <c r="I4" i="35" a="1"/>
  <c r="I4" i="35" s="1"/>
  <c r="I11" i="35" a="1"/>
  <c r="I11" i="35" s="1"/>
  <c r="J269" i="37" s="1"/>
  <c r="G77" i="18" a="1"/>
  <c r="G77" i="18" s="1"/>
  <c r="I77" i="18" s="1"/>
  <c r="I54" i="35" a="1"/>
  <c r="I54" i="35" s="1"/>
  <c r="J296" i="37" s="1"/>
  <c r="G326" i="18" a="1"/>
  <c r="G326" i="18" s="1"/>
  <c r="H326" i="18" s="1"/>
  <c r="I134" i="35" a="1"/>
  <c r="I134" i="35" s="1"/>
  <c r="J200" i="58" s="1"/>
  <c r="G74" i="18" a="1"/>
  <c r="G74" i="18" s="1"/>
  <c r="G82" i="18" a="1"/>
  <c r="G82" i="18" s="1"/>
  <c r="I82" i="18" s="1"/>
  <c r="I129" i="35" a="1"/>
  <c r="I129" i="35" s="1"/>
  <c r="J155" i="58" s="1"/>
  <c r="J269" i="58"/>
  <c r="J268" i="58"/>
  <c r="J267" i="58"/>
  <c r="J190" i="37"/>
  <c r="J191" i="37"/>
  <c r="J294" i="37"/>
  <c r="J295" i="37"/>
  <c r="J405" i="58"/>
  <c r="H30" i="18"/>
  <c r="I30" i="18"/>
  <c r="H35" i="18"/>
  <c r="H295" i="18"/>
  <c r="I295" i="18"/>
  <c r="J358" i="37"/>
  <c r="J357" i="37"/>
  <c r="J360" i="37"/>
  <c r="J359" i="37"/>
  <c r="J258" i="37"/>
  <c r="J259" i="37"/>
  <c r="J260" i="37"/>
  <c r="J208" i="58"/>
  <c r="J209" i="58"/>
  <c r="J207" i="58"/>
  <c r="J415" i="37"/>
  <c r="J416" i="37"/>
  <c r="J414" i="37"/>
  <c r="J216" i="58"/>
  <c r="J218" i="58"/>
  <c r="J217" i="58"/>
  <c r="J191" i="58"/>
  <c r="J190" i="58"/>
  <c r="J189" i="58"/>
  <c r="J278" i="58"/>
  <c r="J277" i="58"/>
  <c r="J276" i="58"/>
  <c r="H289" i="18"/>
  <c r="I289" i="18"/>
  <c r="I283" i="18"/>
  <c r="I42" i="18"/>
  <c r="H42" i="18"/>
  <c r="J240" i="37"/>
  <c r="J144" i="58"/>
  <c r="J143" i="58"/>
  <c r="J141" i="58"/>
  <c r="J142" i="58"/>
  <c r="J322" i="37"/>
  <c r="J323" i="37"/>
  <c r="J324" i="37"/>
  <c r="J321" i="37"/>
  <c r="H74" i="18"/>
  <c r="I74" i="18"/>
  <c r="H82" i="18"/>
  <c r="H330" i="18"/>
  <c r="I330" i="18"/>
  <c r="J144" i="37"/>
  <c r="J142" i="37"/>
  <c r="J143" i="37"/>
  <c r="J141" i="37"/>
  <c r="J188" i="37"/>
  <c r="J186" i="37"/>
  <c r="I80" i="18"/>
  <c r="H80" i="18"/>
  <c r="J285" i="58"/>
  <c r="J287" i="58"/>
  <c r="I38" i="18"/>
  <c r="H38" i="18"/>
  <c r="J305" i="37"/>
  <c r="J312" i="37"/>
  <c r="J313" i="37"/>
  <c r="J314" i="37"/>
  <c r="J334" i="37"/>
  <c r="J336" i="37"/>
  <c r="J335" i="37"/>
  <c r="J333" i="37"/>
  <c r="O6" i="20"/>
  <c r="F19" i="20"/>
  <c r="O7" i="20"/>
  <c r="O9" i="20"/>
  <c r="F39" i="20"/>
  <c r="O38" i="20"/>
  <c r="O35" i="20"/>
  <c r="O15" i="20"/>
  <c r="F17" i="20"/>
  <c r="O40" i="20"/>
  <c r="O43" i="20"/>
  <c r="F10" i="20"/>
  <c r="O17" i="20"/>
  <c r="F45" i="20"/>
  <c r="O11" i="20"/>
  <c r="F18" i="20"/>
  <c r="O10" i="20"/>
  <c r="F16" i="20"/>
  <c r="O18" i="20"/>
  <c r="O14" i="20"/>
  <c r="F8" i="20"/>
  <c r="O33" i="20"/>
  <c r="F6" i="20"/>
  <c r="O37" i="20"/>
  <c r="O41" i="20"/>
  <c r="O45" i="20"/>
  <c r="O44" i="20"/>
  <c r="F40" i="20"/>
  <c r="O16" i="20"/>
  <c r="F38" i="20"/>
  <c r="F12" i="20"/>
  <c r="O8" i="20"/>
  <c r="F41" i="20"/>
  <c r="F7" i="20"/>
  <c r="F15" i="20"/>
  <c r="O12" i="20"/>
  <c r="O13" i="20"/>
  <c r="F14" i="20"/>
  <c r="F35" i="20"/>
  <c r="O46" i="20"/>
  <c r="F44" i="20"/>
  <c r="F34" i="20"/>
  <c r="O42" i="20"/>
  <c r="O39" i="20"/>
  <c r="F11" i="20"/>
  <c r="F36" i="20"/>
  <c r="F37" i="20"/>
  <c r="F43" i="20"/>
  <c r="O19" i="20"/>
  <c r="F13" i="20"/>
  <c r="F42" i="20"/>
  <c r="F33" i="20"/>
  <c r="O36" i="20"/>
  <c r="O34" i="20"/>
  <c r="F46" i="20"/>
  <c r="F9" i="20"/>
  <c r="J347" i="37"/>
  <c r="J348" i="37"/>
  <c r="J345" i="37"/>
  <c r="J346" i="37"/>
  <c r="I85" i="18"/>
  <c r="H85" i="18"/>
  <c r="J165" i="58"/>
  <c r="J250" i="37"/>
  <c r="J251" i="37"/>
  <c r="J249" i="37"/>
  <c r="H33" i="18"/>
  <c r="J176" i="58"/>
  <c r="J187" i="58"/>
  <c r="J186" i="58"/>
  <c r="J188" i="58"/>
  <c r="J175" i="58"/>
  <c r="J174" i="58"/>
  <c r="H325" i="18"/>
  <c r="I325" i="18"/>
  <c r="J185" i="37"/>
  <c r="J405" i="37"/>
  <c r="J378" i="37"/>
  <c r="J379" i="37"/>
  <c r="J380" i="37"/>
  <c r="J154" i="37"/>
  <c r="J153" i="37"/>
  <c r="J156" i="37"/>
  <c r="J155" i="37"/>
  <c r="J239" i="58"/>
  <c r="J237" i="58"/>
  <c r="J238" i="58"/>
  <c r="J240" i="58"/>
  <c r="J414" i="58"/>
  <c r="J416" i="58"/>
  <c r="I290" i="18"/>
  <c r="H290" i="18"/>
  <c r="J388" i="37"/>
  <c r="J389" i="37"/>
  <c r="I337" i="18"/>
  <c r="I333" i="18" l="1"/>
  <c r="J269" i="41"/>
  <c r="J296" i="58"/>
  <c r="J296" i="41" s="1"/>
  <c r="I284" i="18"/>
  <c r="I41" i="18"/>
  <c r="I326" i="18"/>
  <c r="J406" i="58"/>
  <c r="H286" i="18"/>
  <c r="I84" i="18"/>
  <c r="J84" i="18" s="1"/>
  <c r="I31" i="18"/>
  <c r="H324" i="18"/>
  <c r="J267" i="37"/>
  <c r="J267" i="41" s="1"/>
  <c r="J387" i="58"/>
  <c r="J387" i="41" s="1"/>
  <c r="J268" i="37"/>
  <c r="J268" i="41" s="1"/>
  <c r="J388" i="58"/>
  <c r="J388" i="41" s="1"/>
  <c r="J379" i="58"/>
  <c r="J379" i="41" s="1"/>
  <c r="I282" i="18"/>
  <c r="F282" i="18" s="1"/>
  <c r="J405" i="41"/>
  <c r="J378" i="58"/>
  <c r="J226" i="37"/>
  <c r="H23" i="77"/>
  <c r="H334" i="18"/>
  <c r="H30" i="77"/>
  <c r="J166" i="37"/>
  <c r="H27" i="77"/>
  <c r="H34" i="77"/>
  <c r="H28" i="77"/>
  <c r="H31" i="77"/>
  <c r="J209" i="37"/>
  <c r="J209" i="41" s="1"/>
  <c r="H26" i="77"/>
  <c r="H25" i="77"/>
  <c r="I34" i="18"/>
  <c r="J347" i="58"/>
  <c r="J347" i="41" s="1"/>
  <c r="J175" i="37"/>
  <c r="J175" i="41" s="1"/>
  <c r="I288" i="18"/>
  <c r="J288" i="18" s="1"/>
  <c r="I294" i="18"/>
  <c r="F294" i="18" s="1"/>
  <c r="I76" i="18"/>
  <c r="J76" i="18" s="1"/>
  <c r="J174" i="37"/>
  <c r="J174" i="41" s="1"/>
  <c r="J314" i="58"/>
  <c r="J314" i="41" s="1"/>
  <c r="J313" i="58"/>
  <c r="J313" i="41" s="1"/>
  <c r="J346" i="41"/>
  <c r="I329" i="18"/>
  <c r="J329" i="18" s="1"/>
  <c r="J198" i="37"/>
  <c r="D33" i="57" s="1"/>
  <c r="J199" i="37"/>
  <c r="J348" i="58"/>
  <c r="J348" i="41" s="1"/>
  <c r="I327" i="18"/>
  <c r="J345" i="58"/>
  <c r="J345" i="41" s="1"/>
  <c r="J335" i="58"/>
  <c r="J335" i="41" s="1"/>
  <c r="J336" i="58"/>
  <c r="J336" i="41" s="1"/>
  <c r="J278" i="37"/>
  <c r="J278" i="41" s="1"/>
  <c r="J334" i="58"/>
  <c r="J334" i="41" s="1"/>
  <c r="J360" i="58"/>
  <c r="J360" i="41" s="1"/>
  <c r="J396" i="37"/>
  <c r="G131" i="66" s="1"/>
  <c r="J397" i="37"/>
  <c r="J397" i="41" s="1"/>
  <c r="J294" i="58"/>
  <c r="J294" i="41" s="1"/>
  <c r="I72" i="18"/>
  <c r="H285" i="18"/>
  <c r="J285" i="18" s="1"/>
  <c r="J154" i="58"/>
  <c r="J154" i="41" s="1"/>
  <c r="J156" i="58"/>
  <c r="J156" i="41" s="1"/>
  <c r="J153" i="58"/>
  <c r="J153" i="41" s="1"/>
  <c r="J371" i="58"/>
  <c r="J369" i="58"/>
  <c r="G264" i="66" s="1"/>
  <c r="O264" i="66" s="1"/>
  <c r="J378" i="41"/>
  <c r="I292" i="18"/>
  <c r="J292" i="18" s="1"/>
  <c r="J277" i="41"/>
  <c r="I79" i="18"/>
  <c r="J79" i="18" s="1"/>
  <c r="J321" i="58"/>
  <c r="J321" i="41" s="1"/>
  <c r="J371" i="37"/>
  <c r="J322" i="58"/>
  <c r="J322" i="41" s="1"/>
  <c r="I40" i="18"/>
  <c r="J40" i="18" s="1"/>
  <c r="J369" i="37"/>
  <c r="I36" i="18"/>
  <c r="F36" i="18" s="1"/>
  <c r="J324" i="58"/>
  <c r="J324" i="41" s="1"/>
  <c r="H287" i="18"/>
  <c r="J287" i="18" s="1"/>
  <c r="I332" i="18"/>
  <c r="F332" i="18" s="1"/>
  <c r="J260" i="58"/>
  <c r="J260" i="41" s="1"/>
  <c r="J276" i="37"/>
  <c r="J276" i="41" s="1"/>
  <c r="J357" i="58"/>
  <c r="J357" i="41" s="1"/>
  <c r="J259" i="58"/>
  <c r="J259" i="41" s="1"/>
  <c r="J358" i="58"/>
  <c r="J358" i="41" s="1"/>
  <c r="H81" i="18"/>
  <c r="J81" i="18" s="1"/>
  <c r="H291" i="18"/>
  <c r="J291" i="18" s="1"/>
  <c r="J398" i="58"/>
  <c r="J398" i="41" s="1"/>
  <c r="I37" i="18"/>
  <c r="F37" i="18" s="1"/>
  <c r="J285" i="37"/>
  <c r="J285" i="41" s="1"/>
  <c r="J396" i="58"/>
  <c r="J287" i="37"/>
  <c r="J287" i="41" s="1"/>
  <c r="J380" i="41"/>
  <c r="J225" i="58"/>
  <c r="D68" i="57" s="1"/>
  <c r="J208" i="37"/>
  <c r="J208" i="41" s="1"/>
  <c r="J286" i="41"/>
  <c r="J226" i="58"/>
  <c r="J226" i="41" s="1"/>
  <c r="J227" i="58"/>
  <c r="I32" i="18"/>
  <c r="F32" i="18" s="1"/>
  <c r="J303" i="58"/>
  <c r="G270" i="66" s="1"/>
  <c r="J249" i="58"/>
  <c r="J249" i="41" s="1"/>
  <c r="J304" i="58"/>
  <c r="J304" i="41" s="1"/>
  <c r="J323" i="41"/>
  <c r="J250" i="58"/>
  <c r="J250" i="41" s="1"/>
  <c r="I83" i="18"/>
  <c r="F83" i="18" s="1"/>
  <c r="J251" i="41"/>
  <c r="J225" i="37"/>
  <c r="J227" i="37"/>
  <c r="J228" i="37"/>
  <c r="J228" i="41" s="1"/>
  <c r="J312" i="41"/>
  <c r="J305" i="41"/>
  <c r="J407" i="41"/>
  <c r="J406" i="37"/>
  <c r="J406" i="41" s="1"/>
  <c r="J185" i="58"/>
  <c r="J185" i="41" s="1"/>
  <c r="J167" i="58"/>
  <c r="J207" i="37"/>
  <c r="J207" i="41" s="1"/>
  <c r="J184" i="58"/>
  <c r="H77" i="18"/>
  <c r="J166" i="58"/>
  <c r="I43" i="18"/>
  <c r="J43" i="18" s="1"/>
  <c r="I75" i="18"/>
  <c r="F75" i="18" s="1"/>
  <c r="H336" i="18"/>
  <c r="J336" i="18" s="1"/>
  <c r="I335" i="18"/>
  <c r="F335" i="18" s="1"/>
  <c r="J216" i="41"/>
  <c r="I328" i="18"/>
  <c r="F328" i="18" s="1"/>
  <c r="H331" i="18"/>
  <c r="J331" i="18" s="1"/>
  <c r="J200" i="41"/>
  <c r="I39" i="18"/>
  <c r="F39" i="18" s="1"/>
  <c r="J165" i="37"/>
  <c r="J165" i="41" s="1"/>
  <c r="J198" i="58"/>
  <c r="D72" i="57" s="1"/>
  <c r="J199" i="58"/>
  <c r="J199" i="41" s="1"/>
  <c r="I293" i="18"/>
  <c r="F293" i="18" s="1"/>
  <c r="J217" i="37"/>
  <c r="J217" i="41" s="1"/>
  <c r="J218" i="37"/>
  <c r="J218" i="41" s="1"/>
  <c r="J239" i="37"/>
  <c r="J239" i="41" s="1"/>
  <c r="J183" i="37"/>
  <c r="J183" i="41" s="1"/>
  <c r="J184" i="37"/>
  <c r="J167" i="37"/>
  <c r="J303" i="37"/>
  <c r="D35" i="57" s="1"/>
  <c r="J238" i="37"/>
  <c r="E26" i="53" s="1"/>
  <c r="H73" i="18"/>
  <c r="J155" i="41"/>
  <c r="J176" i="37"/>
  <c r="J176" i="41" s="1"/>
  <c r="J389" i="41"/>
  <c r="H78" i="18"/>
  <c r="J78" i="18" s="1"/>
  <c r="F331" i="18"/>
  <c r="F325" i="18"/>
  <c r="J325" i="18"/>
  <c r="F33" i="18"/>
  <c r="J33" i="18"/>
  <c r="D38" i="57"/>
  <c r="G110" i="66"/>
  <c r="J186" i="41"/>
  <c r="D28" i="57"/>
  <c r="J141" i="41"/>
  <c r="G122" i="66"/>
  <c r="F291" i="18"/>
  <c r="J414" i="41"/>
  <c r="J327" i="18"/>
  <c r="F327" i="18"/>
  <c r="F30" i="18"/>
  <c r="J30" i="18"/>
  <c r="J189" i="41"/>
  <c r="O3" i="37"/>
  <c r="D34" i="57"/>
  <c r="G138" i="66"/>
  <c r="G64" i="18" a="1"/>
  <c r="G64" i="18" s="1"/>
  <c r="G60" i="18" a="1"/>
  <c r="G60" i="18" s="1"/>
  <c r="G66" i="18" a="1"/>
  <c r="G66" i="18" s="1"/>
  <c r="H54" i="35" a="1"/>
  <c r="H54" i="35" s="1"/>
  <c r="G71" i="18" a="1"/>
  <c r="G71" i="18" s="1"/>
  <c r="H56" i="35" a="1"/>
  <c r="H56" i="35" s="1"/>
  <c r="H53" i="35" a="1"/>
  <c r="H53" i="35" s="1"/>
  <c r="G65" i="18" a="1"/>
  <c r="G65" i="18" s="1"/>
  <c r="G58" i="18" a="1"/>
  <c r="G58" i="18" s="1"/>
  <c r="H52" i="35" a="1"/>
  <c r="H52" i="35" s="1"/>
  <c r="G67" i="18" a="1"/>
  <c r="G67" i="18" s="1"/>
  <c r="H51" i="35" a="1"/>
  <c r="H51" i="35" s="1"/>
  <c r="G62" i="18" a="1"/>
  <c r="G62" i="18" s="1"/>
  <c r="G63" i="18" a="1"/>
  <c r="G63" i="18" s="1"/>
  <c r="G69" i="18" a="1"/>
  <c r="G69" i="18" s="1"/>
  <c r="H46" i="35" a="1"/>
  <c r="H46" i="35" s="1"/>
  <c r="H47" i="35" a="1"/>
  <c r="H47" i="35" s="1"/>
  <c r="G70" i="18" a="1"/>
  <c r="G70" i="18" s="1"/>
  <c r="O20" i="20"/>
  <c r="H58" i="35" a="1"/>
  <c r="H58" i="35" s="1"/>
  <c r="G68" i="18" a="1"/>
  <c r="G68" i="18" s="1"/>
  <c r="H57" i="35" a="1"/>
  <c r="H57" i="35" s="1"/>
  <c r="G59" i="18" a="1"/>
  <c r="G59" i="18" s="1"/>
  <c r="H48" i="35" a="1"/>
  <c r="H48" i="35" s="1"/>
  <c r="G61" i="18" a="1"/>
  <c r="G61" i="18" s="1"/>
  <c r="H55" i="35" a="1"/>
  <c r="H55" i="35" s="1"/>
  <c r="H50" i="35" a="1"/>
  <c r="H50" i="35" s="1"/>
  <c r="H45" i="35" a="1"/>
  <c r="H45" i="35" s="1"/>
  <c r="H49" i="35" a="1"/>
  <c r="H49" i="35" s="1"/>
  <c r="J143" i="41"/>
  <c r="F285" i="18"/>
  <c r="J42" i="18"/>
  <c r="F42" i="18"/>
  <c r="J416" i="41"/>
  <c r="J72" i="18"/>
  <c r="F72" i="18"/>
  <c r="J295" i="41"/>
  <c r="J191" i="41"/>
  <c r="J142" i="41"/>
  <c r="J284" i="18"/>
  <c r="F284" i="18"/>
  <c r="F286" i="18"/>
  <c r="J286" i="18"/>
  <c r="J415" i="41"/>
  <c r="J190" i="41"/>
  <c r="G17" i="18" a="1"/>
  <c r="G17" i="18" s="1"/>
  <c r="G20" i="18" a="1"/>
  <c r="G20" i="18" s="1"/>
  <c r="G29" i="18" a="1"/>
  <c r="G29" i="18" s="1"/>
  <c r="G18" i="18" a="1"/>
  <c r="G18" i="18" s="1"/>
  <c r="H14" i="35" a="1"/>
  <c r="H14" i="35" s="1"/>
  <c r="H16" i="35" a="1"/>
  <c r="H16" i="35" s="1"/>
  <c r="G16" i="18" a="1"/>
  <c r="G16" i="18" s="1"/>
  <c r="H8" i="35" a="1"/>
  <c r="H8" i="35" s="1"/>
  <c r="G28" i="18" a="1"/>
  <c r="G28" i="18" s="1"/>
  <c r="H4" i="35" a="1"/>
  <c r="H4" i="35" s="1"/>
  <c r="H10" i="35" a="1"/>
  <c r="H10" i="35" s="1"/>
  <c r="H15" i="35" a="1"/>
  <c r="H15" i="35" s="1"/>
  <c r="H12" i="35" a="1"/>
  <c r="H12" i="35" s="1"/>
  <c r="H7" i="35" a="1"/>
  <c r="H7" i="35" s="1"/>
  <c r="G25" i="18" a="1"/>
  <c r="G25" i="18" s="1"/>
  <c r="G27" i="18" a="1"/>
  <c r="G27" i="18" s="1"/>
  <c r="H5" i="35" a="1"/>
  <c r="H5" i="35" s="1"/>
  <c r="G26" i="18" a="1"/>
  <c r="G26" i="18" s="1"/>
  <c r="G19" i="18" a="1"/>
  <c r="G19" i="18" s="1"/>
  <c r="G23" i="18" a="1"/>
  <c r="G23" i="18" s="1"/>
  <c r="F20" i="20"/>
  <c r="H11" i="35" a="1"/>
  <c r="H11" i="35" s="1"/>
  <c r="G24" i="18" a="1"/>
  <c r="G24" i="18" s="1"/>
  <c r="G22" i="18" a="1"/>
  <c r="G22" i="18" s="1"/>
  <c r="H3" i="35" a="1"/>
  <c r="H3" i="35" s="1"/>
  <c r="H13" i="35" a="1"/>
  <c r="H13" i="35" s="1"/>
  <c r="H6" i="35" a="1"/>
  <c r="H6" i="35" s="1"/>
  <c r="G21" i="18" a="1"/>
  <c r="G21" i="18" s="1"/>
  <c r="H9" i="35" a="1"/>
  <c r="H9" i="35" s="1"/>
  <c r="F287" i="18"/>
  <c r="J144" i="41"/>
  <c r="F82" i="18"/>
  <c r="J82" i="18"/>
  <c r="J41" i="18"/>
  <c r="F41" i="18"/>
  <c r="J282" i="18"/>
  <c r="F337" i="18"/>
  <c r="J337" i="18"/>
  <c r="H133" i="35" a="1"/>
  <c r="H133" i="35" s="1"/>
  <c r="G317" i="18" a="1"/>
  <c r="G317" i="18" s="1"/>
  <c r="H132" i="35" a="1"/>
  <c r="H132" i="35" s="1"/>
  <c r="G313" i="18" a="1"/>
  <c r="G313" i="18" s="1"/>
  <c r="G320" i="18" a="1"/>
  <c r="G320" i="18" s="1"/>
  <c r="G322" i="18" a="1"/>
  <c r="G322" i="18" s="1"/>
  <c r="H140" i="35" a="1"/>
  <c r="H140" i="35" s="1"/>
  <c r="G318" i="18" a="1"/>
  <c r="G318" i="18" s="1"/>
  <c r="G311" i="18" a="1"/>
  <c r="G311" i="18" s="1"/>
  <c r="H129" i="35" a="1"/>
  <c r="H129" i="35" s="1"/>
  <c r="H138" i="35" a="1"/>
  <c r="H138" i="35" s="1"/>
  <c r="H134" i="35" a="1"/>
  <c r="H134" i="35" s="1"/>
  <c r="H141" i="35" a="1"/>
  <c r="H141" i="35" s="1"/>
  <c r="H136" i="35" a="1"/>
  <c r="H136" i="35" s="1"/>
  <c r="G316" i="18" a="1"/>
  <c r="G316" i="18" s="1"/>
  <c r="H130" i="35" a="1"/>
  <c r="H130" i="35" s="1"/>
  <c r="G321" i="18" a="1"/>
  <c r="G321" i="18" s="1"/>
  <c r="H142" i="35" a="1"/>
  <c r="H142" i="35" s="1"/>
  <c r="G310" i="18" a="1"/>
  <c r="G310" i="18" s="1"/>
  <c r="H139" i="35" a="1"/>
  <c r="H139" i="35" s="1"/>
  <c r="G323" i="18" a="1"/>
  <c r="G323" i="18" s="1"/>
  <c r="G315" i="18" a="1"/>
  <c r="G315" i="18" s="1"/>
  <c r="O47" i="20"/>
  <c r="G319" i="18" a="1"/>
  <c r="G319" i="18" s="1"/>
  <c r="H135" i="35" a="1"/>
  <c r="H135" i="35" s="1"/>
  <c r="G312" i="18" a="1"/>
  <c r="G312" i="18" s="1"/>
  <c r="G314" i="18" a="1"/>
  <c r="G314" i="18" s="1"/>
  <c r="H137" i="35" a="1"/>
  <c r="H137" i="35" s="1"/>
  <c r="H131" i="35" a="1"/>
  <c r="H131" i="35" s="1"/>
  <c r="J187" i="41"/>
  <c r="J74" i="18"/>
  <c r="F74" i="18"/>
  <c r="J283" i="18"/>
  <c r="F283" i="18"/>
  <c r="J77" i="18"/>
  <c r="F77" i="18"/>
  <c r="F336" i="18"/>
  <c r="J188" i="41"/>
  <c r="J324" i="18"/>
  <c r="F324" i="18"/>
  <c r="F334" i="18"/>
  <c r="J334" i="18"/>
  <c r="F289" i="18"/>
  <c r="J289" i="18"/>
  <c r="F333" i="18"/>
  <c r="J333" i="18"/>
  <c r="J290" i="18"/>
  <c r="F290" i="18"/>
  <c r="F34" i="18"/>
  <c r="J34" i="18"/>
  <c r="F81" i="18"/>
  <c r="G255" i="66"/>
  <c r="O255" i="66" s="1"/>
  <c r="D75" i="57"/>
  <c r="F85" i="18"/>
  <c r="J85" i="18"/>
  <c r="J330" i="18"/>
  <c r="F330" i="18"/>
  <c r="J493" i="37"/>
  <c r="G135" i="66"/>
  <c r="D30" i="57"/>
  <c r="E394" i="38"/>
  <c r="N135" i="66" s="1"/>
  <c r="J494" i="37"/>
  <c r="D70" i="57"/>
  <c r="G257" i="66"/>
  <c r="J258" i="41"/>
  <c r="J38" i="18"/>
  <c r="F38" i="18"/>
  <c r="F84" i="18"/>
  <c r="J359" i="41"/>
  <c r="J35" i="18"/>
  <c r="F35" i="18"/>
  <c r="F78" i="18"/>
  <c r="H92" i="35" a="1"/>
  <c r="H92" i="35" s="1"/>
  <c r="H97" i="35" a="1"/>
  <c r="H97" i="35" s="1"/>
  <c r="H100" i="35" a="1"/>
  <c r="H100" i="35" s="1"/>
  <c r="H95" i="35" a="1"/>
  <c r="H95" i="35" s="1"/>
  <c r="G271" i="18" a="1"/>
  <c r="G271" i="18" s="1"/>
  <c r="G281" i="18" a="1"/>
  <c r="G281" i="18" s="1"/>
  <c r="G273" i="18" a="1"/>
  <c r="G273" i="18" s="1"/>
  <c r="G276" i="18" a="1"/>
  <c r="G276" i="18" s="1"/>
  <c r="H96" i="35" a="1"/>
  <c r="H96" i="35" s="1"/>
  <c r="G280" i="18" a="1"/>
  <c r="G280" i="18" s="1"/>
  <c r="H98" i="35" a="1"/>
  <c r="H98" i="35" s="1"/>
  <c r="G270" i="18" a="1"/>
  <c r="G270" i="18" s="1"/>
  <c r="G269" i="18" a="1"/>
  <c r="G269" i="18" s="1"/>
  <c r="G279" i="18" a="1"/>
  <c r="G279" i="18" s="1"/>
  <c r="H87" i="35" a="1"/>
  <c r="H87" i="35" s="1"/>
  <c r="H88" i="35" a="1"/>
  <c r="H88" i="35" s="1"/>
  <c r="G274" i="18" a="1"/>
  <c r="G274" i="18" s="1"/>
  <c r="G272" i="18" a="1"/>
  <c r="G272" i="18" s="1"/>
  <c r="H91" i="35" a="1"/>
  <c r="H91" i="35" s="1"/>
  <c r="H93" i="35" a="1"/>
  <c r="H93" i="35" s="1"/>
  <c r="H99" i="35" a="1"/>
  <c r="H99" i="35" s="1"/>
  <c r="G275" i="18" a="1"/>
  <c r="G275" i="18" s="1"/>
  <c r="F47" i="20"/>
  <c r="G277" i="18" a="1"/>
  <c r="G277" i="18" s="1"/>
  <c r="H89" i="35" a="1"/>
  <c r="H89" i="35" s="1"/>
  <c r="H90" i="35" a="1"/>
  <c r="H90" i="35" s="1"/>
  <c r="H94" i="35" a="1"/>
  <c r="H94" i="35" s="1"/>
  <c r="G278" i="18" a="1"/>
  <c r="G278" i="18" s="1"/>
  <c r="G268" i="18" a="1"/>
  <c r="G268" i="18" s="1"/>
  <c r="J333" i="41"/>
  <c r="J237" i="41"/>
  <c r="J73" i="18"/>
  <c r="F73" i="18"/>
  <c r="F295" i="18"/>
  <c r="J295" i="18"/>
  <c r="J32" i="18"/>
  <c r="J31" i="18"/>
  <c r="F31" i="18"/>
  <c r="D71" i="57"/>
  <c r="G259" i="66"/>
  <c r="O259" i="66" s="1"/>
  <c r="F80" i="18"/>
  <c r="J80" i="18"/>
  <c r="J370" i="41"/>
  <c r="J240" i="41"/>
  <c r="F326" i="18"/>
  <c r="J326" i="18"/>
  <c r="J293" i="18" l="1"/>
  <c r="F288" i="18"/>
  <c r="J371" i="41"/>
  <c r="J166" i="41"/>
  <c r="J294" i="18"/>
  <c r="F76" i="18"/>
  <c r="J37" i="18"/>
  <c r="D78" i="57"/>
  <c r="G130" i="66"/>
  <c r="O130" i="66" s="1"/>
  <c r="D79" i="57"/>
  <c r="F292" i="18"/>
  <c r="F79" i="18"/>
  <c r="J494" i="58"/>
  <c r="E33" i="53" s="1"/>
  <c r="F33" i="53" s="1"/>
  <c r="D76" i="57"/>
  <c r="G266" i="66"/>
  <c r="G122" i="74" s="1"/>
  <c r="D67" i="57"/>
  <c r="G274" i="66"/>
  <c r="O274" i="66" s="1"/>
  <c r="G121" i="66"/>
  <c r="O121" i="66" s="1"/>
  <c r="D69" i="57"/>
  <c r="G279" i="66"/>
  <c r="G135" i="74" s="1"/>
  <c r="E397" i="38"/>
  <c r="N279" i="66" s="1"/>
  <c r="N135" i="74" s="1"/>
  <c r="J198" i="41"/>
  <c r="J493" i="58"/>
  <c r="G280" i="66" s="1"/>
  <c r="O280" i="66" s="1"/>
  <c r="D73" i="57"/>
  <c r="D74" i="57"/>
  <c r="J332" i="18"/>
  <c r="D37" i="57"/>
  <c r="E28" i="53"/>
  <c r="F28" i="53" s="1"/>
  <c r="H34" i="53" s="1"/>
  <c r="D40" i="57"/>
  <c r="F329" i="18"/>
  <c r="J335" i="18"/>
  <c r="J227" i="41"/>
  <c r="C54" i="63"/>
  <c r="F40" i="18"/>
  <c r="J238" i="41"/>
  <c r="E403" i="38" s="1"/>
  <c r="G245" i="66"/>
  <c r="O245" i="66" s="1"/>
  <c r="G265" i="66"/>
  <c r="O265" i="66" s="1"/>
  <c r="D31" i="57"/>
  <c r="M48" i="39"/>
  <c r="E180" i="38" s="1"/>
  <c r="G254" i="66"/>
  <c r="O254" i="66" s="1"/>
  <c r="D77" i="57"/>
  <c r="E48" i="39"/>
  <c r="E129" i="38" s="1"/>
  <c r="J167" i="41"/>
  <c r="J369" i="41"/>
  <c r="G260" i="66"/>
  <c r="J225" i="41"/>
  <c r="J36" i="18"/>
  <c r="E32" i="53"/>
  <c r="F43" i="18"/>
  <c r="D29" i="57"/>
  <c r="G101" i="66"/>
  <c r="O101" i="66" s="1"/>
  <c r="J39" i="18"/>
  <c r="G120" i="66"/>
  <c r="G120" i="74" s="1"/>
  <c r="D39" i="57"/>
  <c r="G282" i="66"/>
  <c r="G138" i="74" s="1"/>
  <c r="O3" i="58"/>
  <c r="E49" i="39"/>
  <c r="E130" i="38" s="1"/>
  <c r="J457" i="37" s="1"/>
  <c r="M49" i="39"/>
  <c r="E181" i="38" s="1"/>
  <c r="G113" i="66"/>
  <c r="G113" i="74" s="1"/>
  <c r="J396" i="41"/>
  <c r="E34" i="53"/>
  <c r="F34" i="53" s="1"/>
  <c r="H28" i="53" s="1"/>
  <c r="G111" i="66"/>
  <c r="O111" i="66" s="1"/>
  <c r="D36" i="57"/>
  <c r="G275" i="66"/>
  <c r="G131" i="74" s="1"/>
  <c r="J328" i="18"/>
  <c r="J83" i="18"/>
  <c r="M51" i="39"/>
  <c r="E183" i="38" s="1"/>
  <c r="J465" i="58" s="1"/>
  <c r="G116" i="66"/>
  <c r="G115" i="66"/>
  <c r="G115" i="74" s="1"/>
  <c r="J75" i="18"/>
  <c r="G126" i="66"/>
  <c r="G126" i="74" s="1"/>
  <c r="O7" i="41"/>
  <c r="J303" i="41"/>
  <c r="J184" i="41"/>
  <c r="D32" i="57"/>
  <c r="C24" i="63"/>
  <c r="E51" i="39"/>
  <c r="E132" i="38" s="1"/>
  <c r="I274" i="18"/>
  <c r="H274" i="18"/>
  <c r="I318" i="18"/>
  <c r="H318" i="18"/>
  <c r="H278" i="18"/>
  <c r="I278" i="18"/>
  <c r="I226" i="58"/>
  <c r="I228" i="58"/>
  <c r="I227" i="58"/>
  <c r="I225" i="58"/>
  <c r="I267" i="58"/>
  <c r="I269" i="58"/>
  <c r="I268" i="58"/>
  <c r="G136" i="66"/>
  <c r="I310" i="18"/>
  <c r="H310" i="18"/>
  <c r="I379" i="58"/>
  <c r="I380" i="58"/>
  <c r="I378" i="58"/>
  <c r="H22" i="18"/>
  <c r="I22" i="18"/>
  <c r="I389" i="37"/>
  <c r="I387" i="37"/>
  <c r="I388" i="37"/>
  <c r="I153" i="37"/>
  <c r="I156" i="37"/>
  <c r="I155" i="37"/>
  <c r="I154" i="37"/>
  <c r="I237" i="37"/>
  <c r="I240" i="37"/>
  <c r="I239" i="37"/>
  <c r="I238" i="37"/>
  <c r="I295" i="37"/>
  <c r="I296" i="37"/>
  <c r="I294" i="37"/>
  <c r="H271" i="18"/>
  <c r="I271" i="18"/>
  <c r="I144" i="58"/>
  <c r="I141" i="58"/>
  <c r="I142" i="58"/>
  <c r="I143" i="58"/>
  <c r="I405" i="58"/>
  <c r="I406" i="58"/>
  <c r="I407" i="58"/>
  <c r="I414" i="58"/>
  <c r="I415" i="58"/>
  <c r="I416" i="58"/>
  <c r="I322" i="18"/>
  <c r="H322" i="18"/>
  <c r="I24" i="18"/>
  <c r="H24" i="18"/>
  <c r="I305" i="37"/>
  <c r="I303" i="37"/>
  <c r="I304" i="37"/>
  <c r="I200" i="37"/>
  <c r="I198" i="37"/>
  <c r="I199" i="37"/>
  <c r="I69" i="18"/>
  <c r="H69" i="18"/>
  <c r="H66" i="18"/>
  <c r="I66" i="18"/>
  <c r="I276" i="18"/>
  <c r="H276" i="18"/>
  <c r="I183" i="58"/>
  <c r="I167" i="58"/>
  <c r="I166" i="58"/>
  <c r="I185" i="58"/>
  <c r="I184" i="58"/>
  <c r="I165" i="58"/>
  <c r="I281" i="18"/>
  <c r="H281" i="18"/>
  <c r="I208" i="58"/>
  <c r="I209" i="58"/>
  <c r="I207" i="58"/>
  <c r="I279" i="18"/>
  <c r="H279" i="18"/>
  <c r="I348" i="58"/>
  <c r="I346" i="58"/>
  <c r="I347" i="58"/>
  <c r="I345" i="58"/>
  <c r="I333" i="58"/>
  <c r="I335" i="58"/>
  <c r="I334" i="58"/>
  <c r="I336" i="58"/>
  <c r="I321" i="18"/>
  <c r="H321" i="18"/>
  <c r="H320" i="18"/>
  <c r="I320" i="18"/>
  <c r="I269" i="37"/>
  <c r="I268" i="37"/>
  <c r="I267" i="37"/>
  <c r="I226" i="37"/>
  <c r="I225" i="37"/>
  <c r="I228" i="37"/>
  <c r="I227" i="37"/>
  <c r="I360" i="37"/>
  <c r="I359" i="37"/>
  <c r="I358" i="37"/>
  <c r="I357" i="37"/>
  <c r="H63" i="18"/>
  <c r="I63" i="18"/>
  <c r="H60" i="18"/>
  <c r="I60" i="18"/>
  <c r="I276" i="58"/>
  <c r="I277" i="58"/>
  <c r="I278" i="58"/>
  <c r="I240" i="58"/>
  <c r="I238" i="58"/>
  <c r="I237" i="58"/>
  <c r="I239" i="58"/>
  <c r="I313" i="18"/>
  <c r="H313" i="18"/>
  <c r="I28" i="18"/>
  <c r="H28" i="18"/>
  <c r="I61" i="18"/>
  <c r="H61" i="18"/>
  <c r="H62" i="18"/>
  <c r="I62" i="18"/>
  <c r="H64" i="18"/>
  <c r="I64" i="18"/>
  <c r="E27" i="53"/>
  <c r="F27" i="53" s="1"/>
  <c r="G137" i="66"/>
  <c r="I319" i="18"/>
  <c r="H319" i="18"/>
  <c r="I304" i="58"/>
  <c r="I305" i="58"/>
  <c r="I303" i="58"/>
  <c r="I321" i="58"/>
  <c r="I323" i="58"/>
  <c r="I322" i="58"/>
  <c r="I324" i="58"/>
  <c r="I269" i="18"/>
  <c r="H269" i="18"/>
  <c r="I190" i="58"/>
  <c r="I191" i="58"/>
  <c r="I189" i="58"/>
  <c r="I314" i="18"/>
  <c r="H314" i="18"/>
  <c r="I316" i="18"/>
  <c r="H316" i="18"/>
  <c r="I216" i="58"/>
  <c r="I217" i="58"/>
  <c r="I218" i="58"/>
  <c r="H23" i="18"/>
  <c r="I23" i="18"/>
  <c r="I189" i="37"/>
  <c r="I191" i="37"/>
  <c r="I190" i="37"/>
  <c r="I218" i="37"/>
  <c r="I217" i="37"/>
  <c r="I216" i="37"/>
  <c r="I260" i="37"/>
  <c r="I258" i="37"/>
  <c r="I259" i="37"/>
  <c r="I250" i="58"/>
  <c r="I251" i="58"/>
  <c r="I249" i="58"/>
  <c r="O135" i="66"/>
  <c r="H270" i="18"/>
  <c r="I270" i="18"/>
  <c r="I370" i="58"/>
  <c r="I371" i="58"/>
  <c r="I369" i="58"/>
  <c r="I312" i="18"/>
  <c r="H312" i="18"/>
  <c r="I313" i="58"/>
  <c r="I312" i="58"/>
  <c r="I314" i="58"/>
  <c r="H317" i="18"/>
  <c r="I317" i="18"/>
  <c r="I19" i="18"/>
  <c r="H19" i="18"/>
  <c r="H16" i="18"/>
  <c r="I16" i="18"/>
  <c r="I59" i="18"/>
  <c r="H59" i="18"/>
  <c r="H67" i="18"/>
  <c r="I67" i="18"/>
  <c r="H277" i="18"/>
  <c r="I277" i="18"/>
  <c r="I275" i="18"/>
  <c r="H275" i="18"/>
  <c r="I280" i="18"/>
  <c r="H280" i="18"/>
  <c r="I258" i="58"/>
  <c r="I260" i="58"/>
  <c r="I259" i="58"/>
  <c r="I396" i="58"/>
  <c r="I397" i="58"/>
  <c r="I398" i="58"/>
  <c r="I174" i="58"/>
  <c r="I175" i="58"/>
  <c r="I188" i="58"/>
  <c r="I186" i="58"/>
  <c r="I187" i="58"/>
  <c r="I176" i="58"/>
  <c r="H26" i="18"/>
  <c r="I26" i="18"/>
  <c r="I406" i="37"/>
  <c r="I405" i="37"/>
  <c r="I407" i="37"/>
  <c r="I396" i="37"/>
  <c r="I398" i="37"/>
  <c r="I397" i="37"/>
  <c r="I313" i="37"/>
  <c r="I312" i="37"/>
  <c r="I314" i="37"/>
  <c r="I199" i="58"/>
  <c r="I200" i="58"/>
  <c r="I198" i="58"/>
  <c r="I251" i="37"/>
  <c r="I250" i="37"/>
  <c r="I249" i="37"/>
  <c r="I324" i="37"/>
  <c r="I323" i="37"/>
  <c r="I322" i="37"/>
  <c r="I321" i="37"/>
  <c r="I370" i="37"/>
  <c r="I369" i="37"/>
  <c r="I371" i="37"/>
  <c r="H68" i="18"/>
  <c r="I68" i="18"/>
  <c r="I58" i="18"/>
  <c r="H58" i="18"/>
  <c r="I294" i="58"/>
  <c r="I296" i="58"/>
  <c r="I295" i="58"/>
  <c r="I21" i="18"/>
  <c r="H21" i="18"/>
  <c r="H27" i="18"/>
  <c r="I27" i="18"/>
  <c r="H18" i="18"/>
  <c r="I18" i="18"/>
  <c r="I414" i="37"/>
  <c r="I416" i="37"/>
  <c r="I415" i="37"/>
  <c r="H65" i="18"/>
  <c r="I65" i="18"/>
  <c r="I273" i="18"/>
  <c r="H273" i="18"/>
  <c r="H315" i="18"/>
  <c r="I315" i="18"/>
  <c r="I153" i="58"/>
  <c r="I155" i="58"/>
  <c r="I156" i="58"/>
  <c r="I154" i="58"/>
  <c r="I208" i="37"/>
  <c r="I209" i="37"/>
  <c r="I207" i="37"/>
  <c r="I25" i="18"/>
  <c r="H25" i="18"/>
  <c r="H29" i="18"/>
  <c r="I29" i="18"/>
  <c r="I278" i="37"/>
  <c r="I277" i="37"/>
  <c r="I276" i="37"/>
  <c r="I387" i="58"/>
  <c r="I389" i="58"/>
  <c r="I388" i="58"/>
  <c r="I323" i="18"/>
  <c r="H323" i="18"/>
  <c r="H311" i="18"/>
  <c r="I311" i="18"/>
  <c r="I347" i="37"/>
  <c r="I346" i="37"/>
  <c r="I348" i="37"/>
  <c r="I345" i="37"/>
  <c r="I167" i="37"/>
  <c r="I183" i="37"/>
  <c r="I185" i="37"/>
  <c r="I184" i="37"/>
  <c r="I165" i="37"/>
  <c r="I166" i="37"/>
  <c r="I20" i="18"/>
  <c r="H20" i="18"/>
  <c r="H70" i="18"/>
  <c r="I70" i="18"/>
  <c r="I378" i="37"/>
  <c r="I380" i="37"/>
  <c r="I379" i="37"/>
  <c r="I286" i="58"/>
  <c r="I287" i="58"/>
  <c r="I285" i="58"/>
  <c r="H272" i="18"/>
  <c r="I272" i="18"/>
  <c r="H268" i="18"/>
  <c r="I268" i="18"/>
  <c r="I360" i="58"/>
  <c r="I359" i="58"/>
  <c r="I358" i="58"/>
  <c r="I357" i="58"/>
  <c r="I143" i="37"/>
  <c r="I144" i="37"/>
  <c r="I141" i="37"/>
  <c r="I142" i="37"/>
  <c r="I287" i="37"/>
  <c r="I286" i="37"/>
  <c r="I285" i="37"/>
  <c r="H17" i="18"/>
  <c r="I17" i="18"/>
  <c r="I176" i="37"/>
  <c r="I188" i="37"/>
  <c r="I174" i="37"/>
  <c r="I187" i="37"/>
  <c r="I175" i="37"/>
  <c r="I186" i="37"/>
  <c r="I335" i="37"/>
  <c r="I333" i="37"/>
  <c r="I334" i="37"/>
  <c r="I336" i="37"/>
  <c r="H71" i="18"/>
  <c r="I71" i="18"/>
  <c r="O110" i="66"/>
  <c r="I380" i="41" l="1"/>
  <c r="I378" i="41"/>
  <c r="G281" i="66"/>
  <c r="J494" i="41"/>
  <c r="I333" i="41"/>
  <c r="I416" i="41"/>
  <c r="G130" i="74"/>
  <c r="O279" i="66"/>
  <c r="I183" i="41"/>
  <c r="J496" i="58"/>
  <c r="G277" i="66" s="1"/>
  <c r="J497" i="58"/>
  <c r="G276" i="66" s="1"/>
  <c r="J495" i="58"/>
  <c r="C61" i="63" s="1"/>
  <c r="E47" i="39"/>
  <c r="E128" i="38" s="1"/>
  <c r="M47" i="39"/>
  <c r="E179" i="38" s="1"/>
  <c r="D32" i="53" s="1"/>
  <c r="F32" i="53" s="1"/>
  <c r="H26" i="53" s="1"/>
  <c r="E400" i="38"/>
  <c r="J495" i="37" s="1"/>
  <c r="I415" i="41"/>
  <c r="I276" i="41"/>
  <c r="J493" i="41"/>
  <c r="I175" i="41"/>
  <c r="G28" i="53"/>
  <c r="E334" i="38" s="1"/>
  <c r="I336" i="41"/>
  <c r="I186" i="41"/>
  <c r="I335" i="41"/>
  <c r="I208" i="41"/>
  <c r="G111" i="74"/>
  <c r="G101" i="74"/>
  <c r="I379" i="41"/>
  <c r="G110" i="74"/>
  <c r="O110" i="74" s="1"/>
  <c r="G121" i="74"/>
  <c r="AC121" i="74" s="1"/>
  <c r="G116" i="74"/>
  <c r="I167" i="41"/>
  <c r="O115" i="66"/>
  <c r="Z259" i="66" s="1"/>
  <c r="I348" i="41"/>
  <c r="T113" i="66"/>
  <c r="I227" i="41"/>
  <c r="I187" i="41"/>
  <c r="G34" i="53"/>
  <c r="E340" i="38" s="1"/>
  <c r="I414" i="41"/>
  <c r="I166" i="41"/>
  <c r="I334" i="41"/>
  <c r="I209" i="41"/>
  <c r="I346" i="41"/>
  <c r="O120" i="66"/>
  <c r="AA264" i="66" s="1"/>
  <c r="I277" i="41"/>
  <c r="I269" i="41"/>
  <c r="I188" i="41"/>
  <c r="I406" i="41"/>
  <c r="I184" i="41"/>
  <c r="J457" i="58"/>
  <c r="J457" i="41" s="1"/>
  <c r="I278" i="41"/>
  <c r="I405" i="41"/>
  <c r="I226" i="41"/>
  <c r="I174" i="41"/>
  <c r="I268" i="41"/>
  <c r="I407" i="41"/>
  <c r="O282" i="66"/>
  <c r="I371" i="41"/>
  <c r="I228" i="41"/>
  <c r="I322" i="41"/>
  <c r="I314" i="41"/>
  <c r="I217" i="41"/>
  <c r="I250" i="41"/>
  <c r="I185" i="41"/>
  <c r="E50" i="39"/>
  <c r="E131" i="38" s="1"/>
  <c r="M50" i="39"/>
  <c r="E182" i="38" s="1"/>
  <c r="I323" i="41"/>
  <c r="I324" i="41"/>
  <c r="I313" i="41"/>
  <c r="I347" i="41"/>
  <c r="I312" i="41"/>
  <c r="I176" i="41"/>
  <c r="I251" i="41"/>
  <c r="I216" i="41"/>
  <c r="I370" i="41"/>
  <c r="I397" i="41"/>
  <c r="O138" i="66"/>
  <c r="J465" i="37"/>
  <c r="J465" i="41" s="1"/>
  <c r="I396" i="41"/>
  <c r="I287" i="41"/>
  <c r="AC115" i="74"/>
  <c r="O115" i="74"/>
  <c r="D17" i="57"/>
  <c r="I321" i="41"/>
  <c r="G87" i="66"/>
  <c r="E393" i="38"/>
  <c r="N87" i="66" s="1"/>
  <c r="I494" i="37"/>
  <c r="I493" i="37"/>
  <c r="J456" i="37"/>
  <c r="F16" i="18"/>
  <c r="J16" i="18"/>
  <c r="I259" i="41"/>
  <c r="F269" i="18"/>
  <c r="J269" i="18"/>
  <c r="I225" i="41"/>
  <c r="D16" i="57"/>
  <c r="G53" i="66"/>
  <c r="I295" i="41"/>
  <c r="I389" i="41"/>
  <c r="T257" i="66"/>
  <c r="Q257" i="66"/>
  <c r="J71" i="18"/>
  <c r="F71" i="18"/>
  <c r="J17" i="18"/>
  <c r="F17" i="18"/>
  <c r="I285" i="41"/>
  <c r="G82" i="66"/>
  <c r="D24" i="57"/>
  <c r="F268" i="18"/>
  <c r="J268" i="18"/>
  <c r="F311" i="18"/>
  <c r="J311" i="18"/>
  <c r="E23" i="34"/>
  <c r="E15" i="34" s="1"/>
  <c r="I258" i="41"/>
  <c r="F64" i="18"/>
  <c r="J64" i="18"/>
  <c r="J313" i="18"/>
  <c r="F313" i="18"/>
  <c r="H27" i="53"/>
  <c r="G27" i="53" s="1"/>
  <c r="F281" i="18"/>
  <c r="J281" i="18"/>
  <c r="F322" i="18"/>
  <c r="J322" i="18"/>
  <c r="E20" i="53"/>
  <c r="G212" i="66"/>
  <c r="I238" i="41"/>
  <c r="F22" i="18"/>
  <c r="J22" i="18"/>
  <c r="G207" i="66"/>
  <c r="O207" i="66" s="1"/>
  <c r="D62" i="57"/>
  <c r="Z254" i="66"/>
  <c r="AA254" i="66"/>
  <c r="AA110" i="66"/>
  <c r="Z110" i="66"/>
  <c r="I286" i="41"/>
  <c r="J20" i="18"/>
  <c r="F20" i="18"/>
  <c r="AA101" i="66"/>
  <c r="J5" i="6"/>
  <c r="AA245" i="66"/>
  <c r="Z245" i="66"/>
  <c r="Z101" i="66"/>
  <c r="J270" i="18"/>
  <c r="F270" i="18"/>
  <c r="I260" i="41"/>
  <c r="J60" i="18"/>
  <c r="F60" i="18"/>
  <c r="G63" i="66"/>
  <c r="D23" i="57"/>
  <c r="I267" i="41"/>
  <c r="G211" i="66"/>
  <c r="O211" i="66" s="1"/>
  <c r="D58" i="57"/>
  <c r="J69" i="18"/>
  <c r="F69" i="18"/>
  <c r="D54" i="57"/>
  <c r="G218" i="66"/>
  <c r="I239" i="41"/>
  <c r="G197" i="66"/>
  <c r="O197" i="66" s="1"/>
  <c r="D55" i="57"/>
  <c r="F19" i="18"/>
  <c r="J19" i="18"/>
  <c r="J316" i="18"/>
  <c r="F316" i="18"/>
  <c r="F62" i="18"/>
  <c r="J62" i="18"/>
  <c r="G206" i="66"/>
  <c r="O206" i="66" s="1"/>
  <c r="D64" i="57"/>
  <c r="I199" i="41"/>
  <c r="C44" i="63"/>
  <c r="I240" i="41"/>
  <c r="Q138" i="66"/>
  <c r="T138" i="66"/>
  <c r="J272" i="18"/>
  <c r="F272" i="18"/>
  <c r="J315" i="18"/>
  <c r="F315" i="18"/>
  <c r="I142" i="41"/>
  <c r="G68" i="66"/>
  <c r="E14" i="53"/>
  <c r="G67" i="66"/>
  <c r="D19" i="57"/>
  <c r="I165" i="41"/>
  <c r="J323" i="18"/>
  <c r="F323" i="18"/>
  <c r="J29" i="18"/>
  <c r="F29" i="18"/>
  <c r="J18" i="18"/>
  <c r="F18" i="18"/>
  <c r="J58" i="18"/>
  <c r="F58" i="18"/>
  <c r="N3" i="37"/>
  <c r="I249" i="41"/>
  <c r="D21" i="57"/>
  <c r="G90" i="66"/>
  <c r="F280" i="18"/>
  <c r="J280" i="18"/>
  <c r="F317" i="18"/>
  <c r="J317" i="18"/>
  <c r="AA279" i="66"/>
  <c r="Z279" i="66"/>
  <c r="AA135" i="66"/>
  <c r="Z135" i="66"/>
  <c r="I493" i="58"/>
  <c r="G232" i="66" s="1"/>
  <c r="O232" i="66" s="1"/>
  <c r="I494" i="58"/>
  <c r="E396" i="38"/>
  <c r="N231" i="66" s="1"/>
  <c r="D56" i="57"/>
  <c r="G231" i="66"/>
  <c r="J63" i="18"/>
  <c r="F63" i="18"/>
  <c r="I198" i="41"/>
  <c r="F271" i="18"/>
  <c r="J271" i="18"/>
  <c r="I237" i="41"/>
  <c r="D15" i="57"/>
  <c r="I141" i="41"/>
  <c r="G74" i="66"/>
  <c r="D63" i="57"/>
  <c r="G226" i="66"/>
  <c r="O226" i="66" s="1"/>
  <c r="F68" i="18"/>
  <c r="J68" i="18"/>
  <c r="AC135" i="74"/>
  <c r="O135" i="74"/>
  <c r="I218" i="41"/>
  <c r="F314" i="18"/>
  <c r="J314" i="18"/>
  <c r="G222" i="66"/>
  <c r="D61" i="57"/>
  <c r="F320" i="18"/>
  <c r="J320" i="18"/>
  <c r="I200" i="41"/>
  <c r="J456" i="58"/>
  <c r="I154" i="41"/>
  <c r="C14" i="63"/>
  <c r="I144" i="41"/>
  <c r="J27" i="18"/>
  <c r="F27" i="18"/>
  <c r="I398" i="41"/>
  <c r="J275" i="18"/>
  <c r="F275" i="18"/>
  <c r="N3" i="58"/>
  <c r="D60" i="57"/>
  <c r="G234" i="66"/>
  <c r="I190" i="41"/>
  <c r="J61" i="18"/>
  <c r="F61" i="18"/>
  <c r="I357" i="41"/>
  <c r="I155" i="41"/>
  <c r="J278" i="18"/>
  <c r="F278" i="18"/>
  <c r="I143" i="41"/>
  <c r="F25" i="18"/>
  <c r="J25" i="18"/>
  <c r="J273" i="18"/>
  <c r="F273" i="18"/>
  <c r="AC130" i="74"/>
  <c r="O130" i="74"/>
  <c r="I191" i="41"/>
  <c r="Z111" i="66"/>
  <c r="AA111" i="66"/>
  <c r="Z255" i="66"/>
  <c r="AA255" i="66"/>
  <c r="I358" i="41"/>
  <c r="I304" i="41"/>
  <c r="I156" i="41"/>
  <c r="G227" i="66"/>
  <c r="D66" i="57"/>
  <c r="E22" i="53"/>
  <c r="F22" i="53" s="1"/>
  <c r="D18" i="57"/>
  <c r="I207" i="41"/>
  <c r="G65" i="66"/>
  <c r="J65" i="18"/>
  <c r="F65" i="18"/>
  <c r="AA130" i="66"/>
  <c r="AA274" i="66"/>
  <c r="Z130" i="66"/>
  <c r="Z274" i="66"/>
  <c r="AC120" i="74"/>
  <c r="O120" i="74"/>
  <c r="J67" i="18"/>
  <c r="F67" i="18"/>
  <c r="G73" i="66"/>
  <c r="I189" i="41"/>
  <c r="D20" i="57"/>
  <c r="D59" i="57"/>
  <c r="G217" i="66"/>
  <c r="O217" i="66" s="1"/>
  <c r="I359" i="41"/>
  <c r="F321" i="18"/>
  <c r="J321" i="18"/>
  <c r="F279" i="18"/>
  <c r="J279" i="18"/>
  <c r="D22" i="57"/>
  <c r="I303" i="41"/>
  <c r="G78" i="66"/>
  <c r="Z265" i="66"/>
  <c r="Z121" i="66"/>
  <c r="AA265" i="66"/>
  <c r="AA121" i="66"/>
  <c r="I153" i="41"/>
  <c r="F310" i="18"/>
  <c r="J310" i="18"/>
  <c r="I345" i="41"/>
  <c r="D25" i="57"/>
  <c r="G62" i="66"/>
  <c r="J21" i="18"/>
  <c r="F21" i="18"/>
  <c r="F277" i="18"/>
  <c r="J277" i="18"/>
  <c r="F23" i="18"/>
  <c r="J23" i="18"/>
  <c r="J319" i="18"/>
  <c r="F319" i="18"/>
  <c r="I360" i="41"/>
  <c r="G209" i="66"/>
  <c r="D57" i="57"/>
  <c r="F276" i="18"/>
  <c r="J276" i="18"/>
  <c r="I305" i="41"/>
  <c r="F318" i="18"/>
  <c r="J318" i="18"/>
  <c r="D26" i="57"/>
  <c r="I369" i="41"/>
  <c r="G72" i="66"/>
  <c r="F312" i="18"/>
  <c r="J312" i="18"/>
  <c r="G137" i="74"/>
  <c r="I294" i="41"/>
  <c r="I388" i="41"/>
  <c r="G136" i="74"/>
  <c r="O136" i="66"/>
  <c r="F70" i="18"/>
  <c r="J70" i="18"/>
  <c r="F26" i="18"/>
  <c r="J26" i="18"/>
  <c r="F59" i="18"/>
  <c r="J59" i="18"/>
  <c r="G216" i="66"/>
  <c r="O216" i="66" s="1"/>
  <c r="D65" i="57"/>
  <c r="E415" i="38"/>
  <c r="H33" i="53"/>
  <c r="G33" i="53" s="1"/>
  <c r="F28" i="18"/>
  <c r="J28" i="18"/>
  <c r="F66" i="18"/>
  <c r="J66" i="18"/>
  <c r="J24" i="18"/>
  <c r="F24" i="18"/>
  <c r="I296" i="41"/>
  <c r="D27" i="57"/>
  <c r="I387" i="41"/>
  <c r="E16" i="53"/>
  <c r="F16" i="53" s="1"/>
  <c r="G83" i="66"/>
  <c r="F274" i="18"/>
  <c r="J274" i="18"/>
  <c r="D14" i="34" l="1"/>
  <c r="E414" i="38"/>
  <c r="J488" i="58" s="1"/>
  <c r="J495" i="41"/>
  <c r="J455" i="37"/>
  <c r="D26" i="53"/>
  <c r="F26" i="53" s="1"/>
  <c r="H32" i="53" s="1"/>
  <c r="G32" i="53" s="1"/>
  <c r="J455" i="58"/>
  <c r="C31" i="63"/>
  <c r="Q113" i="66"/>
  <c r="AC110" i="74"/>
  <c r="AE110" i="74" s="1"/>
  <c r="AE120" i="74"/>
  <c r="AG120" i="74"/>
  <c r="AE130" i="74"/>
  <c r="AG130" i="74"/>
  <c r="AE115" i="74"/>
  <c r="AG115" i="74"/>
  <c r="J27" i="77" s="1"/>
  <c r="L27" i="77" s="1"/>
  <c r="AE135" i="74"/>
  <c r="AG135" i="74"/>
  <c r="AE121" i="74"/>
  <c r="AG121" i="74"/>
  <c r="J30" i="77" s="1"/>
  <c r="L30" i="77" s="1"/>
  <c r="O121" i="74"/>
  <c r="AC101" i="74"/>
  <c r="AD101" i="74" s="1"/>
  <c r="F23" i="77" s="1"/>
  <c r="O111" i="74"/>
  <c r="AA111" i="74" s="1"/>
  <c r="Z282" i="66"/>
  <c r="Q282" i="66"/>
  <c r="G24" i="39"/>
  <c r="T282" i="66"/>
  <c r="K138" i="74"/>
  <c r="E328" i="38"/>
  <c r="M131" i="66" s="1"/>
  <c r="K116" i="74"/>
  <c r="AI116" i="74" s="1"/>
  <c r="D48" i="39"/>
  <c r="E112" i="38" s="1"/>
  <c r="AA138" i="66"/>
  <c r="O101" i="74"/>
  <c r="AA101" i="74" s="1"/>
  <c r="J496" i="37"/>
  <c r="E409" i="38" s="1"/>
  <c r="M133" i="66" s="1"/>
  <c r="J497" i="37"/>
  <c r="E408" i="38" s="1"/>
  <c r="M132" i="66" s="1"/>
  <c r="AC111" i="74"/>
  <c r="AD111" i="74" s="1"/>
  <c r="F25" i="77" s="1"/>
  <c r="Z264" i="66"/>
  <c r="Z138" i="66"/>
  <c r="AA282" i="66"/>
  <c r="AA120" i="66"/>
  <c r="Z120" i="66"/>
  <c r="P282" i="66"/>
  <c r="Z115" i="66"/>
  <c r="AA259" i="66"/>
  <c r="P138" i="66"/>
  <c r="AA115" i="66"/>
  <c r="L50" i="39"/>
  <c r="E165" i="38" s="1"/>
  <c r="O222" i="66" s="1"/>
  <c r="K113" i="74"/>
  <c r="N8" i="41"/>
  <c r="E346" i="38"/>
  <c r="N275" i="66" s="1"/>
  <c r="D49" i="39"/>
  <c r="E113" i="38" s="1"/>
  <c r="N9" i="41"/>
  <c r="N7" i="41"/>
  <c r="D51" i="39"/>
  <c r="E115" i="38" s="1"/>
  <c r="I465" i="37" s="1"/>
  <c r="J464" i="58"/>
  <c r="J464" i="37"/>
  <c r="D47" i="39"/>
  <c r="E111" i="38" s="1"/>
  <c r="L51" i="39"/>
  <c r="E166" i="38" s="1"/>
  <c r="I465" i="58" s="1"/>
  <c r="L47" i="39"/>
  <c r="E162" i="38" s="1"/>
  <c r="I455" i="58" s="1"/>
  <c r="L48" i="39"/>
  <c r="E163" i="38" s="1"/>
  <c r="D50" i="39"/>
  <c r="E114" i="38" s="1"/>
  <c r="I464" i="37" s="1"/>
  <c r="E345" i="38"/>
  <c r="N281" i="66" s="1"/>
  <c r="E339" i="38"/>
  <c r="G73" i="74"/>
  <c r="O73" i="66"/>
  <c r="G65" i="74"/>
  <c r="AA110" i="74"/>
  <c r="Z110" i="74"/>
  <c r="E399" i="38"/>
  <c r="Z101" i="74"/>
  <c r="J456" i="41"/>
  <c r="I493" i="41"/>
  <c r="G88" i="66"/>
  <c r="AA130" i="74"/>
  <c r="Z130" i="74"/>
  <c r="G74" i="74"/>
  <c r="G68" i="74"/>
  <c r="G82" i="74"/>
  <c r="O82" i="66"/>
  <c r="I494" i="41"/>
  <c r="E15" i="53"/>
  <c r="F15" i="53" s="1"/>
  <c r="G89" i="66"/>
  <c r="G53" i="74"/>
  <c r="O53" i="66"/>
  <c r="N87" i="74"/>
  <c r="AA136" i="66"/>
  <c r="AA280" i="66"/>
  <c r="Z136" i="66"/>
  <c r="Z280" i="66"/>
  <c r="AA121" i="74"/>
  <c r="Z121" i="74"/>
  <c r="AD120" i="74"/>
  <c r="Z135" i="74"/>
  <c r="AA135" i="74"/>
  <c r="O63" i="66"/>
  <c r="G63" i="74"/>
  <c r="M275" i="66"/>
  <c r="J483" i="58"/>
  <c r="G87" i="74"/>
  <c r="O87" i="66"/>
  <c r="T266" i="66"/>
  <c r="Q266" i="66"/>
  <c r="O266" i="66"/>
  <c r="AD135" i="74"/>
  <c r="E402" i="38"/>
  <c r="E24" i="34"/>
  <c r="D15" i="34"/>
  <c r="AD121" i="74"/>
  <c r="F30" i="77" s="1"/>
  <c r="AA120" i="74"/>
  <c r="Z120" i="74"/>
  <c r="O231" i="66"/>
  <c r="AA115" i="74"/>
  <c r="Z115" i="74"/>
  <c r="O72" i="66"/>
  <c r="G72" i="74"/>
  <c r="AD130" i="74"/>
  <c r="L49" i="39"/>
  <c r="E164" i="38" s="1"/>
  <c r="AD115" i="74"/>
  <c r="F27" i="77" s="1"/>
  <c r="M277" i="66"/>
  <c r="O277" i="66" s="1"/>
  <c r="J487" i="58"/>
  <c r="G90" i="74"/>
  <c r="H22" i="53"/>
  <c r="G22" i="53" s="1"/>
  <c r="H16" i="53"/>
  <c r="G16" i="53" s="1"/>
  <c r="E333" i="38"/>
  <c r="E327" i="38"/>
  <c r="G78" i="74"/>
  <c r="G233" i="66"/>
  <c r="E21" i="53"/>
  <c r="F21" i="53" s="1"/>
  <c r="N131" i="66"/>
  <c r="T116" i="66"/>
  <c r="AC136" i="74"/>
  <c r="O136" i="74"/>
  <c r="G83" i="74"/>
  <c r="G62" i="74"/>
  <c r="O62" i="66"/>
  <c r="G67" i="74"/>
  <c r="O67" i="66"/>
  <c r="K122" i="74"/>
  <c r="AI122" i="74" s="1"/>
  <c r="T122" i="66"/>
  <c r="Q122" i="66"/>
  <c r="O122" i="66"/>
  <c r="G21" i="39"/>
  <c r="Q113" i="74" l="1"/>
  <c r="AI113" i="74"/>
  <c r="O138" i="74"/>
  <c r="P138" i="74" s="1"/>
  <c r="AI138" i="74"/>
  <c r="AF120" i="74"/>
  <c r="AH120" i="74"/>
  <c r="AF110" i="74"/>
  <c r="AH110" i="74"/>
  <c r="AF121" i="74"/>
  <c r="D30" i="77" s="1"/>
  <c r="AF135" i="74"/>
  <c r="AF115" i="74"/>
  <c r="D27" i="77" s="1"/>
  <c r="AH115" i="74"/>
  <c r="AF130" i="74"/>
  <c r="AH130" i="74"/>
  <c r="M276" i="66"/>
  <c r="O276" i="66" s="1"/>
  <c r="AD110" i="74"/>
  <c r="G26" i="53"/>
  <c r="J455" i="41"/>
  <c r="Q138" i="74"/>
  <c r="J487" i="37"/>
  <c r="Z111" i="74"/>
  <c r="R138" i="66"/>
  <c r="S138" i="66" s="1"/>
  <c r="U138" i="66" s="1"/>
  <c r="T113" i="74"/>
  <c r="N131" i="74"/>
  <c r="D18" i="8"/>
  <c r="AG110" i="74"/>
  <c r="R282" i="66"/>
  <c r="S282" i="66" s="1"/>
  <c r="U282" i="66" s="1"/>
  <c r="T138" i="74"/>
  <c r="J488" i="37"/>
  <c r="J488" i="41" s="1"/>
  <c r="G132" i="66"/>
  <c r="G132" i="74" s="1"/>
  <c r="J483" i="37"/>
  <c r="J483" i="41" s="1"/>
  <c r="AE111" i="74"/>
  <c r="AG111" i="74"/>
  <c r="J25" i="77" s="1"/>
  <c r="L25" i="77" s="1"/>
  <c r="AE101" i="74"/>
  <c r="AG101" i="74"/>
  <c r="J23" i="77" s="1"/>
  <c r="L23" i="77" s="1"/>
  <c r="AE136" i="74"/>
  <c r="AC138" i="74"/>
  <c r="G133" i="66"/>
  <c r="G133" i="74" s="1"/>
  <c r="J496" i="41"/>
  <c r="D20" i="53"/>
  <c r="F20" i="53" s="1"/>
  <c r="H14" i="53" s="1"/>
  <c r="T260" i="66"/>
  <c r="J497" i="41"/>
  <c r="I464" i="58"/>
  <c r="I464" i="41" s="1"/>
  <c r="I457" i="37"/>
  <c r="D14" i="53"/>
  <c r="F14" i="53" s="1"/>
  <c r="H20" i="53" s="1"/>
  <c r="I455" i="37"/>
  <c r="I455" i="41" s="1"/>
  <c r="O90" i="66"/>
  <c r="O78" i="66"/>
  <c r="P222" i="66" s="1"/>
  <c r="T234" i="66"/>
  <c r="G23" i="39"/>
  <c r="T126" i="66"/>
  <c r="K126" i="74"/>
  <c r="AI126" i="74" s="1"/>
  <c r="O126" i="66"/>
  <c r="Q126" i="66"/>
  <c r="J464" i="41"/>
  <c r="O270" i="66"/>
  <c r="T270" i="66"/>
  <c r="Q270" i="66"/>
  <c r="K68" i="74"/>
  <c r="AI68" i="74" s="1"/>
  <c r="E316" i="38"/>
  <c r="E322" i="38"/>
  <c r="N227" i="66" s="1"/>
  <c r="T122" i="74"/>
  <c r="Q122" i="74"/>
  <c r="AC122" i="74"/>
  <c r="O122" i="74"/>
  <c r="T116" i="74"/>
  <c r="K65" i="74"/>
  <c r="AI65" i="74" s="1"/>
  <c r="I457" i="58"/>
  <c r="AC87" i="74"/>
  <c r="O87" i="74"/>
  <c r="Z226" i="66"/>
  <c r="Z82" i="66"/>
  <c r="AA226" i="66"/>
  <c r="AA82" i="66"/>
  <c r="E332" i="38"/>
  <c r="E326" i="38"/>
  <c r="H15" i="53"/>
  <c r="G15" i="53" s="1"/>
  <c r="Z266" i="66"/>
  <c r="Z122" i="66"/>
  <c r="AA122" i="66"/>
  <c r="AA266" i="66"/>
  <c r="P122" i="66"/>
  <c r="E310" i="38"/>
  <c r="E304" i="38"/>
  <c r="R138" i="74"/>
  <c r="S138" i="74" s="1"/>
  <c r="O82" i="74"/>
  <c r="AC82" i="74"/>
  <c r="E344" i="38"/>
  <c r="N260" i="66" s="1"/>
  <c r="E338" i="38"/>
  <c r="O67" i="74"/>
  <c r="AC67" i="74"/>
  <c r="AA62" i="66"/>
  <c r="Z206" i="66"/>
  <c r="Z62" i="66"/>
  <c r="AA206" i="66"/>
  <c r="Q275" i="66"/>
  <c r="O275" i="66"/>
  <c r="I5" i="6"/>
  <c r="Z53" i="66"/>
  <c r="Z197" i="66"/>
  <c r="AA197" i="66"/>
  <c r="AA53" i="66"/>
  <c r="O62" i="74"/>
  <c r="AC62" i="74"/>
  <c r="P266" i="66"/>
  <c r="O63" i="74"/>
  <c r="AC63" i="74"/>
  <c r="O53" i="74"/>
  <c r="AC53" i="74"/>
  <c r="G88" i="74"/>
  <c r="O88" i="66"/>
  <c r="D23" i="34"/>
  <c r="D24" i="34" s="1"/>
  <c r="M131" i="74"/>
  <c r="Q131" i="66"/>
  <c r="O131" i="66"/>
  <c r="Z216" i="66"/>
  <c r="AA216" i="66"/>
  <c r="Z72" i="66"/>
  <c r="AA72" i="66"/>
  <c r="I465" i="41"/>
  <c r="O72" i="74"/>
  <c r="AC72" i="74"/>
  <c r="E21" i="34"/>
  <c r="E275" i="38"/>
  <c r="E230" i="38"/>
  <c r="Z63" i="66"/>
  <c r="Z207" i="66"/>
  <c r="AA207" i="66"/>
  <c r="AA63" i="66"/>
  <c r="Q277" i="66"/>
  <c r="T68" i="66"/>
  <c r="I495" i="37"/>
  <c r="I496" i="37"/>
  <c r="I497" i="37"/>
  <c r="Z217" i="66"/>
  <c r="AA73" i="66"/>
  <c r="Z73" i="66"/>
  <c r="AA217" i="66"/>
  <c r="Q222" i="66"/>
  <c r="T222" i="66"/>
  <c r="AA136" i="74"/>
  <c r="Z136" i="74"/>
  <c r="I456" i="37"/>
  <c r="AC73" i="74"/>
  <c r="O73" i="74"/>
  <c r="J482" i="37"/>
  <c r="M137" i="66"/>
  <c r="AD136" i="74"/>
  <c r="AG136" i="74" s="1"/>
  <c r="D17" i="8"/>
  <c r="N137" i="66"/>
  <c r="N137" i="74" s="1"/>
  <c r="Q132" i="66"/>
  <c r="Z67" i="66"/>
  <c r="Z211" i="66"/>
  <c r="AA211" i="66"/>
  <c r="AA67" i="66"/>
  <c r="G89" i="74"/>
  <c r="T65" i="66"/>
  <c r="Q65" i="66"/>
  <c r="M133" i="74"/>
  <c r="Q133" i="66"/>
  <c r="H21" i="53"/>
  <c r="G21" i="53" s="1"/>
  <c r="I495" i="58"/>
  <c r="I496" i="58"/>
  <c r="I497" i="58"/>
  <c r="Z87" i="66"/>
  <c r="AA87" i="66"/>
  <c r="AA231" i="66"/>
  <c r="Z231" i="66"/>
  <c r="J487" i="41"/>
  <c r="J482" i="58"/>
  <c r="M281" i="66"/>
  <c r="I456" i="58"/>
  <c r="Z138" i="74" l="1"/>
  <c r="AA138" i="74"/>
  <c r="Q276" i="66"/>
  <c r="M132" i="74"/>
  <c r="O132" i="74" s="1"/>
  <c r="AF136" i="74"/>
  <c r="AF101" i="74"/>
  <c r="D23" i="77" s="1"/>
  <c r="AF111" i="74"/>
  <c r="D25" i="77" s="1"/>
  <c r="AH111" i="74"/>
  <c r="AC133" i="74"/>
  <c r="AE133" i="74" s="1"/>
  <c r="U138" i="74"/>
  <c r="I457" i="41"/>
  <c r="Q234" i="66"/>
  <c r="O132" i="66"/>
  <c r="AE82" i="74"/>
  <c r="AG82" i="74"/>
  <c r="AE87" i="74"/>
  <c r="AG87" i="74"/>
  <c r="AE72" i="74"/>
  <c r="AG72" i="74"/>
  <c r="AE63" i="74"/>
  <c r="AG63" i="74"/>
  <c r="AE138" i="74"/>
  <c r="AE53" i="74"/>
  <c r="AG53" i="74"/>
  <c r="AE62" i="74"/>
  <c r="AG62" i="74"/>
  <c r="AE122" i="74"/>
  <c r="AE73" i="74"/>
  <c r="AG73" i="74"/>
  <c r="AE67" i="74"/>
  <c r="AG67" i="74"/>
  <c r="AD138" i="74"/>
  <c r="F34" i="77" s="1"/>
  <c r="O133" i="66"/>
  <c r="AA277" i="66" s="1"/>
  <c r="G20" i="53"/>
  <c r="E320" i="38" s="1"/>
  <c r="N212" i="66" s="1"/>
  <c r="K90" i="74"/>
  <c r="T212" i="66"/>
  <c r="T90" i="66"/>
  <c r="G14" i="53"/>
  <c r="E308" i="38" s="1"/>
  <c r="Q90" i="66"/>
  <c r="P78" i="66"/>
  <c r="AA222" i="66"/>
  <c r="AA78" i="66"/>
  <c r="Z78" i="66"/>
  <c r="Z222" i="66"/>
  <c r="F23" i="39"/>
  <c r="T78" i="66"/>
  <c r="Q78" i="66"/>
  <c r="K78" i="74"/>
  <c r="P270" i="66"/>
  <c r="O234" i="66"/>
  <c r="F24" i="39"/>
  <c r="AA126" i="66"/>
  <c r="Z126" i="66"/>
  <c r="Z270" i="66"/>
  <c r="P126" i="66"/>
  <c r="AA270" i="66"/>
  <c r="O126" i="74"/>
  <c r="AC126" i="74"/>
  <c r="T126" i="74"/>
  <c r="Q126" i="74"/>
  <c r="O133" i="74"/>
  <c r="AA133" i="74" s="1"/>
  <c r="AD133" i="74"/>
  <c r="E315" i="38"/>
  <c r="E321" i="38"/>
  <c r="N233" i="66" s="1"/>
  <c r="M137" i="74"/>
  <c r="Q137" i="66"/>
  <c r="O137" i="66"/>
  <c r="Z72" i="74"/>
  <c r="AA72" i="74"/>
  <c r="Q131" i="74"/>
  <c r="AC131" i="74"/>
  <c r="O131" i="74"/>
  <c r="AA62" i="74"/>
  <c r="Z62" i="74"/>
  <c r="AD122" i="74"/>
  <c r="AG122" i="74" s="1"/>
  <c r="C21" i="63"/>
  <c r="I495" i="41"/>
  <c r="T65" i="74"/>
  <c r="Q65" i="74"/>
  <c r="Q132" i="74"/>
  <c r="AD82" i="74"/>
  <c r="R122" i="66"/>
  <c r="S122" i="66" s="1"/>
  <c r="U122" i="66" s="1"/>
  <c r="J481" i="37"/>
  <c r="M116" i="66"/>
  <c r="AD73" i="74"/>
  <c r="G228" i="66"/>
  <c r="E412" i="38"/>
  <c r="AA73" i="74"/>
  <c r="Z73" i="74"/>
  <c r="AA88" i="66"/>
  <c r="Z232" i="66"/>
  <c r="AA232" i="66"/>
  <c r="Z88" i="66"/>
  <c r="Z82" i="74"/>
  <c r="AA82" i="74"/>
  <c r="D16" i="8"/>
  <c r="N116" i="66"/>
  <c r="O88" i="74"/>
  <c r="AC88" i="74"/>
  <c r="R222" i="66"/>
  <c r="S222" i="66" s="1"/>
  <c r="U222" i="66" s="1"/>
  <c r="E406" i="38"/>
  <c r="I497" i="41"/>
  <c r="G84" i="66"/>
  <c r="AD53" i="74"/>
  <c r="C51" i="63"/>
  <c r="Q218" i="66"/>
  <c r="T218" i="66"/>
  <c r="O218" i="66"/>
  <c r="I496" i="41"/>
  <c r="E407" i="38"/>
  <c r="G85" i="66"/>
  <c r="AA53" i="74"/>
  <c r="Z53" i="74"/>
  <c r="AD67" i="74"/>
  <c r="E309" i="38"/>
  <c r="E303" i="38"/>
  <c r="H114" i="66"/>
  <c r="J452" i="37"/>
  <c r="E388" i="38"/>
  <c r="AD63" i="74"/>
  <c r="Z67" i="74"/>
  <c r="AA67" i="74"/>
  <c r="M83" i="66"/>
  <c r="I483" i="37"/>
  <c r="T74" i="66"/>
  <c r="Q74" i="66"/>
  <c r="K74" i="74"/>
  <c r="AI74" i="74" s="1"/>
  <c r="F21" i="39"/>
  <c r="O74" i="66"/>
  <c r="T68" i="74"/>
  <c r="E274" i="38"/>
  <c r="E18" i="34"/>
  <c r="E229" i="38"/>
  <c r="AA63" i="74"/>
  <c r="Z63" i="74"/>
  <c r="C18" i="8"/>
  <c r="N83" i="66"/>
  <c r="N83" i="74" s="1"/>
  <c r="AA87" i="74"/>
  <c r="Z87" i="74"/>
  <c r="Q281" i="66"/>
  <c r="O281" i="66"/>
  <c r="D21" i="34"/>
  <c r="E215" i="38"/>
  <c r="E260" i="38"/>
  <c r="R266" i="66"/>
  <c r="S266" i="66" s="1"/>
  <c r="U266" i="66" s="1"/>
  <c r="P275" i="66"/>
  <c r="AD87" i="74"/>
  <c r="I483" i="58"/>
  <c r="M227" i="66"/>
  <c r="H258" i="66"/>
  <c r="J452" i="58"/>
  <c r="E391" i="38"/>
  <c r="Z131" i="66"/>
  <c r="P131" i="66"/>
  <c r="AA275" i="66"/>
  <c r="AA131" i="66"/>
  <c r="Z275" i="66"/>
  <c r="I456" i="41"/>
  <c r="Q133" i="74"/>
  <c r="T209" i="66"/>
  <c r="Q209" i="66"/>
  <c r="G229" i="66"/>
  <c r="E413" i="38"/>
  <c r="J482" i="41"/>
  <c r="AD72" i="74"/>
  <c r="AD62" i="74"/>
  <c r="AC132" i="74"/>
  <c r="J481" i="58"/>
  <c r="M260" i="66"/>
  <c r="Z122" i="74"/>
  <c r="AA122" i="74"/>
  <c r="P122" i="74"/>
  <c r="AC78" i="74" l="1"/>
  <c r="AG78" i="74" s="1"/>
  <c r="AI78" i="74"/>
  <c r="O90" i="74"/>
  <c r="P90" i="74" s="1"/>
  <c r="AI90" i="74"/>
  <c r="P132" i="74"/>
  <c r="AA132" i="74"/>
  <c r="Z132" i="74"/>
  <c r="AC90" i="74"/>
  <c r="AF53" i="74"/>
  <c r="AF138" i="74"/>
  <c r="D34" i="77" s="1"/>
  <c r="AF63" i="74"/>
  <c r="AH63" i="74"/>
  <c r="AF133" i="74"/>
  <c r="AH133" i="74"/>
  <c r="AF67" i="74"/>
  <c r="AH67" i="74"/>
  <c r="AF72" i="74"/>
  <c r="AH72" i="74"/>
  <c r="AF73" i="74"/>
  <c r="AF87" i="74"/>
  <c r="AF122" i="74"/>
  <c r="AF82" i="74"/>
  <c r="AH82" i="74"/>
  <c r="AF62" i="74"/>
  <c r="AH62" i="74"/>
  <c r="AG133" i="74"/>
  <c r="E314" i="38"/>
  <c r="M212" i="66" s="1"/>
  <c r="AG138" i="74"/>
  <c r="J34" i="77" s="1"/>
  <c r="L34" i="77" s="1"/>
  <c r="AA90" i="74"/>
  <c r="R78" i="66"/>
  <c r="S78" i="66" s="1"/>
  <c r="U78" i="66" s="1"/>
  <c r="E302" i="38"/>
  <c r="I481" i="37" s="1"/>
  <c r="P276" i="66"/>
  <c r="Z276" i="66"/>
  <c r="AA276" i="66"/>
  <c r="Z132" i="66"/>
  <c r="AA132" i="66"/>
  <c r="P132" i="66"/>
  <c r="AE132" i="74"/>
  <c r="AG132" i="74"/>
  <c r="AE126" i="74"/>
  <c r="AE131" i="74"/>
  <c r="AG131" i="74"/>
  <c r="AE90" i="74"/>
  <c r="AE88" i="74"/>
  <c r="AG88" i="74"/>
  <c r="Z277" i="66"/>
  <c r="P277" i="66"/>
  <c r="V277" i="66" s="1"/>
  <c r="P133" i="66"/>
  <c r="Z133" i="66"/>
  <c r="AA133" i="66"/>
  <c r="O78" i="74"/>
  <c r="P78" i="74" s="1"/>
  <c r="AE78" i="74"/>
  <c r="Q90" i="74"/>
  <c r="T90" i="74"/>
  <c r="P133" i="74"/>
  <c r="W133" i="74" s="1"/>
  <c r="Y133" i="74" s="1"/>
  <c r="Z133" i="74"/>
  <c r="P281" i="66"/>
  <c r="R281" i="66" s="1"/>
  <c r="S281" i="66" s="1"/>
  <c r="U281" i="66" s="1"/>
  <c r="Q78" i="74"/>
  <c r="T78" i="74"/>
  <c r="R270" i="66"/>
  <c r="S270" i="66" s="1"/>
  <c r="U270" i="66" s="1"/>
  <c r="Z90" i="66"/>
  <c r="P234" i="66"/>
  <c r="Z234" i="66"/>
  <c r="P90" i="66"/>
  <c r="AA234" i="66"/>
  <c r="AA90" i="66"/>
  <c r="AD126" i="74"/>
  <c r="F31" i="77" s="1"/>
  <c r="AA126" i="74"/>
  <c r="Z126" i="74"/>
  <c r="P126" i="74"/>
  <c r="R126" i="66"/>
  <c r="S126" i="66" s="1"/>
  <c r="U126" i="66" s="1"/>
  <c r="I487" i="58"/>
  <c r="M229" i="66"/>
  <c r="O229" i="66" s="1"/>
  <c r="H210" i="66"/>
  <c r="I452" i="58"/>
  <c r="E390" i="38"/>
  <c r="AD88" i="74"/>
  <c r="I488" i="58"/>
  <c r="M228" i="66"/>
  <c r="O228" i="66" s="1"/>
  <c r="R131" i="66"/>
  <c r="S131" i="66" s="1"/>
  <c r="U131" i="66" s="1"/>
  <c r="G85" i="74"/>
  <c r="Z88" i="74"/>
  <c r="AA88" i="74"/>
  <c r="I452" i="37"/>
  <c r="H66" i="66"/>
  <c r="E387" i="38"/>
  <c r="I487" i="37"/>
  <c r="M85" i="66"/>
  <c r="O85" i="66" s="1"/>
  <c r="G84" i="74"/>
  <c r="N116" i="74"/>
  <c r="G20" i="39"/>
  <c r="I482" i="58"/>
  <c r="M233" i="66"/>
  <c r="J490" i="58"/>
  <c r="G258" i="66" s="1"/>
  <c r="O258" i="66" s="1"/>
  <c r="N257" i="66"/>
  <c r="O257" i="66" s="1"/>
  <c r="J491" i="58"/>
  <c r="G251" i="66" s="1"/>
  <c r="J492" i="58"/>
  <c r="N113" i="66"/>
  <c r="J491" i="37"/>
  <c r="J490" i="37"/>
  <c r="J492" i="37"/>
  <c r="J452" i="41"/>
  <c r="P218" i="66"/>
  <c r="I488" i="37"/>
  <c r="M84" i="66"/>
  <c r="O84" i="66" s="1"/>
  <c r="R90" i="74"/>
  <c r="S90" i="74" s="1"/>
  <c r="U90" i="74" s="1"/>
  <c r="H107" i="66"/>
  <c r="J451" i="37"/>
  <c r="H114" i="74"/>
  <c r="M116" i="74"/>
  <c r="O116" i="66"/>
  <c r="Q116" i="66"/>
  <c r="W132" i="74"/>
  <c r="Y132" i="74" s="1"/>
  <c r="V132" i="74"/>
  <c r="R132" i="74"/>
  <c r="S132" i="74" s="1"/>
  <c r="U132" i="74" s="1"/>
  <c r="J451" i="58"/>
  <c r="H251" i="66"/>
  <c r="N68" i="66"/>
  <c r="C16" i="8"/>
  <c r="R78" i="74"/>
  <c r="S78" i="74" s="1"/>
  <c r="M68" i="66"/>
  <c r="I482" i="37"/>
  <c r="M89" i="66"/>
  <c r="J481" i="41"/>
  <c r="P137" i="66"/>
  <c r="AA281" i="66"/>
  <c r="Z281" i="66"/>
  <c r="Z137" i="66"/>
  <c r="AA137" i="66"/>
  <c r="Q227" i="66"/>
  <c r="O227" i="66"/>
  <c r="AD132" i="74"/>
  <c r="R122" i="74"/>
  <c r="S122" i="74" s="1"/>
  <c r="U122" i="74" s="1"/>
  <c r="I483" i="41"/>
  <c r="N89" i="66"/>
  <c r="N89" i="74" s="1"/>
  <c r="C17" i="8"/>
  <c r="E259" i="38"/>
  <c r="E214" i="38"/>
  <c r="D18" i="34"/>
  <c r="AD90" i="74"/>
  <c r="AG90" i="74" s="1"/>
  <c r="R275" i="66"/>
  <c r="S275" i="66" s="1"/>
  <c r="U275" i="66" s="1"/>
  <c r="Z74" i="66"/>
  <c r="AA74" i="66"/>
  <c r="AA218" i="66"/>
  <c r="Z218" i="66"/>
  <c r="P74" i="66"/>
  <c r="Q83" i="66"/>
  <c r="M83" i="74"/>
  <c r="O83" i="66"/>
  <c r="Q137" i="74"/>
  <c r="AC137" i="74"/>
  <c r="O137" i="74"/>
  <c r="AA131" i="74"/>
  <c r="Z131" i="74"/>
  <c r="P131" i="74"/>
  <c r="O260" i="66"/>
  <c r="Q260" i="66"/>
  <c r="Q74" i="74"/>
  <c r="T74" i="74"/>
  <c r="O74" i="74"/>
  <c r="AC74" i="74"/>
  <c r="AD131" i="74"/>
  <c r="AD78" i="74" l="1"/>
  <c r="Z90" i="74"/>
  <c r="I481" i="58"/>
  <c r="I481" i="41" s="1"/>
  <c r="AF88" i="74"/>
  <c r="AF90" i="74"/>
  <c r="AF78" i="74"/>
  <c r="D53" i="77"/>
  <c r="AF132" i="74"/>
  <c r="AH132" i="74"/>
  <c r="AF126" i="74"/>
  <c r="D31" i="77" s="1"/>
  <c r="V133" i="74"/>
  <c r="AG126" i="74"/>
  <c r="J31" i="77" s="1"/>
  <c r="L31" i="77" s="1"/>
  <c r="W132" i="66"/>
  <c r="Y132" i="66" s="1"/>
  <c r="V132" i="66"/>
  <c r="R132" i="66"/>
  <c r="S132" i="66" s="1"/>
  <c r="U132" i="66" s="1"/>
  <c r="V276" i="66"/>
  <c r="R276" i="66"/>
  <c r="S276" i="66" s="1"/>
  <c r="U276" i="66" s="1"/>
  <c r="W276" i="66"/>
  <c r="Y276" i="66" s="1"/>
  <c r="AE74" i="74"/>
  <c r="AG74" i="74"/>
  <c r="AE137" i="74"/>
  <c r="AH137" i="74" s="1"/>
  <c r="F57" i="77" s="1"/>
  <c r="AG137" i="74"/>
  <c r="J28" i="77" s="1"/>
  <c r="L28" i="77" s="1"/>
  <c r="W277" i="66"/>
  <c r="Y277" i="66" s="1"/>
  <c r="R277" i="66"/>
  <c r="S277" i="66" s="1"/>
  <c r="U277" i="66" s="1"/>
  <c r="R133" i="66"/>
  <c r="S133" i="66" s="1"/>
  <c r="U133" i="66" s="1"/>
  <c r="W133" i="66"/>
  <c r="Y133" i="66" s="1"/>
  <c r="V133" i="66"/>
  <c r="Z78" i="74"/>
  <c r="V281" i="66"/>
  <c r="AA78" i="74"/>
  <c r="W281" i="66"/>
  <c r="Y281" i="66" s="1"/>
  <c r="R133" i="74"/>
  <c r="S133" i="74" s="1"/>
  <c r="U133" i="74" s="1"/>
  <c r="U78" i="74"/>
  <c r="I482" i="41"/>
  <c r="P260" i="66"/>
  <c r="R260" i="66" s="1"/>
  <c r="S260" i="66" s="1"/>
  <c r="U260" i="66" s="1"/>
  <c r="R90" i="66"/>
  <c r="S90" i="66" s="1"/>
  <c r="U90" i="66" s="1"/>
  <c r="R234" i="66"/>
  <c r="S234" i="66" s="1"/>
  <c r="U234" i="66" s="1"/>
  <c r="R126" i="74"/>
  <c r="S126" i="74" s="1"/>
  <c r="U126" i="74" s="1"/>
  <c r="I488" i="41"/>
  <c r="I487" i="41"/>
  <c r="O251" i="66"/>
  <c r="AF131" i="74"/>
  <c r="H66" i="74"/>
  <c r="P227" i="66"/>
  <c r="P229" i="66"/>
  <c r="R229" i="66" s="1"/>
  <c r="S229" i="66" s="1"/>
  <c r="U229" i="66" s="1"/>
  <c r="P228" i="66"/>
  <c r="R228" i="66" s="1"/>
  <c r="S228" i="66" s="1"/>
  <c r="U228" i="66" s="1"/>
  <c r="AA84" i="66"/>
  <c r="AA228" i="66"/>
  <c r="Z84" i="66"/>
  <c r="Z228" i="66"/>
  <c r="P84" i="66"/>
  <c r="AA85" i="66"/>
  <c r="P85" i="66"/>
  <c r="Z85" i="66"/>
  <c r="AA229" i="66"/>
  <c r="Z229" i="66"/>
  <c r="H59" i="66"/>
  <c r="I451" i="37"/>
  <c r="R218" i="66"/>
  <c r="S218" i="66" s="1"/>
  <c r="U218" i="66" s="1"/>
  <c r="Q89" i="66"/>
  <c r="M89" i="74"/>
  <c r="O89" i="66"/>
  <c r="H203" i="66"/>
  <c r="I451" i="58"/>
  <c r="M68" i="74"/>
  <c r="Q68" i="66"/>
  <c r="O68" i="66"/>
  <c r="Q233" i="66"/>
  <c r="O233" i="66"/>
  <c r="Z116" i="66"/>
  <c r="AA260" i="66"/>
  <c r="Z260" i="66"/>
  <c r="AA116" i="66"/>
  <c r="P116" i="66"/>
  <c r="I491" i="58"/>
  <c r="G203" i="66" s="1"/>
  <c r="O203" i="66" s="1"/>
  <c r="N209" i="66"/>
  <c r="O209" i="66" s="1"/>
  <c r="I490" i="58"/>
  <c r="G210" i="66" s="1"/>
  <c r="O210" i="66" s="1"/>
  <c r="I492" i="58"/>
  <c r="O212" i="66"/>
  <c r="Q212" i="66"/>
  <c r="Q116" i="74"/>
  <c r="O116" i="74"/>
  <c r="AC116" i="74"/>
  <c r="AD74" i="74"/>
  <c r="AA137" i="74"/>
  <c r="Z137" i="74"/>
  <c r="P137" i="74"/>
  <c r="AA74" i="74"/>
  <c r="Z74" i="74"/>
  <c r="P74" i="74"/>
  <c r="J451" i="41"/>
  <c r="E44" i="39"/>
  <c r="J492" i="41"/>
  <c r="E17" i="39" s="1"/>
  <c r="G105" i="66"/>
  <c r="D57" i="77"/>
  <c r="AD137" i="74"/>
  <c r="F28" i="77" s="1"/>
  <c r="D11" i="77"/>
  <c r="N68" i="74"/>
  <c r="F20" i="39"/>
  <c r="H107" i="74"/>
  <c r="J490" i="41"/>
  <c r="G114" i="66"/>
  <c r="J491" i="41"/>
  <c r="G107" i="66"/>
  <c r="M85" i="74"/>
  <c r="AC85" i="74" s="1"/>
  <c r="Q85" i="66"/>
  <c r="R74" i="66"/>
  <c r="S74" i="66" s="1"/>
  <c r="U74" i="66" s="1"/>
  <c r="R131" i="74"/>
  <c r="S131" i="74" s="1"/>
  <c r="U131" i="74" s="1"/>
  <c r="P83" i="66"/>
  <c r="Z227" i="66"/>
  <c r="AA227" i="66"/>
  <c r="Z83" i="66"/>
  <c r="AA83" i="66"/>
  <c r="W137" i="66"/>
  <c r="Y137" i="66" s="1"/>
  <c r="R137" i="66"/>
  <c r="S137" i="66" s="1"/>
  <c r="U137" i="66" s="1"/>
  <c r="V137" i="66"/>
  <c r="N113" i="74"/>
  <c r="G22" i="39"/>
  <c r="O113" i="66"/>
  <c r="P257" i="66" s="1"/>
  <c r="N65" i="66"/>
  <c r="I491" i="37"/>
  <c r="I490" i="37"/>
  <c r="I492" i="37"/>
  <c r="Q228" i="66"/>
  <c r="Q83" i="74"/>
  <c r="O83" i="74"/>
  <c r="AC83" i="74"/>
  <c r="Q84" i="66"/>
  <c r="M84" i="74"/>
  <c r="AC84" i="74" s="1"/>
  <c r="Q229" i="66"/>
  <c r="G249" i="66"/>
  <c r="M44" i="39"/>
  <c r="AF74" i="74" l="1"/>
  <c r="W228" i="66"/>
  <c r="Y228" i="66" s="1"/>
  <c r="W229" i="66"/>
  <c r="Y229" i="66" s="1"/>
  <c r="AE84" i="74"/>
  <c r="AG84" i="74"/>
  <c r="AE83" i="74"/>
  <c r="AG83" i="74"/>
  <c r="AE116" i="74"/>
  <c r="AE85" i="74"/>
  <c r="AG85" i="74"/>
  <c r="R227" i="66"/>
  <c r="S227" i="66" s="1"/>
  <c r="U227" i="66" s="1"/>
  <c r="P233" i="66"/>
  <c r="V233" i="66" s="1"/>
  <c r="H59" i="74"/>
  <c r="P212" i="66"/>
  <c r="V228" i="66"/>
  <c r="V229" i="66"/>
  <c r="AF137" i="74"/>
  <c r="D28" i="77" s="1"/>
  <c r="AD85" i="74"/>
  <c r="O107" i="66"/>
  <c r="G107" i="74"/>
  <c r="Q89" i="74"/>
  <c r="AC89" i="74"/>
  <c r="O89" i="74"/>
  <c r="E178" i="38"/>
  <c r="I490" i="41"/>
  <c r="G66" i="66"/>
  <c r="W137" i="74"/>
  <c r="Y137" i="74" s="1"/>
  <c r="V137" i="74"/>
  <c r="R137" i="74"/>
  <c r="S137" i="74" s="1"/>
  <c r="U137" i="74" s="1"/>
  <c r="R257" i="66"/>
  <c r="S257" i="66" s="1"/>
  <c r="U257" i="66" s="1"/>
  <c r="W85" i="66"/>
  <c r="Y85" i="66" s="1"/>
  <c r="R85" i="66"/>
  <c r="S85" i="66" s="1"/>
  <c r="U85" i="66" s="1"/>
  <c r="V85" i="66"/>
  <c r="AC113" i="74"/>
  <c r="AD113" i="74" s="1"/>
  <c r="O113" i="74"/>
  <c r="AD84" i="74"/>
  <c r="I491" i="41"/>
  <c r="G59" i="66"/>
  <c r="N65" i="74"/>
  <c r="O65" i="66"/>
  <c r="P209" i="66" s="1"/>
  <c r="F22" i="39"/>
  <c r="O114" i="66"/>
  <c r="G114" i="74"/>
  <c r="G57" i="66"/>
  <c r="D44" i="39"/>
  <c r="I492" i="41"/>
  <c r="D17" i="39" s="1"/>
  <c r="R83" i="66"/>
  <c r="S83" i="66" s="1"/>
  <c r="U83" i="66" s="1"/>
  <c r="Q84" i="74"/>
  <c r="P113" i="66"/>
  <c r="Z257" i="66"/>
  <c r="AA257" i="66"/>
  <c r="AA113" i="66"/>
  <c r="Z113" i="66"/>
  <c r="O85" i="74"/>
  <c r="V84" i="66"/>
  <c r="W84" i="66"/>
  <c r="Y84" i="66" s="1"/>
  <c r="R84" i="66"/>
  <c r="S84" i="66" s="1"/>
  <c r="U84" i="66" s="1"/>
  <c r="O84" i="74"/>
  <c r="G201" i="66"/>
  <c r="L44" i="39"/>
  <c r="P68" i="66"/>
  <c r="Z68" i="66"/>
  <c r="AA68" i="66"/>
  <c r="AA212" i="66"/>
  <c r="Z212" i="66"/>
  <c r="E29" i="39"/>
  <c r="E30" i="39" s="1"/>
  <c r="E32" i="39"/>
  <c r="E33" i="39" s="1"/>
  <c r="D8" i="77"/>
  <c r="AD116" i="74"/>
  <c r="AG116" i="74" s="1"/>
  <c r="AD83" i="74"/>
  <c r="E127" i="38"/>
  <c r="AA116" i="74"/>
  <c r="Z116" i="74"/>
  <c r="P116" i="74"/>
  <c r="Q68" i="74"/>
  <c r="AC68" i="74"/>
  <c r="O68" i="74"/>
  <c r="R116" i="66"/>
  <c r="S116" i="66" s="1"/>
  <c r="U116" i="66" s="1"/>
  <c r="R74" i="74"/>
  <c r="S74" i="74" s="1"/>
  <c r="U74" i="74" s="1"/>
  <c r="G105" i="74"/>
  <c r="P83" i="74"/>
  <c r="AA83" i="74"/>
  <c r="Z83" i="74"/>
  <c r="Q85" i="74"/>
  <c r="AA233" i="66"/>
  <c r="P89" i="66"/>
  <c r="AA89" i="66"/>
  <c r="Z89" i="66"/>
  <c r="Z233" i="66"/>
  <c r="AF85" i="74" l="1"/>
  <c r="AH85" i="74"/>
  <c r="D54" i="77"/>
  <c r="AF84" i="74"/>
  <c r="AH84" i="74"/>
  <c r="AE89" i="74"/>
  <c r="AH89" i="74" s="1"/>
  <c r="AG89" i="74"/>
  <c r="AE68" i="74"/>
  <c r="AG68" i="74"/>
  <c r="AE113" i="74"/>
  <c r="AG113" i="74"/>
  <c r="J26" i="77" s="1"/>
  <c r="L26" i="77" s="1"/>
  <c r="W233" i="66"/>
  <c r="Y233" i="66" s="1"/>
  <c r="R233" i="66"/>
  <c r="S233" i="66" s="1"/>
  <c r="U233" i="66" s="1"/>
  <c r="R212" i="66"/>
  <c r="S212" i="66" s="1"/>
  <c r="U212" i="66" s="1"/>
  <c r="L17" i="39"/>
  <c r="AF116" i="74"/>
  <c r="R113" i="66"/>
  <c r="S113" i="66" s="1"/>
  <c r="U113" i="66" s="1"/>
  <c r="R89" i="66"/>
  <c r="S89" i="66" s="1"/>
  <c r="U89" i="66" s="1"/>
  <c r="W89" i="66"/>
  <c r="Y89" i="66" s="1"/>
  <c r="V89" i="66"/>
  <c r="R83" i="74"/>
  <c r="S83" i="74" s="1"/>
  <c r="U83" i="74" s="1"/>
  <c r="R68" i="66"/>
  <c r="S68" i="66" s="1"/>
  <c r="U68" i="66" s="1"/>
  <c r="D32" i="39"/>
  <c r="D33" i="39" s="1"/>
  <c r="D29" i="39"/>
  <c r="D30" i="39" s="1"/>
  <c r="P89" i="74"/>
  <c r="Z89" i="74"/>
  <c r="AA89" i="74"/>
  <c r="AF83" i="74"/>
  <c r="L12" i="39"/>
  <c r="AC6" i="39"/>
  <c r="L24" i="39"/>
  <c r="L15" i="39"/>
  <c r="L18" i="39"/>
  <c r="E31" i="39"/>
  <c r="AC5" i="39"/>
  <c r="L26" i="39"/>
  <c r="L28" i="39"/>
  <c r="L25" i="39"/>
  <c r="L22" i="39"/>
  <c r="L20" i="39"/>
  <c r="L27" i="39"/>
  <c r="L14" i="39"/>
  <c r="L23" i="39"/>
  <c r="L16" i="39"/>
  <c r="L13" i="39"/>
  <c r="L19" i="39"/>
  <c r="L21" i="39"/>
  <c r="AA85" i="74"/>
  <c r="Z85" i="74"/>
  <c r="P85" i="74"/>
  <c r="E110" i="38"/>
  <c r="AA113" i="74"/>
  <c r="Z113" i="74"/>
  <c r="P113" i="74"/>
  <c r="AD89" i="74"/>
  <c r="G57" i="74"/>
  <c r="D7" i="77"/>
  <c r="P68" i="74"/>
  <c r="AA68" i="74"/>
  <c r="Z68" i="74"/>
  <c r="AD68" i="74"/>
  <c r="AC114" i="74"/>
  <c r="O114" i="74"/>
  <c r="AA114" i="66"/>
  <c r="Z258" i="66"/>
  <c r="AA258" i="66"/>
  <c r="Z114" i="66"/>
  <c r="AC107" i="74"/>
  <c r="O107" i="74"/>
  <c r="Z251" i="66"/>
  <c r="AA107" i="66"/>
  <c r="AA251" i="66"/>
  <c r="Z107" i="66"/>
  <c r="R116" i="74"/>
  <c r="S116" i="74" s="1"/>
  <c r="U116" i="74" s="1"/>
  <c r="AA209" i="66"/>
  <c r="Z65" i="66"/>
  <c r="P65" i="66"/>
  <c r="AA65" i="66"/>
  <c r="Z209" i="66"/>
  <c r="G66" i="74"/>
  <c r="O66" i="66"/>
  <c r="R209" i="66"/>
  <c r="S209" i="66" s="1"/>
  <c r="U209" i="66" s="1"/>
  <c r="E161" i="38"/>
  <c r="O65" i="74"/>
  <c r="AC65" i="74"/>
  <c r="O59" i="66"/>
  <c r="G59" i="74"/>
  <c r="J471" i="58"/>
  <c r="J471" i="37"/>
  <c r="AA84" i="74"/>
  <c r="Z84" i="74"/>
  <c r="P84" i="74"/>
  <c r="D52" i="77" l="1"/>
  <c r="AE114" i="74"/>
  <c r="AG114" i="74"/>
  <c r="AE65" i="74"/>
  <c r="AE107" i="74"/>
  <c r="D6" i="77"/>
  <c r="F26" i="77"/>
  <c r="F35" i="77" s="1"/>
  <c r="AF68" i="74"/>
  <c r="AF113" i="74"/>
  <c r="K105" i="74"/>
  <c r="AI105" i="74" s="1"/>
  <c r="T105" i="66"/>
  <c r="Q105" i="66"/>
  <c r="G17" i="39"/>
  <c r="O105" i="66"/>
  <c r="AD114" i="74"/>
  <c r="I471" i="37"/>
  <c r="L29" i="39"/>
  <c r="T249" i="66"/>
  <c r="Q249" i="66"/>
  <c r="O249" i="66"/>
  <c r="Z66" i="66"/>
  <c r="Z210" i="66"/>
  <c r="AA210" i="66"/>
  <c r="AA66" i="66"/>
  <c r="AC59" i="74"/>
  <c r="O59" i="74"/>
  <c r="R85" i="74"/>
  <c r="S85" i="74" s="1"/>
  <c r="U85" i="74" s="1"/>
  <c r="V85" i="74"/>
  <c r="W85" i="74"/>
  <c r="Y85" i="74" s="1"/>
  <c r="O66" i="74"/>
  <c r="AC66" i="74"/>
  <c r="Z203" i="66"/>
  <c r="AA59" i="66"/>
  <c r="AA203" i="66"/>
  <c r="Z59" i="66"/>
  <c r="Z107" i="74"/>
  <c r="AA107" i="74"/>
  <c r="R89" i="74"/>
  <c r="S89" i="74" s="1"/>
  <c r="U89" i="74" s="1"/>
  <c r="V89" i="74"/>
  <c r="W89" i="74"/>
  <c r="Y89" i="74" s="1"/>
  <c r="AD107" i="74"/>
  <c r="AG107" i="74" s="1"/>
  <c r="K16" i="39"/>
  <c r="D31" i="39"/>
  <c r="K12" i="39"/>
  <c r="K13" i="39"/>
  <c r="K22" i="39"/>
  <c r="K27" i="39"/>
  <c r="K25" i="39"/>
  <c r="K21" i="39"/>
  <c r="K24" i="39"/>
  <c r="K20" i="39"/>
  <c r="K23" i="39"/>
  <c r="AB6" i="39"/>
  <c r="K15" i="39"/>
  <c r="K18" i="39"/>
  <c r="K14" i="39"/>
  <c r="AB5" i="39"/>
  <c r="K26" i="39"/>
  <c r="K28" i="39"/>
  <c r="K19" i="39"/>
  <c r="R65" i="66"/>
  <c r="S65" i="66" s="1"/>
  <c r="U65" i="66" s="1"/>
  <c r="R68" i="74"/>
  <c r="S68" i="74" s="1"/>
  <c r="U68" i="74" s="1"/>
  <c r="AD65" i="74"/>
  <c r="AG65" i="74" s="1"/>
  <c r="V84" i="74"/>
  <c r="R84" i="74"/>
  <c r="S84" i="74" s="1"/>
  <c r="U84" i="74" s="1"/>
  <c r="W84" i="74"/>
  <c r="Y84" i="74" s="1"/>
  <c r="Z65" i="74"/>
  <c r="AA65" i="74"/>
  <c r="P65" i="74"/>
  <c r="AF89" i="74"/>
  <c r="K17" i="39"/>
  <c r="I471" i="58"/>
  <c r="R113" i="74"/>
  <c r="S113" i="74" s="1"/>
  <c r="U113" i="74" s="1"/>
  <c r="J471" i="41"/>
  <c r="Z114" i="74"/>
  <c r="AA114" i="74"/>
  <c r="F36" i="77" l="1"/>
  <c r="F38" i="77" s="1"/>
  <c r="AH107" i="74"/>
  <c r="AF114" i="74"/>
  <c r="AH114" i="74"/>
  <c r="AE59" i="74"/>
  <c r="AE66" i="74"/>
  <c r="AG66" i="74"/>
  <c r="AF107" i="74"/>
  <c r="D26" i="77"/>
  <c r="D35" i="77" s="1"/>
  <c r="D38" i="77" s="1"/>
  <c r="P249" i="66"/>
  <c r="R65" i="74"/>
  <c r="S65" i="74" s="1"/>
  <c r="U65" i="74" s="1"/>
  <c r="Z66" i="74"/>
  <c r="AA66" i="74"/>
  <c r="Q201" i="66"/>
  <c r="T201" i="66"/>
  <c r="O201" i="66"/>
  <c r="P105" i="66"/>
  <c r="Z249" i="66"/>
  <c r="AA105" i="66"/>
  <c r="Z105" i="66"/>
  <c r="AA249" i="66"/>
  <c r="AF65" i="74"/>
  <c r="AA59" i="74"/>
  <c r="Z59" i="74"/>
  <c r="AD59" i="74"/>
  <c r="AG59" i="74" s="1"/>
  <c r="T105" i="74"/>
  <c r="Q105" i="74"/>
  <c r="O105" i="74"/>
  <c r="AC105" i="74"/>
  <c r="K29" i="39"/>
  <c r="I471" i="41"/>
  <c r="T57" i="66"/>
  <c r="Q57" i="66"/>
  <c r="K57" i="74"/>
  <c r="AI57" i="74" s="1"/>
  <c r="F17" i="39"/>
  <c r="O57" i="66"/>
  <c r="AD66" i="74"/>
  <c r="AF66" i="74" l="1"/>
  <c r="AH66" i="74"/>
  <c r="AF59" i="74"/>
  <c r="AH59" i="74"/>
  <c r="F37" i="77"/>
  <c r="H35" i="77" s="1"/>
  <c r="F39" i="77" s="1"/>
  <c r="AE105" i="74"/>
  <c r="D50" i="77" s="1"/>
  <c r="AG105" i="74"/>
  <c r="R249" i="66"/>
  <c r="S249" i="66" s="1"/>
  <c r="U249" i="66" s="1"/>
  <c r="P57" i="66"/>
  <c r="AA201" i="66"/>
  <c r="AA57" i="66"/>
  <c r="Z201" i="66"/>
  <c r="Z57" i="66"/>
  <c r="T57" i="74"/>
  <c r="Q57" i="74"/>
  <c r="AC57" i="74"/>
  <c r="O57" i="74"/>
  <c r="Z105" i="74"/>
  <c r="AA105" i="74"/>
  <c r="P105" i="74"/>
  <c r="P201" i="66"/>
  <c r="AD105" i="74"/>
  <c r="R105" i="66"/>
  <c r="S105" i="66" s="1"/>
  <c r="U105" i="66" s="1"/>
  <c r="AE57" i="74" l="1"/>
  <c r="AG57" i="74"/>
  <c r="AF105" i="74"/>
  <c r="AD57" i="74"/>
  <c r="R201" i="66"/>
  <c r="S201" i="66" s="1"/>
  <c r="U201" i="66" s="1"/>
  <c r="R57" i="66"/>
  <c r="S57" i="66" s="1"/>
  <c r="U57" i="66" s="1"/>
  <c r="R105" i="74"/>
  <c r="S105" i="74" s="1"/>
  <c r="U105" i="74" s="1"/>
  <c r="Z57" i="74"/>
  <c r="P57" i="74"/>
  <c r="AA57" i="74"/>
  <c r="R57" i="74" l="1"/>
  <c r="S57" i="74" s="1"/>
  <c r="U57" i="74" s="1"/>
  <c r="AF57" i="74"/>
  <c r="T198" i="66" l="1"/>
  <c r="T246" i="66"/>
  <c r="K54" i="74"/>
  <c r="AI54" i="74" s="1"/>
  <c r="T54" i="66"/>
  <c r="K102" i="74" l="1"/>
  <c r="AI102" i="74" s="1"/>
  <c r="T102" i="66"/>
  <c r="T150" i="66"/>
  <c r="T54" i="74"/>
  <c r="T102" i="74" l="1"/>
  <c r="X131" i="66" l="1"/>
  <c r="X179" i="66"/>
  <c r="X275" i="66"/>
  <c r="X35" i="66"/>
  <c r="X227" i="66"/>
  <c r="X83" i="66"/>
  <c r="X83" i="74"/>
  <c r="X35" i="74"/>
  <c r="X131" i="74"/>
  <c r="W179" i="66"/>
  <c r="W35" i="66"/>
  <c r="W35" i="74"/>
  <c r="V179" i="66"/>
  <c r="V35" i="66"/>
  <c r="V35" i="74"/>
  <c r="AH35" i="74"/>
  <c r="W275" i="66"/>
  <c r="V275" i="66"/>
  <c r="W131" i="66"/>
  <c r="V131" i="66"/>
  <c r="AH131" i="74"/>
  <c r="W131" i="74"/>
  <c r="V131" i="74"/>
  <c r="W227" i="66"/>
  <c r="V227" i="66"/>
  <c r="V83" i="66"/>
  <c r="W83" i="66"/>
  <c r="Y83" i="66" s="1"/>
  <c r="AH83" i="74"/>
  <c r="V83" i="74"/>
  <c r="W83" i="74"/>
  <c r="X48" i="66"/>
  <c r="X144" i="66"/>
  <c r="X96" i="66"/>
  <c r="X288" i="66"/>
  <c r="X192" i="66"/>
  <c r="X240" i="66"/>
  <c r="X48" i="74"/>
  <c r="X96" i="74"/>
  <c r="X144" i="74"/>
  <c r="W48" i="66"/>
  <c r="W192" i="66"/>
  <c r="W240" i="66"/>
  <c r="Y240" i="66" s="1"/>
  <c r="V192" i="66"/>
  <c r="V96" i="66"/>
  <c r="W48" i="74"/>
  <c r="W96" i="66"/>
  <c r="V240" i="66"/>
  <c r="V48" i="66"/>
  <c r="W96" i="74"/>
  <c r="V96" i="74"/>
  <c r="V48" i="74"/>
  <c r="W144" i="66"/>
  <c r="AH48" i="74"/>
  <c r="AH96" i="74"/>
  <c r="V288" i="66"/>
  <c r="W288" i="66"/>
  <c r="V144" i="66"/>
  <c r="V144" i="74"/>
  <c r="W144" i="74"/>
  <c r="AH144" i="74"/>
  <c r="X98" i="66"/>
  <c r="X146" i="66"/>
  <c r="X50" i="66"/>
  <c r="X194" i="66"/>
  <c r="X242" i="66"/>
  <c r="X290" i="66"/>
  <c r="X50" i="74"/>
  <c r="X146" i="74"/>
  <c r="X98" i="74"/>
  <c r="X9" i="66"/>
  <c r="W9" i="66"/>
  <c r="X153" i="66"/>
  <c r="W153" i="66"/>
  <c r="X9" i="74"/>
  <c r="W9" i="74"/>
  <c r="V9" i="66"/>
  <c r="V153" i="66"/>
  <c r="AH9" i="74"/>
  <c r="V9" i="74"/>
  <c r="X105" i="66"/>
  <c r="X249" i="66"/>
  <c r="X57" i="66"/>
  <c r="X201" i="66"/>
  <c r="X105" i="74"/>
  <c r="V249" i="66"/>
  <c r="W249" i="66"/>
  <c r="W105" i="66"/>
  <c r="V105" i="66"/>
  <c r="X57" i="74"/>
  <c r="AH105" i="74"/>
  <c r="W105" i="74"/>
  <c r="V57" i="66"/>
  <c r="V201" i="66"/>
  <c r="W201" i="66"/>
  <c r="W57" i="66"/>
  <c r="Y57" i="66" s="1"/>
  <c r="V105" i="74"/>
  <c r="AH57" i="74"/>
  <c r="W57" i="74"/>
  <c r="V57" i="74"/>
  <c r="X21" i="66"/>
  <c r="X69" i="66"/>
  <c r="X261" i="66"/>
  <c r="X117" i="66"/>
  <c r="X213" i="66"/>
  <c r="X165" i="66"/>
  <c r="X117" i="74"/>
  <c r="X69" i="74"/>
  <c r="X21" i="74"/>
  <c r="W21" i="66"/>
  <c r="W165" i="66"/>
  <c r="W213" i="66"/>
  <c r="Y213" i="66" s="1"/>
  <c r="W21" i="74"/>
  <c r="V165" i="66"/>
  <c r="V21" i="66"/>
  <c r="V213" i="66"/>
  <c r="W69" i="66"/>
  <c r="V69" i="66"/>
  <c r="V261" i="66"/>
  <c r="V21" i="74"/>
  <c r="V117" i="66"/>
  <c r="AH21" i="74"/>
  <c r="W117" i="66"/>
  <c r="Y117" i="66" s="1"/>
  <c r="V69" i="74"/>
  <c r="W261" i="66"/>
  <c r="W69" i="74"/>
  <c r="AH69" i="74"/>
  <c r="V117" i="74"/>
  <c r="W117" i="74"/>
  <c r="AH117" i="74"/>
  <c r="X46" i="66"/>
  <c r="X190" i="66"/>
  <c r="X238" i="66"/>
  <c r="X46" i="74"/>
  <c r="X94" i="66"/>
  <c r="W190" i="66"/>
  <c r="W46" i="66"/>
  <c r="X94" i="74"/>
  <c r="W46" i="74"/>
  <c r="V238" i="66"/>
  <c r="V190" i="66"/>
  <c r="V94" i="66"/>
  <c r="W238" i="66"/>
  <c r="W94" i="66"/>
  <c r="X142" i="66"/>
  <c r="V46" i="66"/>
  <c r="X286" i="66"/>
  <c r="V94" i="74"/>
  <c r="X142" i="74"/>
  <c r="AH46" i="74"/>
  <c r="AH94" i="74"/>
  <c r="W94" i="74"/>
  <c r="V46" i="74"/>
  <c r="W142" i="66"/>
  <c r="W286" i="66"/>
  <c r="Y286" i="66" s="1"/>
  <c r="V142" i="66"/>
  <c r="V286" i="66"/>
  <c r="V142" i="74"/>
  <c r="AH142" i="74"/>
  <c r="W142" i="74"/>
  <c r="V101" i="74"/>
  <c r="V5" i="74"/>
  <c r="V197" i="66"/>
  <c r="V5" i="66"/>
  <c r="V53" i="74"/>
  <c r="V149" i="66"/>
  <c r="V53" i="66"/>
  <c r="V101" i="66"/>
  <c r="V245" i="66"/>
  <c r="X53" i="66"/>
  <c r="X149" i="66"/>
  <c r="X5" i="66"/>
  <c r="X245" i="66"/>
  <c r="X101" i="66"/>
  <c r="X197" i="66"/>
  <c r="W53" i="66"/>
  <c r="W149" i="66"/>
  <c r="W5" i="66"/>
  <c r="X101" i="74"/>
  <c r="X5" i="74"/>
  <c r="W197" i="66"/>
  <c r="W245" i="66"/>
  <c r="X53" i="74"/>
  <c r="W101" i="66"/>
  <c r="W53" i="74"/>
  <c r="W5" i="74"/>
  <c r="W101" i="74"/>
  <c r="AH5" i="74"/>
  <c r="AH101" i="74"/>
  <c r="AH53" i="74"/>
  <c r="X170" i="66"/>
  <c r="W170" i="66"/>
  <c r="X26" i="66"/>
  <c r="W26" i="66"/>
  <c r="V170" i="66"/>
  <c r="X26" i="74"/>
  <c r="W26" i="74"/>
  <c r="V26" i="66"/>
  <c r="V26" i="74"/>
  <c r="AH26" i="74"/>
  <c r="X266" i="66"/>
  <c r="X122" i="66"/>
  <c r="X122" i="74"/>
  <c r="X218" i="66"/>
  <c r="W266" i="66"/>
  <c r="W122" i="66"/>
  <c r="V266" i="66"/>
  <c r="V122" i="66"/>
  <c r="X74" i="66"/>
  <c r="V122" i="74"/>
  <c r="AH122" i="74"/>
  <c r="W122" i="74"/>
  <c r="X74" i="74"/>
  <c r="V74" i="66"/>
  <c r="W74" i="66"/>
  <c r="V218" i="66"/>
  <c r="W218" i="66"/>
  <c r="W74" i="74"/>
  <c r="AH74" i="74"/>
  <c r="V74" i="74"/>
  <c r="X167" i="66"/>
  <c r="X23" i="66"/>
  <c r="X23" i="74"/>
  <c r="W23" i="66"/>
  <c r="W167" i="66"/>
  <c r="X263" i="66"/>
  <c r="V23" i="66"/>
  <c r="W23" i="74"/>
  <c r="Y23" i="74" s="1"/>
  <c r="X215" i="66"/>
  <c r="X71" i="66"/>
  <c r="V167" i="66"/>
  <c r="X119" i="66"/>
  <c r="V23" i="74"/>
  <c r="AH23" i="74"/>
  <c r="X71" i="74"/>
  <c r="V215" i="66"/>
  <c r="W215" i="66"/>
  <c r="V71" i="66"/>
  <c r="W71" i="66"/>
  <c r="X119" i="74"/>
  <c r="W119" i="66"/>
  <c r="V71" i="74"/>
  <c r="V263" i="66"/>
  <c r="V119" i="66"/>
  <c r="AH71" i="74"/>
  <c r="W71" i="74"/>
  <c r="W263" i="66"/>
  <c r="W119" i="74"/>
  <c r="AH119" i="74"/>
  <c r="V119" i="74"/>
  <c r="X198" i="66"/>
  <c r="X246" i="66"/>
  <c r="X54" i="66"/>
  <c r="X102" i="66"/>
  <c r="X54" i="74"/>
  <c r="X150" i="66"/>
  <c r="X102" i="74"/>
  <c r="X76" i="66"/>
  <c r="X220" i="66"/>
  <c r="X28" i="66"/>
  <c r="X172" i="66"/>
  <c r="X124" i="66"/>
  <c r="X268" i="66"/>
  <c r="W172" i="66"/>
  <c r="W28" i="66"/>
  <c r="X76" i="74"/>
  <c r="X124" i="74"/>
  <c r="X28" i="74"/>
  <c r="V220" i="66"/>
  <c r="V268" i="66"/>
  <c r="W268" i="66"/>
  <c r="W28" i="74"/>
  <c r="V172" i="66"/>
  <c r="W220" i="66"/>
  <c r="V124" i="66"/>
  <c r="V28" i="66"/>
  <c r="W124" i="66"/>
  <c r="V76" i="66"/>
  <c r="W76" i="66"/>
  <c r="Y76" i="66" s="1"/>
  <c r="W76" i="74"/>
  <c r="AH76" i="74"/>
  <c r="AH28" i="74"/>
  <c r="AH124" i="74"/>
  <c r="V76" i="74"/>
  <c r="V28" i="74"/>
  <c r="W124" i="74"/>
  <c r="V124" i="74"/>
  <c r="X30" i="66"/>
  <c r="W30" i="66"/>
  <c r="X174" i="66"/>
  <c r="X30" i="74"/>
  <c r="W174" i="66"/>
  <c r="V30" i="66"/>
  <c r="V174" i="66"/>
  <c r="W30" i="74"/>
  <c r="V30" i="74"/>
  <c r="X222" i="66"/>
  <c r="X270" i="66"/>
  <c r="X126" i="66"/>
  <c r="X78" i="66"/>
  <c r="V222" i="66"/>
  <c r="W222" i="66"/>
  <c r="X126" i="74"/>
  <c r="V78" i="66"/>
  <c r="W78" i="66"/>
  <c r="V270" i="66"/>
  <c r="X78" i="74"/>
  <c r="W270" i="66"/>
  <c r="V126" i="66"/>
  <c r="W126" i="66"/>
  <c r="V78" i="74"/>
  <c r="W78" i="74"/>
  <c r="W126" i="74"/>
  <c r="AH78" i="74"/>
  <c r="AH126" i="74"/>
  <c r="V126" i="74"/>
  <c r="X10" i="66"/>
  <c r="X58" i="66"/>
  <c r="X154" i="66"/>
  <c r="X202" i="66"/>
  <c r="X250" i="66"/>
  <c r="W154" i="66"/>
  <c r="W10" i="66"/>
  <c r="X106" i="66"/>
  <c r="X58" i="74"/>
  <c r="X10" i="74"/>
  <c r="W10" i="74"/>
  <c r="X106" i="74"/>
  <c r="W202" i="66"/>
  <c r="W250" i="66"/>
  <c r="V250" i="66"/>
  <c r="V58" i="66"/>
  <c r="W58" i="66"/>
  <c r="V202" i="66"/>
  <c r="V10" i="66"/>
  <c r="V154" i="66"/>
  <c r="V58" i="74"/>
  <c r="W106" i="66"/>
  <c r="W58" i="74"/>
  <c r="V106" i="66"/>
  <c r="V10" i="74"/>
  <c r="AH58" i="74"/>
  <c r="AH10" i="74"/>
  <c r="V106" i="74"/>
  <c r="W106" i="74"/>
  <c r="AH106" i="74"/>
  <c r="X128" i="66"/>
  <c r="X272" i="66"/>
  <c r="X32" i="66"/>
  <c r="X176" i="66"/>
  <c r="X224" i="66"/>
  <c r="X80" i="66"/>
  <c r="X80" i="74"/>
  <c r="W176" i="66"/>
  <c r="X32" i="74"/>
  <c r="X128" i="74"/>
  <c r="W32" i="66"/>
  <c r="V272" i="66"/>
  <c r="V80" i="66"/>
  <c r="W272" i="66"/>
  <c r="Y272" i="66" s="1"/>
  <c r="W32" i="74"/>
  <c r="W80" i="66"/>
  <c r="V224" i="66"/>
  <c r="W224" i="66"/>
  <c r="V176" i="66"/>
  <c r="V32" i="66"/>
  <c r="AH32" i="74"/>
  <c r="V32" i="74"/>
  <c r="V128" i="66"/>
  <c r="W128" i="66"/>
  <c r="Y128" i="66" s="1"/>
  <c r="AH80" i="74"/>
  <c r="W80" i="74"/>
  <c r="V80" i="74"/>
  <c r="V128" i="74"/>
  <c r="AH128" i="74"/>
  <c r="W128" i="74"/>
  <c r="X204" i="66"/>
  <c r="X60" i="66"/>
  <c r="X12" i="66"/>
  <c r="X156" i="66"/>
  <c r="X108" i="66"/>
  <c r="X60" i="74"/>
  <c r="W156" i="66"/>
  <c r="X252" i="66"/>
  <c r="W12" i="66"/>
  <c r="X12" i="74"/>
  <c r="W12" i="74"/>
  <c r="X108" i="74"/>
  <c r="V204" i="66"/>
  <c r="V60" i="66"/>
  <c r="W60" i="66"/>
  <c r="V156" i="66"/>
  <c r="W204" i="66"/>
  <c r="V12" i="66"/>
  <c r="W60" i="74"/>
  <c r="V108" i="66"/>
  <c r="W108" i="66"/>
  <c r="V60" i="74"/>
  <c r="V12" i="74"/>
  <c r="AH108" i="74"/>
  <c r="V252" i="66"/>
  <c r="AH12" i="74"/>
  <c r="AH60" i="74"/>
  <c r="W252" i="66"/>
  <c r="W108" i="74"/>
  <c r="V108" i="74"/>
  <c r="V265" i="66"/>
  <c r="V121" i="66"/>
  <c r="V25" i="74"/>
  <c r="V73" i="74"/>
  <c r="V73" i="66"/>
  <c r="V217" i="66"/>
  <c r="V25" i="66"/>
  <c r="V169" i="66"/>
  <c r="V121" i="74"/>
  <c r="X169" i="66"/>
  <c r="X265" i="66"/>
  <c r="X217" i="66"/>
  <c r="X121" i="66"/>
  <c r="X25" i="66"/>
  <c r="X73" i="66"/>
  <c r="W217" i="66"/>
  <c r="X73" i="74"/>
  <c r="W25" i="66"/>
  <c r="W73" i="66"/>
  <c r="Y73" i="66" s="1"/>
  <c r="X121" i="74"/>
  <c r="W265" i="66"/>
  <c r="X25" i="74"/>
  <c r="W169" i="66"/>
  <c r="W121" i="66"/>
  <c r="W73" i="74"/>
  <c r="W25" i="74"/>
  <c r="W121" i="74"/>
  <c r="AH25" i="74"/>
  <c r="AH121" i="74"/>
  <c r="AH73" i="74"/>
  <c r="X160" i="66"/>
  <c r="X64" i="66"/>
  <c r="X112" i="66"/>
  <c r="X208" i="66"/>
  <c r="X16" i="66"/>
  <c r="X256" i="66"/>
  <c r="W16" i="66"/>
  <c r="X112" i="74"/>
  <c r="W160" i="66"/>
  <c r="X16" i="74"/>
  <c r="X64" i="74"/>
  <c r="V256" i="66"/>
  <c r="V112" i="66"/>
  <c r="W112" i="66"/>
  <c r="W256" i="66"/>
  <c r="V64" i="66"/>
  <c r="V16" i="66"/>
  <c r="V208" i="66"/>
  <c r="V160" i="66"/>
  <c r="W64" i="66"/>
  <c r="W208" i="66"/>
  <c r="W16" i="74"/>
  <c r="Y16" i="74" s="1"/>
  <c r="V16" i="74"/>
  <c r="V112" i="74"/>
  <c r="V64" i="74"/>
  <c r="W64" i="74"/>
  <c r="AH64" i="74"/>
  <c r="AH112" i="74"/>
  <c r="AH16" i="74"/>
  <c r="W112" i="74"/>
  <c r="V183" i="66"/>
  <c r="V87" i="66"/>
  <c r="V39" i="74"/>
  <c r="V231" i="66"/>
  <c r="V135" i="66"/>
  <c r="V135" i="74"/>
  <c r="V279" i="66"/>
  <c r="V39" i="66"/>
  <c r="V87" i="74"/>
  <c r="X231" i="66"/>
  <c r="X135" i="66"/>
  <c r="X183" i="66"/>
  <c r="X279" i="66"/>
  <c r="X39" i="66"/>
  <c r="X87" i="66"/>
  <c r="W231" i="66"/>
  <c r="W135" i="66"/>
  <c r="X39" i="74"/>
  <c r="W87" i="66"/>
  <c r="X135" i="74"/>
  <c r="W39" i="66"/>
  <c r="W183" i="66"/>
  <c r="X87" i="74"/>
  <c r="W279" i="66"/>
  <c r="Y279" i="66" s="1"/>
  <c r="W87" i="74"/>
  <c r="W135" i="74"/>
  <c r="W39" i="74"/>
  <c r="AH39" i="74"/>
  <c r="AH135" i="74"/>
  <c r="AH87" i="74"/>
  <c r="X161" i="66"/>
  <c r="W161" i="66"/>
  <c r="X17" i="66"/>
  <c r="W17" i="66"/>
  <c r="X17" i="74"/>
  <c r="W17" i="74"/>
  <c r="V17" i="66"/>
  <c r="V161" i="66"/>
  <c r="AH17" i="74"/>
  <c r="E52" i="77" s="1"/>
  <c r="V17" i="74"/>
  <c r="X257" i="66"/>
  <c r="X113" i="66"/>
  <c r="X113" i="74"/>
  <c r="X65" i="66"/>
  <c r="X65" i="74"/>
  <c r="X209" i="66"/>
  <c r="W257" i="66"/>
  <c r="V257" i="66"/>
  <c r="V209" i="66"/>
  <c r="V113" i="66"/>
  <c r="W113" i="66"/>
  <c r="W209" i="66"/>
  <c r="AH113" i="74"/>
  <c r="F52" i="77" s="1"/>
  <c r="W113" i="74"/>
  <c r="V65" i="66"/>
  <c r="W65" i="66"/>
  <c r="V113" i="74"/>
  <c r="AH65" i="74"/>
  <c r="W65" i="74"/>
  <c r="V65" i="74"/>
  <c r="V184" i="66"/>
  <c r="V136" i="74"/>
  <c r="V232" i="66"/>
  <c r="V136" i="66"/>
  <c r="V40" i="66"/>
  <c r="V88" i="74"/>
  <c r="V280" i="66"/>
  <c r="V88" i="66"/>
  <c r="V40" i="74"/>
  <c r="X40" i="66"/>
  <c r="X232" i="66"/>
  <c r="X184" i="66"/>
  <c r="X136" i="66"/>
  <c r="X88" i="66"/>
  <c r="X280" i="66"/>
  <c r="X136" i="74"/>
  <c r="W184" i="66"/>
  <c r="W40" i="66"/>
  <c r="W136" i="66"/>
  <c r="X40" i="74"/>
  <c r="W88" i="66"/>
  <c r="W232" i="66"/>
  <c r="W280" i="66"/>
  <c r="X88" i="74"/>
  <c r="W88" i="74"/>
  <c r="W136" i="74"/>
  <c r="W40" i="74"/>
  <c r="AH40" i="74"/>
  <c r="AH136" i="74"/>
  <c r="AH88" i="74"/>
  <c r="X42" i="66"/>
  <c r="X42" i="74"/>
  <c r="W42" i="66"/>
  <c r="X186" i="66"/>
  <c r="W42" i="74"/>
  <c r="W186" i="66"/>
  <c r="V42" i="74"/>
  <c r="V186" i="66"/>
  <c r="V42" i="66"/>
  <c r="AH42" i="74"/>
  <c r="E53" i="77" s="1"/>
  <c r="X138" i="66"/>
  <c r="X282" i="66"/>
  <c r="W138" i="66"/>
  <c r="W138" i="74"/>
  <c r="V138" i="66"/>
  <c r="V138" i="74"/>
  <c r="W282" i="66"/>
  <c r="Y282" i="66" s="1"/>
  <c r="V282" i="66"/>
  <c r="X138" i="74"/>
  <c r="X90" i="66"/>
  <c r="X234" i="66"/>
  <c r="W90" i="74"/>
  <c r="AH138" i="74"/>
  <c r="V90" i="74"/>
  <c r="X90" i="74"/>
  <c r="V234" i="66"/>
  <c r="W90" i="66"/>
  <c r="AH90" i="74"/>
  <c r="V90" i="66"/>
  <c r="W234" i="66"/>
  <c r="X20" i="66"/>
  <c r="X164" i="66"/>
  <c r="X20" i="74"/>
  <c r="W20" i="66"/>
  <c r="W164" i="66"/>
  <c r="W20" i="74"/>
  <c r="V20" i="66"/>
  <c r="V164" i="66"/>
  <c r="AH20" i="74"/>
  <c r="V20" i="74"/>
  <c r="X116" i="66"/>
  <c r="X260" i="66"/>
  <c r="X68" i="66"/>
  <c r="X116" i="74"/>
  <c r="X68" i="74"/>
  <c r="X212" i="66"/>
  <c r="V260" i="66"/>
  <c r="V116" i="66"/>
  <c r="W260" i="66"/>
  <c r="W116" i="66"/>
  <c r="V212" i="66"/>
  <c r="V116" i="74"/>
  <c r="W68" i="66"/>
  <c r="Y68" i="66" s="1"/>
  <c r="AH116" i="74"/>
  <c r="F54" i="77" s="1"/>
  <c r="W212" i="66"/>
  <c r="V68" i="66"/>
  <c r="W116" i="74"/>
  <c r="AH68" i="74"/>
  <c r="W68" i="74"/>
  <c r="V68" i="74"/>
  <c r="X45" i="66"/>
  <c r="X189" i="66"/>
  <c r="X237" i="66"/>
  <c r="X93" i="66"/>
  <c r="W45" i="66"/>
  <c r="W189" i="66"/>
  <c r="X45" i="74"/>
  <c r="X93" i="74"/>
  <c r="V237" i="66"/>
  <c r="X285" i="66"/>
  <c r="V189" i="66"/>
  <c r="W237" i="66"/>
  <c r="W93" i="66"/>
  <c r="W45" i="74"/>
  <c r="V93" i="66"/>
  <c r="X141" i="66"/>
  <c r="V45" i="66"/>
  <c r="V45" i="74"/>
  <c r="W93" i="74"/>
  <c r="X141" i="74"/>
  <c r="V93" i="74"/>
  <c r="AH45" i="74"/>
  <c r="AH93" i="74"/>
  <c r="V285" i="66"/>
  <c r="V141" i="66"/>
  <c r="W285" i="66"/>
  <c r="W141" i="66"/>
  <c r="Y141" i="66" s="1"/>
  <c r="V141" i="74"/>
  <c r="W141" i="74"/>
  <c r="AH141" i="74"/>
  <c r="Y201" i="66" l="1"/>
  <c r="Y96" i="66"/>
  <c r="Y117" i="74"/>
  <c r="Y183" i="66"/>
  <c r="Y252" i="66"/>
  <c r="Y71" i="74"/>
  <c r="Y192" i="66"/>
  <c r="F53" i="77"/>
  <c r="Y245" i="66"/>
  <c r="Y153" i="66"/>
  <c r="Y20" i="66"/>
  <c r="Y83" i="74"/>
  <c r="Y21" i="66"/>
  <c r="Y93" i="74"/>
  <c r="Y142" i="74"/>
  <c r="Y42" i="66"/>
  <c r="Y48" i="66"/>
  <c r="F55" i="77"/>
  <c r="Y5" i="74"/>
  <c r="Y26" i="74"/>
  <c r="E55" i="77"/>
  <c r="Y136" i="74"/>
  <c r="Y65" i="74"/>
  <c r="Y25" i="74"/>
  <c r="E54" i="77"/>
  <c r="Y20" i="74"/>
  <c r="Y32" i="74"/>
  <c r="Y131" i="74"/>
  <c r="Y30" i="74"/>
  <c r="Y58" i="74"/>
  <c r="Y30" i="66"/>
  <c r="Y128" i="74"/>
  <c r="Y224" i="66"/>
  <c r="Y46" i="74"/>
  <c r="Y144" i="66"/>
  <c r="Y46" i="66"/>
  <c r="Y116" i="74"/>
  <c r="Y164" i="66"/>
  <c r="Y186" i="66"/>
  <c r="Y53" i="74"/>
  <c r="Y42" i="74"/>
  <c r="Y154" i="66"/>
  <c r="Y256" i="66"/>
  <c r="Y119" i="74"/>
  <c r="Y40" i="66"/>
  <c r="Y174" i="66"/>
  <c r="Y116" i="66"/>
  <c r="Y257" i="66"/>
  <c r="Y39" i="66"/>
  <c r="Y108" i="74"/>
  <c r="Y204" i="66"/>
  <c r="Y176" i="66"/>
  <c r="Y78" i="74"/>
  <c r="Y124" i="74"/>
  <c r="Y220" i="66"/>
  <c r="Y218" i="66"/>
  <c r="Y266" i="66"/>
  <c r="Y5" i="66"/>
  <c r="Y141" i="74"/>
  <c r="Y189" i="66"/>
  <c r="Y260" i="66"/>
  <c r="Y90" i="74"/>
  <c r="Y88" i="74"/>
  <c r="Y17" i="66"/>
  <c r="Y73" i="74"/>
  <c r="Y106" i="66"/>
  <c r="Y10" i="74"/>
  <c r="Y170" i="66"/>
  <c r="Y149" i="66"/>
  <c r="Y165" i="66"/>
  <c r="Y45" i="66"/>
  <c r="Y87" i="66"/>
  <c r="Y208" i="66"/>
  <c r="Y28" i="74"/>
  <c r="Y74" i="66"/>
  <c r="Y53" i="66"/>
  <c r="Y285" i="66"/>
  <c r="Y68" i="74"/>
  <c r="Y161" i="66"/>
  <c r="Y64" i="66"/>
  <c r="Y169" i="66"/>
  <c r="Y60" i="66"/>
  <c r="Y101" i="74"/>
  <c r="Y35" i="74"/>
  <c r="Y9" i="66"/>
  <c r="Y215" i="66"/>
  <c r="Y113" i="66"/>
  <c r="Y105" i="66"/>
  <c r="Y28" i="66"/>
  <c r="Y69" i="74"/>
  <c r="Y57" i="74"/>
  <c r="Y249" i="66"/>
  <c r="Y121" i="66"/>
  <c r="Y126" i="66"/>
  <c r="Y160" i="66"/>
  <c r="E49" i="77"/>
  <c r="Y268" i="66"/>
  <c r="Y119" i="66"/>
  <c r="Y227" i="66"/>
  <c r="Y80" i="66"/>
  <c r="Y270" i="66"/>
  <c r="F49" i="77"/>
  <c r="Y35" i="66"/>
  <c r="Y234" i="66"/>
  <c r="Y232" i="66"/>
  <c r="Y113" i="74"/>
  <c r="Y39" i="74"/>
  <c r="Y112" i="74"/>
  <c r="Y265" i="66"/>
  <c r="Y10" i="66"/>
  <c r="Y71" i="66"/>
  <c r="Y122" i="74"/>
  <c r="Y190" i="66"/>
  <c r="Y105" i="74"/>
  <c r="Y96" i="74"/>
  <c r="Y179" i="66"/>
  <c r="Y93" i="66"/>
  <c r="Y237" i="66"/>
  <c r="Y88" i="66"/>
  <c r="Y135" i="74"/>
  <c r="Y231" i="66"/>
  <c r="Y16" i="66"/>
  <c r="Y80" i="74"/>
  <c r="Y106" i="74"/>
  <c r="Y58" i="66"/>
  <c r="Y76" i="74"/>
  <c r="Y101" i="66"/>
  <c r="Y212" i="66"/>
  <c r="Y209" i="66"/>
  <c r="Y87" i="74"/>
  <c r="Y12" i="74"/>
  <c r="Y78" i="66"/>
  <c r="Y69" i="66"/>
  <c r="Y144" i="74"/>
  <c r="Y45" i="74"/>
  <c r="Y90" i="66"/>
  <c r="Y136" i="66"/>
  <c r="Y25" i="66"/>
  <c r="Y108" i="66"/>
  <c r="Y131" i="66"/>
  <c r="Y138" i="74"/>
  <c r="Y64" i="74"/>
  <c r="Y112" i="66"/>
  <c r="Y12" i="66"/>
  <c r="Y32" i="66"/>
  <c r="Y124" i="66"/>
  <c r="Y263" i="66"/>
  <c r="Y167" i="66"/>
  <c r="Y197" i="66"/>
  <c r="Y142" i="66"/>
  <c r="Y94" i="66"/>
  <c r="Y48" i="74"/>
  <c r="Y65" i="66"/>
  <c r="Y280" i="66"/>
  <c r="Y138" i="66"/>
  <c r="Y184" i="66"/>
  <c r="Y217" i="66"/>
  <c r="Y60" i="74"/>
  <c r="Y250" i="66"/>
  <c r="Y222" i="66"/>
  <c r="Y23" i="66"/>
  <c r="Y238" i="66"/>
  <c r="Y288" i="66"/>
  <c r="Y275" i="66"/>
  <c r="Y135" i="66"/>
  <c r="Y40" i="74"/>
  <c r="Y17" i="74"/>
  <c r="Y121" i="74"/>
  <c r="Y156" i="66"/>
  <c r="Y202" i="66"/>
  <c r="Y126" i="74"/>
  <c r="Y172" i="66"/>
  <c r="Y74" i="74"/>
  <c r="Y122" i="66"/>
  <c r="Y26" i="66"/>
  <c r="Y94" i="74"/>
  <c r="Y261" i="66"/>
  <c r="Y21" i="74"/>
  <c r="Y9" i="74"/>
  <c r="J4" i="58" l="1"/>
  <c r="J4" i="37"/>
  <c r="I4" i="37"/>
  <c r="I4" i="58"/>
  <c r="G251" i="72"/>
  <c r="G282" i="72"/>
  <c r="H4" i="58" l="1"/>
  <c r="H4" i="37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N4" i="58"/>
  <c r="G198" i="66"/>
  <c r="E25" i="53"/>
  <c r="I4" i="41"/>
  <c r="D45" i="39" s="1"/>
  <c r="G54" i="66"/>
  <c r="E19" i="53"/>
  <c r="J4" i="41"/>
  <c r="M45" i="39" s="1"/>
  <c r="E31" i="53"/>
  <c r="G102" i="66"/>
  <c r="E45" i="39"/>
  <c r="G246" i="66"/>
  <c r="O4" i="58"/>
  <c r="E37" i="53"/>
  <c r="L45" i="39" l="1"/>
  <c r="L59" i="39" s="1"/>
  <c r="L60" i="39" s="1"/>
  <c r="G54" i="74"/>
  <c r="E107" i="38"/>
  <c r="D56" i="39"/>
  <c r="D59" i="39"/>
  <c r="D60" i="39" s="1"/>
  <c r="E59" i="39"/>
  <c r="E60" i="39" s="1"/>
  <c r="E56" i="39"/>
  <c r="E124" i="38"/>
  <c r="G252" i="72"/>
  <c r="H253" i="72" s="1"/>
  <c r="I254" i="72" s="1"/>
  <c r="J255" i="72" s="1"/>
  <c r="K256" i="72" s="1"/>
  <c r="L257" i="72" s="1"/>
  <c r="M258" i="72" s="1"/>
  <c r="N259" i="72" s="1"/>
  <c r="O260" i="72" s="1"/>
  <c r="G102" i="74"/>
  <c r="G283" i="72"/>
  <c r="H284" i="72" s="1"/>
  <c r="I285" i="72" s="1"/>
  <c r="J286" i="72" s="1"/>
  <c r="K287" i="72" s="1"/>
  <c r="L288" i="72" s="1"/>
  <c r="M289" i="72" s="1"/>
  <c r="N290" i="72" s="1"/>
  <c r="O291" i="72" s="1"/>
  <c r="E175" i="38"/>
  <c r="M56" i="39"/>
  <c r="M59" i="39"/>
  <c r="M60" i="39" s="1"/>
  <c r="G6" i="66"/>
  <c r="E7" i="53"/>
  <c r="H4" i="41"/>
  <c r="C45" i="39" s="1"/>
  <c r="M4" i="58"/>
  <c r="E13" i="53"/>
  <c r="G150" i="66"/>
  <c r="K45" i="39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L56" i="39"/>
  <c r="E158" i="38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J474" i="58"/>
  <c r="D37" i="53"/>
  <c r="F37" i="53" s="1"/>
  <c r="H31" i="53" s="1"/>
  <c r="J466" i="58"/>
  <c r="P260" i="72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34" i="72"/>
  <c r="G3" i="72"/>
  <c r="P292" i="72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K56" i="39"/>
  <c r="E141" i="38"/>
  <c r="K59" i="39"/>
  <c r="K60" i="39" s="1"/>
  <c r="P291" i="72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L58" i="39"/>
  <c r="L57" i="39"/>
  <c r="D25" i="53"/>
  <c r="F25" i="53" s="1"/>
  <c r="I466" i="58"/>
  <c r="I474" i="58"/>
  <c r="C59" i="39"/>
  <c r="C60" i="39" s="1"/>
  <c r="C56" i="39"/>
  <c r="E90" i="38"/>
  <c r="D57" i="39"/>
  <c r="D58" i="39"/>
  <c r="P261" i="72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I474" i="37"/>
  <c r="D19" i="53"/>
  <c r="F19" i="53" s="1"/>
  <c r="H25" i="53" s="1"/>
  <c r="I466" i="37"/>
  <c r="G96" i="72"/>
  <c r="G65" i="72"/>
  <c r="G6" i="74"/>
  <c r="J466" i="37"/>
  <c r="D31" i="53"/>
  <c r="F31" i="53" s="1"/>
  <c r="J474" i="37"/>
  <c r="E57" i="39"/>
  <c r="E58" i="39"/>
  <c r="G220" i="72"/>
  <c r="G189" i="72"/>
  <c r="G158" i="72"/>
  <c r="G127" i="72"/>
  <c r="M57" i="39"/>
  <c r="M58" i="39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J489" i="37"/>
  <c r="G103" i="66"/>
  <c r="J466" i="41"/>
  <c r="H466" i="37"/>
  <c r="D7" i="53"/>
  <c r="F7" i="53" s="1"/>
  <c r="H13" i="53" s="1"/>
  <c r="K6" i="66"/>
  <c r="H474" i="37"/>
  <c r="H474" i="58"/>
  <c r="H466" i="58"/>
  <c r="D13" i="53"/>
  <c r="F13" i="53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C58" i="39"/>
  <c r="C57" i="39"/>
  <c r="K57" i="39"/>
  <c r="K58" i="39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I489" i="37"/>
  <c r="G55" i="66"/>
  <c r="I466" i="4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I479" i="58"/>
  <c r="G200" i="66"/>
  <c r="E284" i="72"/>
  <c r="F284" i="72" s="1"/>
  <c r="I479" i="37"/>
  <c r="G56" i="66"/>
  <c r="I474" i="41"/>
  <c r="I489" i="58"/>
  <c r="G199" i="66"/>
  <c r="H19" i="53"/>
  <c r="G19" i="53" s="1"/>
  <c r="G25" i="53"/>
  <c r="G104" i="66"/>
  <c r="J474" i="41"/>
  <c r="J479" i="37"/>
  <c r="J489" i="58"/>
  <c r="G247" i="66"/>
  <c r="H37" i="53"/>
  <c r="G37" i="53" s="1"/>
  <c r="G31" i="53"/>
  <c r="G248" i="66"/>
  <c r="J479" i="58"/>
  <c r="M199" i="66" l="1"/>
  <c r="Q199" i="66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T6" i="66"/>
  <c r="X6" i="66"/>
  <c r="K6" i="74"/>
  <c r="E384" i="38"/>
  <c r="L248" i="66" s="1"/>
  <c r="O248" i="66" s="1"/>
  <c r="J480" i="58"/>
  <c r="E385" i="38" s="1"/>
  <c r="L267" i="66" s="1"/>
  <c r="O267" i="66" s="1"/>
  <c r="M55" i="66"/>
  <c r="O55" i="66" s="1"/>
  <c r="G55" i="74"/>
  <c r="I489" i="41"/>
  <c r="H489" i="37"/>
  <c r="G7" i="66"/>
  <c r="H466" i="41"/>
  <c r="E331" i="38"/>
  <c r="E337" i="38"/>
  <c r="G56" i="74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349" i="38"/>
  <c r="N246" i="66" s="1"/>
  <c r="E343" i="38"/>
  <c r="I480" i="37"/>
  <c r="I479" i="41"/>
  <c r="E360" i="38"/>
  <c r="L56" i="66" s="1"/>
  <c r="M247" i="66"/>
  <c r="Q247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366" i="38"/>
  <c r="L104" i="66" s="1"/>
  <c r="J479" i="41"/>
  <c r="J480" i="37"/>
  <c r="E378" i="38"/>
  <c r="L200" i="66" s="1"/>
  <c r="O200" i="66" s="1"/>
  <c r="I480" i="58"/>
  <c r="E379" i="38" s="1"/>
  <c r="L219" i="66" s="1"/>
  <c r="O219" i="66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4" i="72"/>
  <c r="F25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H7" i="53"/>
  <c r="G7" i="53" s="1"/>
  <c r="G13" i="53"/>
  <c r="G104" i="74"/>
  <c r="H489" i="58"/>
  <c r="G151" i="66"/>
  <c r="E319" i="38"/>
  <c r="E325" i="38"/>
  <c r="N198" i="66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52" i="66"/>
  <c r="H479" i="58"/>
  <c r="M103" i="66"/>
  <c r="G103" i="74"/>
  <c r="E307" i="38"/>
  <c r="E313" i="38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H474" i="41"/>
  <c r="G8" i="66"/>
  <c r="H479" i="37"/>
  <c r="J489" i="41"/>
  <c r="L104" i="74" l="1"/>
  <c r="O104" i="74" s="1"/>
  <c r="O199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O104" i="66"/>
  <c r="AA248" i="66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O247" i="66"/>
  <c r="D20" i="8"/>
  <c r="N102" i="66"/>
  <c r="C20" i="8"/>
  <c r="N54" i="66"/>
  <c r="Z248" i="66"/>
  <c r="M102" i="66"/>
  <c r="J486" i="37"/>
  <c r="M54" i="66"/>
  <c r="I486" i="37"/>
  <c r="AC104" i="74"/>
  <c r="J480" i="41"/>
  <c r="D61" i="77" s="1"/>
  <c r="D66" i="77" s="1"/>
  <c r="E367" i="38"/>
  <c r="L123" i="66" s="1"/>
  <c r="H480" i="58"/>
  <c r="E373" i="38" s="1"/>
  <c r="L171" i="66" s="1"/>
  <c r="O171" i="66" s="1"/>
  <c r="E372" i="38"/>
  <c r="L152" i="66" s="1"/>
  <c r="O152" i="66" s="1"/>
  <c r="E295" i="38"/>
  <c r="E301" i="38"/>
  <c r="N150" i="66" s="1"/>
  <c r="L56" i="74"/>
  <c r="AC56" i="74" s="1"/>
  <c r="O103" i="66"/>
  <c r="Q103" i="66"/>
  <c r="M103" i="74"/>
  <c r="Q103" i="74" s="1"/>
  <c r="E289" i="38"/>
  <c r="E283" i="38"/>
  <c r="E361" i="38"/>
  <c r="L75" i="66" s="1"/>
  <c r="I480" i="41"/>
  <c r="G7" i="74"/>
  <c r="M7" i="66"/>
  <c r="AI6" i="74"/>
  <c r="X6" i="74"/>
  <c r="T6" i="74"/>
  <c r="J486" i="58"/>
  <c r="M246" i="66"/>
  <c r="H489" i="41"/>
  <c r="E128" i="72"/>
  <c r="F128" i="72" s="1"/>
  <c r="G8" i="74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P199" i="66"/>
  <c r="AA55" i="66"/>
  <c r="AA199" i="66"/>
  <c r="P55" i="66"/>
  <c r="Z55" i="66"/>
  <c r="Z199" i="66"/>
  <c r="H479" i="41"/>
  <c r="H480" i="37"/>
  <c r="E354" i="38"/>
  <c r="L8" i="66" s="1"/>
  <c r="O8" i="66" s="1"/>
  <c r="I486" i="58"/>
  <c r="M198" i="66"/>
  <c r="E66" i="72"/>
  <c r="F66" i="72" s="1"/>
  <c r="O56" i="66"/>
  <c r="E35" i="72"/>
  <c r="F35" i="72" s="1"/>
  <c r="M151" i="66"/>
  <c r="Q151" i="66" s="1"/>
  <c r="W151" i="66" s="1"/>
  <c r="Y151" i="66" s="1"/>
  <c r="E285" i="72"/>
  <c r="F285" i="72" s="1"/>
  <c r="Q55" i="66"/>
  <c r="M55" i="74"/>
  <c r="Q55" i="74" s="1"/>
  <c r="AA104" i="66" l="1"/>
  <c r="O56" i="74"/>
  <c r="P247" i="66"/>
  <c r="R247" i="66" s="1"/>
  <c r="Z104" i="66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AC55" i="74"/>
  <c r="AG55" i="74" s="1"/>
  <c r="E160" i="72"/>
  <c r="F160" i="72" s="1"/>
  <c r="G161" i="72" s="1"/>
  <c r="AA247" i="66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O151" i="66"/>
  <c r="M102" i="74"/>
  <c r="Q102" i="66"/>
  <c r="O102" i="66"/>
  <c r="H486" i="37"/>
  <c r="M6" i="66"/>
  <c r="O55" i="74"/>
  <c r="E98" i="72"/>
  <c r="F98" i="72" s="1"/>
  <c r="AA152" i="66"/>
  <c r="AA8" i="66"/>
  <c r="Z152" i="66"/>
  <c r="Z8" i="66"/>
  <c r="B20" i="8"/>
  <c r="N6" i="66"/>
  <c r="N6" i="74" s="1"/>
  <c r="O75" i="66"/>
  <c r="L75" i="74"/>
  <c r="AE55" i="74"/>
  <c r="AH55" i="74" s="1"/>
  <c r="AD55" i="74"/>
  <c r="Z56" i="66"/>
  <c r="AA200" i="66"/>
  <c r="Z200" i="66"/>
  <c r="AA56" i="66"/>
  <c r="O123" i="66"/>
  <c r="L123" i="74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Z247" i="66"/>
  <c r="P103" i="66"/>
  <c r="AA103" i="66"/>
  <c r="Z103" i="66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55" i="66"/>
  <c r="W55" i="66"/>
  <c r="Y55" i="66" s="1"/>
  <c r="V55" i="66"/>
  <c r="E191" i="72"/>
  <c r="F191" i="72" s="1"/>
  <c r="AA104" i="74"/>
  <c r="Z104" i="74"/>
  <c r="N54" i="74"/>
  <c r="F18" i="39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Z56" i="74"/>
  <c r="AA56" i="74"/>
  <c r="Q198" i="66"/>
  <c r="O198" i="66"/>
  <c r="AD104" i="74"/>
  <c r="AE104" i="74"/>
  <c r="AH104" i="74" s="1"/>
  <c r="AG104" i="74"/>
  <c r="O7" i="66"/>
  <c r="M7" i="74"/>
  <c r="Q7" i="74" s="1"/>
  <c r="W7" i="74" s="1"/>
  <c r="Y7" i="74" s="1"/>
  <c r="Q7" i="66"/>
  <c r="W7" i="66" s="1"/>
  <c r="Y7" i="66" s="1"/>
  <c r="H486" i="58"/>
  <c r="M150" i="66"/>
  <c r="I486" i="41"/>
  <c r="N102" i="74"/>
  <c r="G18" i="39"/>
  <c r="AD56" i="74"/>
  <c r="AE56" i="74"/>
  <c r="AG56" i="74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L8" i="74"/>
  <c r="AC8" i="74" s="1"/>
  <c r="W199" i="66"/>
  <c r="Y199" i="66" s="1"/>
  <c r="V199" i="66"/>
  <c r="R199" i="66"/>
  <c r="AC103" i="74"/>
  <c r="Q54" i="66"/>
  <c r="M54" i="74"/>
  <c r="O54" i="66"/>
  <c r="H480" i="41"/>
  <c r="C61" i="77" s="1"/>
  <c r="C66" i="77" s="1"/>
  <c r="E355" i="38"/>
  <c r="L27" i="66" s="1"/>
  <c r="E5" i="72"/>
  <c r="F5" i="72" s="1"/>
  <c r="Q246" i="66"/>
  <c r="O246" i="66"/>
  <c r="O103" i="74"/>
  <c r="J486" i="41"/>
  <c r="P246" i="66" l="1"/>
  <c r="W246" i="66" s="1"/>
  <c r="Y246" i="66" s="1"/>
  <c r="W247" i="66"/>
  <c r="Y247" i="66" s="1"/>
  <c r="V247" i="66"/>
  <c r="O7" i="74"/>
  <c r="AA7" i="74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AF104" i="74"/>
  <c r="P151" i="66"/>
  <c r="R151" i="66" s="1"/>
  <c r="AC7" i="74"/>
  <c r="AE7" i="74" s="1"/>
  <c r="AH7" i="74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H162" i="72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AA151" i="66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AD8" i="74"/>
  <c r="AE8" i="74"/>
  <c r="AH8" i="74" s="1"/>
  <c r="AG8" i="74"/>
  <c r="AG103" i="74"/>
  <c r="AE103" i="74"/>
  <c r="AH103" i="74" s="1"/>
  <c r="AD103" i="74"/>
  <c r="W103" i="66"/>
  <c r="Y103" i="66" s="1"/>
  <c r="R103" i="66"/>
  <c r="V103" i="66"/>
  <c r="AF55" i="74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AA55" i="74"/>
  <c r="Z55" i="74"/>
  <c r="P55" i="74"/>
  <c r="P198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M6" i="74"/>
  <c r="Q6" i="66"/>
  <c r="W6" i="66" s="1"/>
  <c r="Y6" i="66" s="1"/>
  <c r="S6" i="66"/>
  <c r="U6" i="66" s="1"/>
  <c r="O6" i="66"/>
  <c r="P103" i="74"/>
  <c r="AA103" i="74"/>
  <c r="Z103" i="74"/>
  <c r="H486" i="41"/>
  <c r="O123" i="74"/>
  <c r="AC123" i="74"/>
  <c r="AC75" i="74"/>
  <c r="O75" i="74"/>
  <c r="E223" i="72"/>
  <c r="F223" i="72" s="1"/>
  <c r="Q150" i="66"/>
  <c r="W150" i="66" s="1"/>
  <c r="Y150" i="66" s="1"/>
  <c r="S150" i="66"/>
  <c r="U150" i="66" s="1"/>
  <c r="O150" i="66"/>
  <c r="AA267" i="66"/>
  <c r="AA123" i="66"/>
  <c r="Z123" i="66"/>
  <c r="Z267" i="66"/>
  <c r="Z219" i="66"/>
  <c r="AA75" i="66"/>
  <c r="Z75" i="66"/>
  <c r="AA219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6" i="72"/>
  <c r="F36" i="72" s="1"/>
  <c r="E67" i="72"/>
  <c r="F67" i="72" s="1"/>
  <c r="AA102" i="66"/>
  <c r="Z102" i="66"/>
  <c r="Z246" i="66"/>
  <c r="AA246" i="66"/>
  <c r="P102" i="66"/>
  <c r="L27" i="74"/>
  <c r="O27" i="66"/>
  <c r="Q102" i="74"/>
  <c r="O102" i="74"/>
  <c r="AC102" i="74"/>
  <c r="Z54" i="66"/>
  <c r="Z198" i="66"/>
  <c r="AA198" i="66"/>
  <c r="AA54" i="66"/>
  <c r="P54" i="66"/>
  <c r="P7" i="66"/>
  <c r="Z151" i="66"/>
  <c r="Z7" i="66"/>
  <c r="AA7" i="66"/>
  <c r="Q54" i="74"/>
  <c r="O54" i="74"/>
  <c r="AC54" i="74"/>
  <c r="O8" i="74"/>
  <c r="AF56" i="74"/>
  <c r="AH56" i="74"/>
  <c r="Z7" i="74" l="1"/>
  <c r="P7" i="74"/>
  <c r="R246" i="66"/>
  <c r="S246" i="66" s="1"/>
  <c r="U246" i="66" s="1"/>
  <c r="V246" i="66"/>
  <c r="P150" i="66"/>
  <c r="R150" i="66" s="1"/>
  <c r="V151" i="66"/>
  <c r="E287" i="72"/>
  <c r="F287" i="72" s="1"/>
  <c r="AG7" i="74"/>
  <c r="AD7" i="74"/>
  <c r="AF8" i="74"/>
  <c r="AF103" i="74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V7" i="66"/>
  <c r="R7" i="66"/>
  <c r="W54" i="66"/>
  <c r="Y54" i="66" s="1"/>
  <c r="V54" i="66"/>
  <c r="R54" i="66"/>
  <c r="S54" i="66" s="1"/>
  <c r="U54" i="66" s="1"/>
  <c r="Z27" i="66"/>
  <c r="AA27" i="66"/>
  <c r="AA171" i="66"/>
  <c r="Z171" i="66"/>
  <c r="AC27" i="74"/>
  <c r="O27" i="74"/>
  <c r="AA8" i="74"/>
  <c r="Z8" i="74"/>
  <c r="R102" i="66"/>
  <c r="S102" i="66" s="1"/>
  <c r="U102" i="66" s="1"/>
  <c r="W102" i="66"/>
  <c r="Y102" i="66" s="1"/>
  <c r="V102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P6" i="66"/>
  <c r="Z150" i="66"/>
  <c r="AA6" i="66"/>
  <c r="Z6" i="66"/>
  <c r="AA150" i="66"/>
  <c r="W55" i="74"/>
  <c r="Y55" i="74" s="1"/>
  <c r="V55" i="74"/>
  <c r="R55" i="74"/>
  <c r="P54" i="74"/>
  <c r="AA54" i="74"/>
  <c r="Z54" i="74"/>
  <c r="Z102" i="74"/>
  <c r="P102" i="74"/>
  <c r="AA102" i="74"/>
  <c r="AE75" i="74"/>
  <c r="AH75" i="74" s="1"/>
  <c r="AD75" i="74"/>
  <c r="AG75" i="74" s="1"/>
  <c r="AE123" i="74"/>
  <c r="AH123" i="74" s="1"/>
  <c r="AD123" i="74"/>
  <c r="AG123" i="74" s="1"/>
  <c r="S6" i="74"/>
  <c r="U6" i="74" s="1"/>
  <c r="Q6" i="74"/>
  <c r="W6" i="74" s="1"/>
  <c r="Y6" i="74" s="1"/>
  <c r="AC6" i="74"/>
  <c r="O6" i="74"/>
  <c r="AF7" i="74"/>
  <c r="AA75" i="74"/>
  <c r="Z75" i="74"/>
  <c r="E257" i="72"/>
  <c r="F257" i="72" s="1"/>
  <c r="Z123" i="74"/>
  <c r="AA123" i="74"/>
  <c r="E130" i="72"/>
  <c r="F130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92" i="72"/>
  <c r="F192" i="72" s="1"/>
  <c r="E99" i="72"/>
  <c r="F99" i="72" s="1"/>
  <c r="V198" i="66"/>
  <c r="W198" i="66"/>
  <c r="Y198" i="66" s="1"/>
  <c r="R198" i="66"/>
  <c r="S198" i="66" s="1"/>
  <c r="U198" i="66" s="1"/>
  <c r="AD54" i="74"/>
  <c r="AG54" i="74"/>
  <c r="AE54" i="74"/>
  <c r="AH54" i="74" s="1"/>
  <c r="D4" i="77"/>
  <c r="AG102" i="74"/>
  <c r="AE102" i="74"/>
  <c r="AF102" i="74" s="1"/>
  <c r="AD102" i="74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6" i="72"/>
  <c r="F6" i="72" s="1"/>
  <c r="W103" i="74"/>
  <c r="Y103" i="74" s="1"/>
  <c r="V103" i="74"/>
  <c r="R103" i="74"/>
  <c r="V7" i="74"/>
  <c r="R7" i="74"/>
  <c r="V150" i="66" l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AF75" i="74"/>
  <c r="R102" i="74"/>
  <c r="S102" i="74" s="1"/>
  <c r="U102" i="74" s="1"/>
  <c r="V102" i="74"/>
  <c r="W102" i="74"/>
  <c r="Y102" i="74" s="1"/>
  <c r="R6" i="66"/>
  <c r="V6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AD6" i="74"/>
  <c r="AG6" i="74" s="1"/>
  <c r="C4" i="77"/>
  <c r="AE6" i="74"/>
  <c r="AF6" i="74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Z6" i="74"/>
  <c r="AA6" i="74"/>
  <c r="P6" i="74"/>
  <c r="D48" i="77"/>
  <c r="AH102" i="74"/>
  <c r="F48" i="77" s="1"/>
  <c r="R54" i="74"/>
  <c r="S54" i="74" s="1"/>
  <c r="U54" i="74" s="1"/>
  <c r="W54" i="74"/>
  <c r="Y54" i="74" s="1"/>
  <c r="V54" i="74"/>
  <c r="AF123" i="74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AF54" i="74"/>
  <c r="E288" i="72"/>
  <c r="F288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AA27" i="74"/>
  <c r="Z27" i="74"/>
  <c r="E37" i="72"/>
  <c r="F37" i="72" s="1"/>
  <c r="AE27" i="74"/>
  <c r="AH27" i="74" s="1"/>
  <c r="AD27" i="74"/>
  <c r="AG27" i="74" s="1"/>
  <c r="E163" i="72"/>
  <c r="F163" i="72" s="1"/>
  <c r="E69" i="72" l="1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AF27" i="74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58" i="72"/>
  <c r="F258" i="72" s="1"/>
  <c r="C48" i="77"/>
  <c r="AH6" i="74"/>
  <c r="E48" i="77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00" i="72"/>
  <c r="F100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R6" i="74"/>
  <c r="V6" i="74"/>
  <c r="E193" i="72"/>
  <c r="F193" i="72" s="1"/>
  <c r="E38" i="72" l="1"/>
  <c r="F38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89" i="72"/>
  <c r="F289" i="72" s="1"/>
  <c r="E132" i="72"/>
  <c r="F132" i="72" s="1"/>
  <c r="E70" i="72"/>
  <c r="F70" i="72" s="1"/>
  <c r="E226" i="72"/>
  <c r="F226" i="72" s="1"/>
  <c r="E164" i="72"/>
  <c r="F164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01" i="72"/>
  <c r="F101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33" i="72" l="1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71" i="72"/>
  <c r="F71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95" i="72"/>
  <c r="F195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90" i="72"/>
  <c r="F290" i="72" s="1"/>
  <c r="E260" i="72"/>
  <c r="F260" i="72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9" i="72"/>
  <c r="F9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66" i="72"/>
  <c r="F166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8" i="72"/>
  <c r="F228" i="72" s="1"/>
  <c r="E134" i="72"/>
  <c r="F134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0" i="72"/>
  <c r="F40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96" i="72"/>
  <c r="F196" i="72" s="1"/>
  <c r="E103" i="72"/>
  <c r="F103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92" i="72" l="1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67" i="72"/>
  <c r="F167" i="72" s="1"/>
  <c r="G168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35" i="72"/>
  <c r="F135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62" i="72"/>
  <c r="F262" i="72" s="1"/>
  <c r="H169" i="72" l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30" i="72"/>
  <c r="F23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7" i="72"/>
  <c r="F197" i="72" s="1"/>
  <c r="E293" i="72"/>
  <c r="F29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41" i="72"/>
  <c r="F41" i="72" s="1"/>
  <c r="E74" i="72"/>
  <c r="F74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04" i="72"/>
  <c r="F104" i="72" s="1"/>
  <c r="E11" i="72" l="1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63" i="72"/>
  <c r="F263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6" i="72"/>
  <c r="F136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05" i="72"/>
  <c r="F105" i="72" s="1"/>
  <c r="E170" i="72"/>
  <c r="F170" i="72" s="1"/>
  <c r="E198" i="72"/>
  <c r="F198" i="72" s="1"/>
  <c r="E294" i="72"/>
  <c r="F294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E42" i="72"/>
  <c r="F42" i="72" s="1"/>
  <c r="E75" i="72"/>
  <c r="F75" i="72" s="1"/>
  <c r="E137" i="72" l="1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32" i="72"/>
  <c r="F232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4" i="72"/>
  <c r="F264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76" i="72"/>
  <c r="F76" i="72" s="1"/>
  <c r="E138" i="72"/>
  <c r="F138" i="72" s="1"/>
  <c r="E13" i="72"/>
  <c r="F13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43" i="72"/>
  <c r="F43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5" i="72"/>
  <c r="F26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33" i="72"/>
  <c r="F233" i="72" s="1"/>
  <c r="E296" i="72"/>
  <c r="F296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00" i="72"/>
  <c r="F200" i="72" s="1"/>
  <c r="E107" i="72"/>
  <c r="F107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44" i="72"/>
  <c r="F44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77" i="72"/>
  <c r="F77" i="72" s="1"/>
  <c r="E173" i="72"/>
  <c r="F173" i="72" s="1"/>
  <c r="E139" i="72"/>
  <c r="F139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6" i="72"/>
  <c r="F266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34" i="72"/>
  <c r="F234" i="72" s="1"/>
  <c r="E297" i="72"/>
  <c r="F297" i="72" s="1"/>
  <c r="E15" i="72"/>
  <c r="F1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08" i="72"/>
  <c r="F10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78" i="72"/>
  <c r="F78" i="72" s="1"/>
  <c r="E175" i="72" l="1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67" i="72"/>
  <c r="F267" i="72" s="1"/>
  <c r="E46" i="72"/>
  <c r="F46" i="72" s="1"/>
  <c r="E298" i="72"/>
  <c r="F298" i="72" s="1"/>
  <c r="E16" i="72"/>
  <c r="F16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42" i="72"/>
  <c r="F142" i="72" s="1"/>
  <c r="E176" i="72"/>
  <c r="F176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79" i="72"/>
  <c r="F79" i="72" s="1"/>
  <c r="E204" i="72"/>
  <c r="F20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36" i="72"/>
  <c r="F236" i="72" s="1"/>
  <c r="E110" i="72"/>
  <c r="F110" i="72" s="1"/>
  <c r="G205" i="72" l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68" i="72"/>
  <c r="F268" i="72" s="1"/>
  <c r="E299" i="72"/>
  <c r="F29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7" i="72"/>
  <c r="F47" i="72" s="1"/>
  <c r="E17" i="72"/>
  <c r="F17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80" i="72"/>
  <c r="F8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11" i="72"/>
  <c r="F1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7" i="72"/>
  <c r="F237" i="72" s="1"/>
  <c r="E300" i="72" l="1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8" i="72"/>
  <c r="F18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07" i="72"/>
  <c r="F207" i="72" s="1"/>
  <c r="E49" i="72"/>
  <c r="F49" i="72" s="1"/>
  <c r="E145" i="72"/>
  <c r="F145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70" i="72"/>
  <c r="F270" i="72" s="1"/>
  <c r="E301" i="72"/>
  <c r="F301" i="72" s="1"/>
  <c r="G146" i="72" l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82" i="72"/>
  <c r="F82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9" i="72"/>
  <c r="F239" i="72" s="1"/>
  <c r="E113" i="72"/>
  <c r="F113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9" i="72"/>
  <c r="F19" i="72" s="1"/>
  <c r="E180" i="72"/>
  <c r="F18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302" i="72" l="1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G181" i="72"/>
  <c r="H182" i="72" s="1"/>
  <c r="I183" i="72" s="1"/>
  <c r="J184" i="72" s="1"/>
  <c r="K185" i="72" s="1"/>
  <c r="L186" i="72" s="1"/>
  <c r="M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8" i="72"/>
  <c r="F20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50" i="72"/>
  <c r="F50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46" i="72"/>
  <c r="F146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83" i="72"/>
  <c r="F8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20" i="72"/>
  <c r="F20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81" i="72"/>
  <c r="F181" i="72" s="1"/>
  <c r="E147" i="72" l="1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51" i="72"/>
  <c r="F51" i="72" s="1"/>
  <c r="E304" i="72"/>
  <c r="F304" i="72" s="1"/>
  <c r="E273" i="72"/>
  <c r="F273" i="72" s="1"/>
  <c r="E241" i="72"/>
  <c r="F241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15" i="72"/>
  <c r="F115" i="72" s="1"/>
  <c r="G182" i="72"/>
  <c r="H183" i="72" s="1"/>
  <c r="I184" i="72" s="1"/>
  <c r="J185" i="72" s="1"/>
  <c r="K186" i="72" s="1"/>
  <c r="L187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84" i="72"/>
  <c r="F84" i="72" s="1"/>
  <c r="E21" i="72"/>
  <c r="F2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82" i="72"/>
  <c r="F182" i="72" s="1"/>
  <c r="G305" i="72"/>
  <c r="H306" i="72" s="1"/>
  <c r="I307" i="72" s="1"/>
  <c r="J308" i="72" s="1"/>
  <c r="K309" i="72" s="1"/>
  <c r="L310" i="72" s="1"/>
  <c r="M311" i="72" s="1"/>
  <c r="G242" i="72"/>
  <c r="H243" i="72" s="1"/>
  <c r="I244" i="72" s="1"/>
  <c r="J245" i="72" s="1"/>
  <c r="K246" i="72" s="1"/>
  <c r="L247" i="72" s="1"/>
  <c r="M248" i="72" s="1"/>
  <c r="N24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74" i="72"/>
  <c r="H275" i="72" s="1"/>
  <c r="I276" i="72" s="1"/>
  <c r="J277" i="72" s="1"/>
  <c r="K278" i="72" s="1"/>
  <c r="L279" i="72" s="1"/>
  <c r="M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74" i="72"/>
  <c r="F274" i="72" s="1"/>
  <c r="G275" i="72" s="1"/>
  <c r="H276" i="72" s="1"/>
  <c r="I277" i="72" s="1"/>
  <c r="J278" i="72" s="1"/>
  <c r="K279" i="72" s="1"/>
  <c r="L280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305" i="72"/>
  <c r="F305" i="72" s="1"/>
  <c r="G183" i="72"/>
  <c r="H184" i="72" s="1"/>
  <c r="I185" i="72" s="1"/>
  <c r="J186" i="72" s="1"/>
  <c r="K187" i="72" s="1"/>
  <c r="E211" i="72"/>
  <c r="F211" i="72" s="1"/>
  <c r="E149" i="72"/>
  <c r="F149" i="72" s="1"/>
  <c r="E116" i="72"/>
  <c r="F11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75" i="72" l="1"/>
  <c r="F275" i="72" s="1"/>
  <c r="G276" i="72" s="1"/>
  <c r="H277" i="72" s="1"/>
  <c r="I278" i="72" s="1"/>
  <c r="J279" i="72" s="1"/>
  <c r="K280" i="72" s="1"/>
  <c r="E85" i="72"/>
  <c r="F85" i="72" s="1"/>
  <c r="G212" i="72"/>
  <c r="H213" i="72" s="1"/>
  <c r="I214" i="72" s="1"/>
  <c r="J215" i="72" s="1"/>
  <c r="K216" i="72" s="1"/>
  <c r="L217" i="72" s="1"/>
  <c r="M218" i="72" s="1"/>
  <c r="E22" i="72"/>
  <c r="F22" i="72" s="1"/>
  <c r="E183" i="72"/>
  <c r="F183" i="72" s="1"/>
  <c r="E243" i="72"/>
  <c r="F243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53" i="72"/>
  <c r="F53" i="72" s="1"/>
  <c r="G150" i="72"/>
  <c r="H151" i="72" s="1"/>
  <c r="I152" i="72" s="1"/>
  <c r="J153" i="72" s="1"/>
  <c r="K154" i="72" s="1"/>
  <c r="L155" i="72" s="1"/>
  <c r="M156" i="72" s="1"/>
  <c r="G306" i="72"/>
  <c r="H307" i="72" s="1"/>
  <c r="I308" i="72" s="1"/>
  <c r="J309" i="72" s="1"/>
  <c r="K310" i="72" s="1"/>
  <c r="L311" i="72" s="1"/>
  <c r="G86" i="72" l="1"/>
  <c r="H87" i="72" s="1"/>
  <c r="I88" i="72" s="1"/>
  <c r="J89" i="72" s="1"/>
  <c r="K90" i="72" s="1"/>
  <c r="L91" i="72" s="1"/>
  <c r="M92" i="72" s="1"/>
  <c r="N93" i="72" s="1"/>
  <c r="O94" i="72" s="1"/>
  <c r="E276" i="72"/>
  <c r="F276" i="72" s="1"/>
  <c r="E150" i="72"/>
  <c r="F15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17" i="72"/>
  <c r="F117" i="72" s="1"/>
  <c r="G244" i="72"/>
  <c r="H245" i="72" s="1"/>
  <c r="I246" i="72" s="1"/>
  <c r="J247" i="72" s="1"/>
  <c r="K248" i="72" s="1"/>
  <c r="L249" i="72" s="1"/>
  <c r="E306" i="72"/>
  <c r="F306" i="72" s="1"/>
  <c r="G184" i="72"/>
  <c r="H185" i="72" s="1"/>
  <c r="I186" i="72" s="1"/>
  <c r="J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12" i="72"/>
  <c r="F212" i="72" s="1"/>
  <c r="E184" i="72" l="1"/>
  <c r="F184" i="72" s="1"/>
  <c r="G185" i="72" s="1"/>
  <c r="H186" i="72" s="1"/>
  <c r="I187" i="72" s="1"/>
  <c r="E86" i="72"/>
  <c r="F86" i="72" s="1"/>
  <c r="E244" i="72"/>
  <c r="F244" i="72" s="1"/>
  <c r="G245" i="72" s="1"/>
  <c r="H246" i="72" s="1"/>
  <c r="I247" i="72" s="1"/>
  <c r="J248" i="72" s="1"/>
  <c r="K249" i="72" s="1"/>
  <c r="G307" i="72"/>
  <c r="H308" i="72" s="1"/>
  <c r="I309" i="72" s="1"/>
  <c r="J310" i="72" s="1"/>
  <c r="K311" i="72" s="1"/>
  <c r="G213" i="72"/>
  <c r="H214" i="72" s="1"/>
  <c r="I215" i="72" s="1"/>
  <c r="J216" i="72" s="1"/>
  <c r="K217" i="72" s="1"/>
  <c r="L218" i="72" s="1"/>
  <c r="G118" i="72"/>
  <c r="H119" i="72" s="1"/>
  <c r="I120" i="72" s="1"/>
  <c r="J121" i="72" s="1"/>
  <c r="K122" i="72" s="1"/>
  <c r="L123" i="72" s="1"/>
  <c r="M124" i="72" s="1"/>
  <c r="N125" i="72" s="1"/>
  <c r="E23" i="72"/>
  <c r="F23" i="72" s="1"/>
  <c r="E54" i="72"/>
  <c r="F54" i="72" s="1"/>
  <c r="G151" i="72"/>
  <c r="H152" i="72" s="1"/>
  <c r="I153" i="72" s="1"/>
  <c r="J154" i="72" s="1"/>
  <c r="K155" i="72" s="1"/>
  <c r="L156" i="72" s="1"/>
  <c r="G277" i="72"/>
  <c r="H278" i="72" s="1"/>
  <c r="I279" i="72" s="1"/>
  <c r="J280" i="72" s="1"/>
  <c r="G87" i="72" l="1"/>
  <c r="H88" i="72" s="1"/>
  <c r="I89" i="72" s="1"/>
  <c r="J90" i="72" s="1"/>
  <c r="K91" i="72" s="1"/>
  <c r="L92" i="72" s="1"/>
  <c r="M93" i="72" s="1"/>
  <c r="N94" i="72" s="1"/>
  <c r="E118" i="72"/>
  <c r="F118" i="72" s="1"/>
  <c r="E213" i="72"/>
  <c r="F213" i="72" s="1"/>
  <c r="E277" i="72"/>
  <c r="F277" i="72" s="1"/>
  <c r="E245" i="72"/>
  <c r="F245" i="72" s="1"/>
  <c r="E151" i="72"/>
  <c r="F151" i="72" s="1"/>
  <c r="E307" i="72"/>
  <c r="F307" i="72" s="1"/>
  <c r="G55" i="72"/>
  <c r="H56" i="72" s="1"/>
  <c r="I57" i="72" s="1"/>
  <c r="J58" i="72" s="1"/>
  <c r="K59" i="72" s="1"/>
  <c r="L60" i="72" s="1"/>
  <c r="M61" i="72" s="1"/>
  <c r="N62" i="72" s="1"/>
  <c r="O63" i="72" s="1"/>
  <c r="E185" i="72"/>
  <c r="F185" i="72" s="1"/>
  <c r="G24" i="72"/>
  <c r="H25" i="72" s="1"/>
  <c r="I26" i="72" s="1"/>
  <c r="J27" i="72" s="1"/>
  <c r="K28" i="72" s="1"/>
  <c r="L29" i="72" s="1"/>
  <c r="M30" i="72" s="1"/>
  <c r="N31" i="72" s="1"/>
  <c r="O32" i="72" s="1"/>
  <c r="E55" i="72" l="1"/>
  <c r="F55" i="72" s="1"/>
  <c r="G56" i="72" s="1"/>
  <c r="H57" i="72" s="1"/>
  <c r="I58" i="72" s="1"/>
  <c r="J59" i="72" s="1"/>
  <c r="K60" i="72" s="1"/>
  <c r="L61" i="72" s="1"/>
  <c r="M62" i="72" s="1"/>
  <c r="N63" i="72" s="1"/>
  <c r="E87" i="72"/>
  <c r="F87" i="72" s="1"/>
  <c r="G186" i="72"/>
  <c r="H187" i="72" s="1"/>
  <c r="G308" i="72"/>
  <c r="H309" i="72" s="1"/>
  <c r="I310" i="72" s="1"/>
  <c r="J311" i="72" s="1"/>
  <c r="G152" i="72"/>
  <c r="H153" i="72" s="1"/>
  <c r="I154" i="72" s="1"/>
  <c r="J155" i="72" s="1"/>
  <c r="K156" i="72" s="1"/>
  <c r="G246" i="72"/>
  <c r="H247" i="72" s="1"/>
  <c r="I248" i="72" s="1"/>
  <c r="J249" i="72" s="1"/>
  <c r="G278" i="72"/>
  <c r="H279" i="72" s="1"/>
  <c r="I280" i="72" s="1"/>
  <c r="G214" i="72"/>
  <c r="H215" i="72" s="1"/>
  <c r="I216" i="72" s="1"/>
  <c r="J217" i="72" s="1"/>
  <c r="K218" i="72" s="1"/>
  <c r="E24" i="72"/>
  <c r="F24" i="72" s="1"/>
  <c r="G119" i="72"/>
  <c r="H120" i="72" s="1"/>
  <c r="I121" i="72" s="1"/>
  <c r="J122" i="72" s="1"/>
  <c r="K123" i="72" s="1"/>
  <c r="L124" i="72" s="1"/>
  <c r="M125" i="72" s="1"/>
  <c r="G88" i="72" l="1"/>
  <c r="H89" i="72" s="1"/>
  <c r="I90" i="72" s="1"/>
  <c r="J91" i="72" s="1"/>
  <c r="K92" i="72" s="1"/>
  <c r="L93" i="72" s="1"/>
  <c r="M94" i="72" s="1"/>
  <c r="E119" i="72"/>
  <c r="F119" i="72" s="1"/>
  <c r="G120" i="72" s="1"/>
  <c r="H121" i="72" s="1"/>
  <c r="I122" i="72" s="1"/>
  <c r="J123" i="72" s="1"/>
  <c r="K124" i="72" s="1"/>
  <c r="L125" i="72" s="1"/>
  <c r="E278" i="72"/>
  <c r="F278" i="72" s="1"/>
  <c r="E246" i="72"/>
  <c r="F246" i="72" s="1"/>
  <c r="E152" i="72"/>
  <c r="F152" i="72" s="1"/>
  <c r="E308" i="72"/>
  <c r="F308" i="72" s="1"/>
  <c r="E56" i="72"/>
  <c r="F56" i="72" s="1"/>
  <c r="G25" i="72"/>
  <c r="H26" i="72" s="1"/>
  <c r="I27" i="72" s="1"/>
  <c r="J28" i="72" s="1"/>
  <c r="K29" i="72" s="1"/>
  <c r="L30" i="72" s="1"/>
  <c r="M31" i="72" s="1"/>
  <c r="N32" i="72" s="1"/>
  <c r="E214" i="72"/>
  <c r="F214" i="72" s="1"/>
  <c r="E186" i="72"/>
  <c r="F186" i="72" s="1"/>
  <c r="G187" i="72" s="1"/>
  <c r="E187" i="72" s="1"/>
  <c r="F187" i="72" s="1"/>
  <c r="E88" i="72" l="1"/>
  <c r="F88" i="72" s="1"/>
  <c r="E120" i="72"/>
  <c r="F120" i="72" s="1"/>
  <c r="G121" i="72" s="1"/>
  <c r="H122" i="72" s="1"/>
  <c r="I123" i="72" s="1"/>
  <c r="J124" i="72" s="1"/>
  <c r="K125" i="72" s="1"/>
  <c r="E25" i="72"/>
  <c r="F25" i="72" s="1"/>
  <c r="G26" i="72" s="1"/>
  <c r="H27" i="72" s="1"/>
  <c r="I28" i="72" s="1"/>
  <c r="J29" i="72" s="1"/>
  <c r="K30" i="72" s="1"/>
  <c r="L31" i="72" s="1"/>
  <c r="M32" i="72" s="1"/>
  <c r="G309" i="72"/>
  <c r="H310" i="72" s="1"/>
  <c r="I311" i="72" s="1"/>
  <c r="G215" i="72"/>
  <c r="H216" i="72" s="1"/>
  <c r="I217" i="72" s="1"/>
  <c r="J218" i="72" s="1"/>
  <c r="G57" i="72"/>
  <c r="H58" i="72" s="1"/>
  <c r="I59" i="72" s="1"/>
  <c r="J60" i="72" s="1"/>
  <c r="K61" i="72" s="1"/>
  <c r="L62" i="72" s="1"/>
  <c r="M63" i="72" s="1"/>
  <c r="G153" i="72"/>
  <c r="H154" i="72" s="1"/>
  <c r="I155" i="72" s="1"/>
  <c r="J156" i="72" s="1"/>
  <c r="G247" i="72"/>
  <c r="H248" i="72" s="1"/>
  <c r="I249" i="72" s="1"/>
  <c r="G279" i="72"/>
  <c r="H280" i="72" s="1"/>
  <c r="E247" i="72" l="1"/>
  <c r="F247" i="72" s="1"/>
  <c r="G248" i="72" s="1"/>
  <c r="H249" i="72" s="1"/>
  <c r="G89" i="72"/>
  <c r="H90" i="72" s="1"/>
  <c r="I91" i="72" s="1"/>
  <c r="J92" i="72" s="1"/>
  <c r="K93" i="72" s="1"/>
  <c r="L94" i="72" s="1"/>
  <c r="E153" i="72"/>
  <c r="F153" i="72" s="1"/>
  <c r="G154" i="72" s="1"/>
  <c r="H155" i="72" s="1"/>
  <c r="I156" i="72" s="1"/>
  <c r="E121" i="72"/>
  <c r="F121" i="72" s="1"/>
  <c r="G122" i="72" s="1"/>
  <c r="E309" i="72"/>
  <c r="F309" i="72" s="1"/>
  <c r="G310" i="72" s="1"/>
  <c r="H311" i="72" s="1"/>
  <c r="E279" i="72"/>
  <c r="F279" i="72" s="1"/>
  <c r="G280" i="72" s="1"/>
  <c r="E280" i="72" s="1"/>
  <c r="F280" i="72" s="1"/>
  <c r="E215" i="72"/>
  <c r="F215" i="72" s="1"/>
  <c r="E57" i="72"/>
  <c r="F57" i="72" s="1"/>
  <c r="E26" i="72"/>
  <c r="F26" i="72" s="1"/>
  <c r="E89" i="72" l="1"/>
  <c r="F89" i="72" s="1"/>
  <c r="H123" i="72"/>
  <c r="I124" i="72" s="1"/>
  <c r="J125" i="72" s="1"/>
  <c r="E122" i="72"/>
  <c r="F122" i="72" s="1"/>
  <c r="G123" i="72" s="1"/>
  <c r="H124" i="72" s="1"/>
  <c r="I125" i="72" s="1"/>
  <c r="G216" i="72"/>
  <c r="H217" i="72" s="1"/>
  <c r="I218" i="72" s="1"/>
  <c r="G27" i="72"/>
  <c r="H28" i="72" s="1"/>
  <c r="I29" i="72" s="1"/>
  <c r="J30" i="72" s="1"/>
  <c r="K31" i="72" s="1"/>
  <c r="L32" i="72" s="1"/>
  <c r="E310" i="72"/>
  <c r="F310" i="72" s="1"/>
  <c r="G311" i="72" s="1"/>
  <c r="E311" i="72" s="1"/>
  <c r="F311" i="72" s="1"/>
  <c r="G58" i="72"/>
  <c r="H59" i="72" s="1"/>
  <c r="I60" i="72" s="1"/>
  <c r="J61" i="72" s="1"/>
  <c r="K62" i="72" s="1"/>
  <c r="L63" i="72" s="1"/>
  <c r="E248" i="72"/>
  <c r="F248" i="72" s="1"/>
  <c r="E154" i="72"/>
  <c r="F154" i="72" s="1"/>
  <c r="E58" i="72" l="1"/>
  <c r="F58" i="72" s="1"/>
  <c r="G59" i="72" s="1"/>
  <c r="H60" i="72" s="1"/>
  <c r="I61" i="72" s="1"/>
  <c r="J62" i="72" s="1"/>
  <c r="K63" i="72" s="1"/>
  <c r="G90" i="72"/>
  <c r="H91" i="72" s="1"/>
  <c r="I92" i="72" s="1"/>
  <c r="J93" i="72" s="1"/>
  <c r="K94" i="72" s="1"/>
  <c r="E27" i="72"/>
  <c r="F27" i="72" s="1"/>
  <c r="G155" i="72"/>
  <c r="H156" i="72" s="1"/>
  <c r="E123" i="72"/>
  <c r="F123" i="72" s="1"/>
  <c r="G249" i="72"/>
  <c r="E249" i="72" s="1"/>
  <c r="F249" i="72" s="1"/>
  <c r="E216" i="72"/>
  <c r="F216" i="72" s="1"/>
  <c r="E90" i="72" l="1"/>
  <c r="F90" i="72" s="1"/>
  <c r="G217" i="72"/>
  <c r="H218" i="72" s="1"/>
  <c r="G124" i="72"/>
  <c r="H125" i="72" s="1"/>
  <c r="E155" i="72"/>
  <c r="F155" i="72" s="1"/>
  <c r="G156" i="72" s="1"/>
  <c r="E156" i="72" s="1"/>
  <c r="F156" i="72" s="1"/>
  <c r="G28" i="72"/>
  <c r="H29" i="72" s="1"/>
  <c r="I30" i="72" s="1"/>
  <c r="J31" i="72" s="1"/>
  <c r="K32" i="72" s="1"/>
  <c r="E59" i="72"/>
  <c r="F59" i="72" s="1"/>
  <c r="E217" i="72" l="1"/>
  <c r="F217" i="72" s="1"/>
  <c r="G218" i="72" s="1"/>
  <c r="E218" i="72" s="1"/>
  <c r="F218" i="72" s="1"/>
  <c r="G91" i="72"/>
  <c r="H92" i="72" s="1"/>
  <c r="I93" i="72" s="1"/>
  <c r="J94" i="72" s="1"/>
  <c r="E28" i="72"/>
  <c r="F28" i="72" s="1"/>
  <c r="E124" i="72"/>
  <c r="F124" i="72" s="1"/>
  <c r="G125" i="72" s="1"/>
  <c r="G60" i="72"/>
  <c r="H61" i="72" s="1"/>
  <c r="I62" i="72" s="1"/>
  <c r="J63" i="72" s="1"/>
  <c r="E91" i="72" l="1"/>
  <c r="F91" i="72" s="1"/>
  <c r="E60" i="72"/>
  <c r="F60" i="72" s="1"/>
  <c r="E125" i="72"/>
  <c r="F125" i="72" s="1"/>
  <c r="AL125" i="72" s="1"/>
  <c r="G29" i="72"/>
  <c r="H30" i="72" s="1"/>
  <c r="I31" i="72" s="1"/>
  <c r="J32" i="72" s="1"/>
  <c r="G92" i="72" l="1"/>
  <c r="H93" i="72" s="1"/>
  <c r="I94" i="72" s="1"/>
  <c r="E29" i="72"/>
  <c r="F29" i="72" s="1"/>
  <c r="G61" i="72"/>
  <c r="H62" i="72" s="1"/>
  <c r="I63" i="72" s="1"/>
  <c r="E92" i="72" l="1"/>
  <c r="F92" i="72" s="1"/>
  <c r="E61" i="72"/>
  <c r="F61" i="72" s="1"/>
  <c r="G30" i="72"/>
  <c r="H31" i="72" s="1"/>
  <c r="I32" i="72" s="1"/>
  <c r="G93" i="72" l="1"/>
  <c r="H94" i="72" s="1"/>
  <c r="E30" i="72"/>
  <c r="F30" i="72" s="1"/>
  <c r="G62" i="72"/>
  <c r="H63" i="72" s="1"/>
  <c r="E93" i="72" l="1"/>
  <c r="F93" i="72" s="1"/>
  <c r="G94" i="72" s="1"/>
  <c r="E94" i="72" s="1"/>
  <c r="F94" i="72" s="1"/>
  <c r="AL94" i="72" s="1"/>
  <c r="AL127" i="72" s="1"/>
  <c r="E62" i="72"/>
  <c r="F62" i="72" s="1"/>
  <c r="G63" i="72" s="1"/>
  <c r="E63" i="72" s="1"/>
  <c r="F63" i="72" s="1"/>
  <c r="AL63" i="72" s="1"/>
  <c r="G31" i="72"/>
  <c r="H32" i="72" s="1"/>
  <c r="E31" i="72" l="1"/>
  <c r="F31" i="72" s="1"/>
  <c r="G32" i="72" l="1"/>
  <c r="E32" i="72" s="1"/>
  <c r="F32" i="72" s="1"/>
  <c r="H36" i="26" s="1" a="1"/>
  <c r="H36" i="26" s="1"/>
  <c r="I220" i="35" s="1"/>
  <c r="H41" i="26" l="1" a="1"/>
  <c r="H41" i="26" s="1"/>
  <c r="I225" i="35" s="1"/>
  <c r="D25" i="26" a="1"/>
  <c r="D25" i="26" s="1"/>
  <c r="H188" i="35" s="1"/>
  <c r="H27" i="26" a="1"/>
  <c r="H27" i="26" s="1"/>
  <c r="H32" i="26" a="1"/>
  <c r="H32" i="26" s="1"/>
  <c r="I216" i="35" s="1"/>
  <c r="D28" i="26" a="1"/>
  <c r="D28" i="26" s="1"/>
  <c r="H191" i="35" s="1"/>
  <c r="G39" i="26" a="1"/>
  <c r="G39" i="26" s="1"/>
  <c r="F39" i="26" a="1"/>
  <c r="F39" i="26" s="1"/>
  <c r="H35" i="26" a="1"/>
  <c r="H35" i="26" s="1"/>
  <c r="H28" i="26" a="1"/>
  <c r="H28" i="26" s="1"/>
  <c r="I212" i="35" s="1"/>
  <c r="J36" i="58" s="1"/>
  <c r="G23" i="26" a="1"/>
  <c r="G23" i="26" s="1"/>
  <c r="H207" i="35" s="1"/>
  <c r="I15" i="58" s="1"/>
  <c r="G24" i="26" a="1"/>
  <c r="G24" i="26" s="1"/>
  <c r="H208" i="35" s="1"/>
  <c r="G27" i="26" a="1"/>
  <c r="G27" i="26" s="1"/>
  <c r="D38" i="26" a="1"/>
  <c r="D38" i="26" s="1"/>
  <c r="H201" i="35" s="1"/>
  <c r="F40" i="26" a="1"/>
  <c r="F40" i="26" s="1"/>
  <c r="G224" i="35" s="1"/>
  <c r="G33" i="26" a="1"/>
  <c r="G33" i="26" s="1"/>
  <c r="H217" i="35" s="1"/>
  <c r="E41" i="26" a="1"/>
  <c r="E41" i="26" s="1"/>
  <c r="I204" i="35" s="1"/>
  <c r="D39" i="26" a="1"/>
  <c r="D39" i="26" s="1"/>
  <c r="G34" i="26" a="1"/>
  <c r="G34" i="26" s="1"/>
  <c r="H218" i="35" s="1"/>
  <c r="D35" i="26" a="1"/>
  <c r="D35" i="26" s="1"/>
  <c r="D34" i="26" a="1"/>
  <c r="D34" i="26" s="1"/>
  <c r="H197" i="35" s="1"/>
  <c r="H38" i="26" a="1"/>
  <c r="H38" i="26" s="1"/>
  <c r="I222" i="35" s="1"/>
  <c r="F35" i="26" a="1"/>
  <c r="F35" i="26" s="1"/>
  <c r="H42" i="26" a="1"/>
  <c r="H42" i="26" s="1"/>
  <c r="I226" i="35" s="1"/>
  <c r="E42" i="26" a="1"/>
  <c r="E42" i="26" s="1"/>
  <c r="I205" i="35" s="1"/>
  <c r="F41" i="26" a="1"/>
  <c r="F41" i="26" s="1"/>
  <c r="G225" i="35" s="1"/>
  <c r="F25" i="26" a="1"/>
  <c r="F25" i="26" s="1"/>
  <c r="G209" i="35" s="1"/>
  <c r="E27" i="26" a="1"/>
  <c r="E27" i="26" s="1"/>
  <c r="F28" i="26" a="1"/>
  <c r="F28" i="26" s="1"/>
  <c r="G212" i="35" s="1"/>
  <c r="G38" i="26" a="1"/>
  <c r="G38" i="26" s="1"/>
  <c r="H222" i="35" s="1"/>
  <c r="E24" i="26" a="1"/>
  <c r="E24" i="26" s="1"/>
  <c r="I187" i="35" s="1"/>
  <c r="E25" i="26" a="1"/>
  <c r="E25" i="26" s="1"/>
  <c r="I188" i="35" s="1"/>
  <c r="F38" i="26" a="1"/>
  <c r="F38" i="26" s="1"/>
  <c r="G222" i="35" s="1"/>
  <c r="D24" i="26" a="1"/>
  <c r="D24" i="26" s="1"/>
  <c r="H187" i="35" s="1"/>
  <c r="I22" i="37" s="1"/>
  <c r="F37" i="26" a="1"/>
  <c r="F37" i="26" s="1"/>
  <c r="G221" i="35" s="1"/>
  <c r="G30" i="26" a="1"/>
  <c r="G30" i="26" s="1"/>
  <c r="H214" i="35" s="1"/>
  <c r="I43" i="58" s="1"/>
  <c r="G41" i="26" a="1"/>
  <c r="G41" i="26" s="1"/>
  <c r="H225" i="35" s="1"/>
  <c r="G37" i="26" a="1"/>
  <c r="G37" i="26" s="1"/>
  <c r="H221" i="35" s="1"/>
  <c r="I72" i="58" s="1"/>
  <c r="E38" i="26" a="1"/>
  <c r="E38" i="26" s="1"/>
  <c r="I201" i="35" s="1"/>
  <c r="G35" i="26" a="1"/>
  <c r="G35" i="26" s="1"/>
  <c r="E26" i="26" a="1"/>
  <c r="E26" i="26" s="1"/>
  <c r="I189" i="35" s="1"/>
  <c r="F36" i="26" a="1"/>
  <c r="F36" i="26" s="1"/>
  <c r="G220" i="35" s="1"/>
  <c r="H31" i="26" a="1"/>
  <c r="H31" i="26" s="1"/>
  <c r="I215" i="35" s="1"/>
  <c r="J47" i="58" s="1"/>
  <c r="F27" i="26" a="1"/>
  <c r="F27" i="26" s="1"/>
  <c r="G211" i="35" s="1"/>
  <c r="E23" i="26" a="1"/>
  <c r="E23" i="26" s="1"/>
  <c r="G28" i="26" a="1"/>
  <c r="G28" i="26" s="1"/>
  <c r="H212" i="35" s="1"/>
  <c r="I36" i="58" s="1"/>
  <c r="F31" i="26" a="1"/>
  <c r="F31" i="26" s="1"/>
  <c r="E36" i="26" a="1"/>
  <c r="E36" i="26" s="1"/>
  <c r="I199" i="35" s="1"/>
  <c r="J69" i="37" s="1"/>
  <c r="F26" i="26" a="1"/>
  <c r="F26" i="26" s="1"/>
  <c r="G210" i="35" s="1"/>
  <c r="E37" i="26" a="1"/>
  <c r="E37" i="26" s="1"/>
  <c r="I200" i="35" s="1"/>
  <c r="J71" i="37" s="1"/>
  <c r="E39" i="26" a="1"/>
  <c r="E39" i="26" s="1"/>
  <c r="I202" i="35" s="1"/>
  <c r="H30" i="26" a="1"/>
  <c r="H30" i="26" s="1"/>
  <c r="I214" i="35" s="1"/>
  <c r="H40" i="26" a="1"/>
  <c r="H40" i="26" s="1"/>
  <c r="I224" i="35" s="1"/>
  <c r="H24" i="26" a="1"/>
  <c r="H24" i="26" s="1"/>
  <c r="I208" i="35" s="1"/>
  <c r="J20" i="58" s="1"/>
  <c r="F24" i="26" a="1"/>
  <c r="F24" i="26" s="1"/>
  <c r="G208" i="35" s="1"/>
  <c r="H19" i="58" s="1"/>
  <c r="H19" i="41" s="1"/>
  <c r="H33" i="26" a="1"/>
  <c r="H33" i="26" s="1"/>
  <c r="I217" i="35" s="1"/>
  <c r="E29" i="26" a="1"/>
  <c r="E29" i="26" s="1"/>
  <c r="I192" i="35" s="1"/>
  <c r="J42" i="37" s="1"/>
  <c r="D32" i="26" a="1"/>
  <c r="D32" i="26" s="1"/>
  <c r="H195" i="35" s="1"/>
  <c r="I53" i="37" s="1"/>
  <c r="G36" i="26" a="1"/>
  <c r="G36" i="26" s="1"/>
  <c r="H220" i="35" s="1"/>
  <c r="I67" i="58" s="1"/>
  <c r="H37" i="26" a="1"/>
  <c r="H37" i="26" s="1"/>
  <c r="I221" i="35" s="1"/>
  <c r="J72" i="58" s="1"/>
  <c r="G40" i="26" a="1"/>
  <c r="G40" i="26" s="1"/>
  <c r="H224" i="35" s="1"/>
  <c r="F42" i="26" a="1"/>
  <c r="F42" i="26" s="1"/>
  <c r="G226" i="35" s="1"/>
  <c r="H91" i="58" s="1"/>
  <c r="H91" i="41" s="1"/>
  <c r="H26" i="26" a="1"/>
  <c r="H26" i="26" s="1"/>
  <c r="I210" i="35" s="1"/>
  <c r="J28" i="58" s="1"/>
  <c r="F30" i="26" a="1"/>
  <c r="F30" i="26" s="1"/>
  <c r="G214" i="35" s="1"/>
  <c r="H46" i="58" s="1"/>
  <c r="H46" i="41" s="1"/>
  <c r="E30" i="26" a="1"/>
  <c r="E30" i="26" s="1"/>
  <c r="I193" i="35" s="1"/>
  <c r="J46" i="37" s="1"/>
  <c r="D33" i="26" a="1"/>
  <c r="D33" i="26" s="1"/>
  <c r="H196" i="35" s="1"/>
  <c r="I58" i="37" s="1"/>
  <c r="E40" i="26" a="1"/>
  <c r="E40" i="26" s="1"/>
  <c r="I203" i="35" s="1"/>
  <c r="J86" i="37" s="1"/>
  <c r="D37" i="26" a="1"/>
  <c r="D37" i="26" s="1"/>
  <c r="H200" i="35" s="1"/>
  <c r="I72" i="37" s="1"/>
  <c r="G29" i="26" a="1"/>
  <c r="G29" i="26" s="1"/>
  <c r="H213" i="35" s="1"/>
  <c r="I42" i="58" s="1"/>
  <c r="H23" i="26" a="1"/>
  <c r="H23" i="26" s="1"/>
  <c r="I207" i="35" s="1"/>
  <c r="E35" i="26" a="1"/>
  <c r="E35" i="26" s="1"/>
  <c r="I198" i="35" s="1"/>
  <c r="D41" i="26" a="1"/>
  <c r="D41" i="26" s="1"/>
  <c r="H204" i="35" s="1"/>
  <c r="I89" i="37" s="1"/>
  <c r="G31" i="26" a="1"/>
  <c r="G31" i="26" s="1"/>
  <c r="E34" i="26" a="1"/>
  <c r="E34" i="26" s="1"/>
  <c r="I197" i="35" s="1"/>
  <c r="J59" i="37" s="1"/>
  <c r="F33" i="26" a="1"/>
  <c r="F33" i="26" s="1"/>
  <c r="G217" i="35" s="1"/>
  <c r="H58" i="58" s="1"/>
  <c r="H58" i="41" s="1"/>
  <c r="H39" i="26" a="1"/>
  <c r="H39" i="26" s="1"/>
  <c r="I223" i="35" s="1"/>
  <c r="G32" i="26" a="1"/>
  <c r="G32" i="26" s="1"/>
  <c r="H216" i="35" s="1"/>
  <c r="I51" i="58" s="1"/>
  <c r="E32" i="26" a="1"/>
  <c r="E32" i="26" s="1"/>
  <c r="I195" i="35" s="1"/>
  <c r="J51" i="37" s="1"/>
  <c r="D42" i="26" a="1"/>
  <c r="D42" i="26" s="1"/>
  <c r="H205" i="35" s="1"/>
  <c r="I94" i="37" s="1"/>
  <c r="H25" i="26" a="1"/>
  <c r="H25" i="26" s="1"/>
  <c r="I209" i="35" s="1"/>
  <c r="J25" i="58" s="1"/>
  <c r="G26" i="26" a="1"/>
  <c r="G26" i="26" s="1"/>
  <c r="H210" i="35" s="1"/>
  <c r="I29" i="58" s="1"/>
  <c r="D36" i="26" a="1"/>
  <c r="D36" i="26" s="1"/>
  <c r="H199" i="35" s="1"/>
  <c r="I68" i="37" s="1"/>
  <c r="D26" i="26" a="1"/>
  <c r="D26" i="26" s="1"/>
  <c r="H189" i="35" s="1"/>
  <c r="I29" i="37" s="1"/>
  <c r="G42" i="26" a="1"/>
  <c r="G42" i="26" s="1"/>
  <c r="H226" i="35" s="1"/>
  <c r="I94" i="58" s="1"/>
  <c r="D30" i="26" a="1"/>
  <c r="D30" i="26" s="1"/>
  <c r="H193" i="35" s="1"/>
  <c r="I45" i="37" s="1"/>
  <c r="E33" i="26" a="1"/>
  <c r="E33" i="26" s="1"/>
  <c r="I196" i="35" s="1"/>
  <c r="J58" i="37" s="1"/>
  <c r="D31" i="26" a="1"/>
  <c r="D31" i="26" s="1"/>
  <c r="F34" i="26" a="1"/>
  <c r="F34" i="26" s="1"/>
  <c r="G218" i="35" s="1"/>
  <c r="H61" i="58" s="1"/>
  <c r="H61" i="41" s="1"/>
  <c r="D23" i="26" a="1"/>
  <c r="D23" i="26" s="1"/>
  <c r="E31" i="26" a="1"/>
  <c r="E31" i="26" s="1"/>
  <c r="I194" i="35" s="1"/>
  <c r="I18" i="58"/>
  <c r="I16" i="58"/>
  <c r="I17" i="58"/>
  <c r="D29" i="26" a="1"/>
  <c r="D29" i="26" s="1"/>
  <c r="H192" i="35" s="1"/>
  <c r="I41" i="37" s="1"/>
  <c r="E28" i="26" a="1"/>
  <c r="E28" i="26" s="1"/>
  <c r="I191" i="35" s="1"/>
  <c r="J38" i="37" s="1"/>
  <c r="F32" i="26" a="1"/>
  <c r="F32" i="26" s="1"/>
  <c r="G216" i="35" s="1"/>
  <c r="H52" i="58" s="1"/>
  <c r="H52" i="41" s="1"/>
  <c r="F23" i="26" a="1"/>
  <c r="F23" i="26" s="1"/>
  <c r="H29" i="26" a="1"/>
  <c r="H29" i="26" s="1"/>
  <c r="I213" i="35" s="1"/>
  <c r="J39" i="58" s="1"/>
  <c r="D27" i="26" a="1"/>
  <c r="D27" i="26" s="1"/>
  <c r="D40" i="26" a="1"/>
  <c r="D40" i="26" s="1"/>
  <c r="H203" i="35" s="1"/>
  <c r="I85" i="37" s="1"/>
  <c r="I211" i="35"/>
  <c r="I46" i="58"/>
  <c r="I40" i="58"/>
  <c r="I39" i="58"/>
  <c r="G223" i="35"/>
  <c r="J91" i="37"/>
  <c r="J94" i="37"/>
  <c r="J93" i="37"/>
  <c r="J92" i="37"/>
  <c r="I87" i="58"/>
  <c r="I88" i="58"/>
  <c r="I89" i="58"/>
  <c r="I90" i="58"/>
  <c r="J74" i="37"/>
  <c r="J72" i="37"/>
  <c r="J73" i="37"/>
  <c r="I36" i="37"/>
  <c r="I38" i="37"/>
  <c r="I35" i="37"/>
  <c r="I37" i="37"/>
  <c r="H89" i="58"/>
  <c r="H89" i="41" s="1"/>
  <c r="H90" i="58"/>
  <c r="H90" i="41" s="1"/>
  <c r="H87" i="58"/>
  <c r="H87" i="41" s="1"/>
  <c r="H88" i="58"/>
  <c r="H88" i="41" s="1"/>
  <c r="I74" i="58"/>
  <c r="I73" i="58"/>
  <c r="H219" i="35"/>
  <c r="F53" i="26"/>
  <c r="J44" i="58"/>
  <c r="J43" i="58"/>
  <c r="J46" i="58"/>
  <c r="J45" i="58"/>
  <c r="H72" i="58"/>
  <c r="H72" i="41" s="1"/>
  <c r="H73" i="58"/>
  <c r="H73" i="41" s="1"/>
  <c r="H71" i="58"/>
  <c r="H71" i="41" s="1"/>
  <c r="H74" i="58"/>
  <c r="H74" i="41" s="1"/>
  <c r="J87" i="37"/>
  <c r="J88" i="37"/>
  <c r="J90" i="37"/>
  <c r="J89" i="37"/>
  <c r="H25" i="58"/>
  <c r="H25" i="41" s="1"/>
  <c r="H23" i="58"/>
  <c r="H23" i="41" s="1"/>
  <c r="H24" i="58"/>
  <c r="H24" i="41" s="1"/>
  <c r="H26" i="58"/>
  <c r="H26" i="41" s="1"/>
  <c r="J75" i="37"/>
  <c r="J77" i="37"/>
  <c r="J78" i="37"/>
  <c r="J76" i="37"/>
  <c r="J85" i="58"/>
  <c r="J84" i="58"/>
  <c r="J86" i="58"/>
  <c r="J83" i="58"/>
  <c r="I83" i="58"/>
  <c r="I86" i="58"/>
  <c r="I84" i="58"/>
  <c r="I85" i="58"/>
  <c r="H223" i="35"/>
  <c r="I190" i="35"/>
  <c r="E53" i="26"/>
  <c r="H53" i="26" s="1"/>
  <c r="G219" i="35"/>
  <c r="J92" i="58"/>
  <c r="J93" i="58"/>
  <c r="J91" i="58"/>
  <c r="J94" i="58"/>
  <c r="I78" i="58"/>
  <c r="I76" i="58"/>
  <c r="I77" i="58"/>
  <c r="I75" i="58"/>
  <c r="I219" i="35"/>
  <c r="H36" i="58"/>
  <c r="H36" i="41" s="1"/>
  <c r="H37" i="58"/>
  <c r="H37" i="41" s="1"/>
  <c r="H35" i="58"/>
  <c r="H35" i="41" s="1"/>
  <c r="H38" i="58"/>
  <c r="H38" i="41" s="1"/>
  <c r="J20" i="37"/>
  <c r="J19" i="37"/>
  <c r="J22" i="37"/>
  <c r="J21" i="37"/>
  <c r="G215" i="35"/>
  <c r="H29" i="58"/>
  <c r="H29" i="41" s="1"/>
  <c r="H28" i="58"/>
  <c r="H28" i="41" s="1"/>
  <c r="H27" i="58"/>
  <c r="H27" i="41" s="1"/>
  <c r="H30" i="58"/>
  <c r="H30" i="41" s="1"/>
  <c r="J53" i="58"/>
  <c r="J54" i="58"/>
  <c r="J52" i="58"/>
  <c r="J51" i="58"/>
  <c r="H202" i="35"/>
  <c r="H198" i="35"/>
  <c r="H69" i="58"/>
  <c r="H69" i="41" s="1"/>
  <c r="H70" i="58"/>
  <c r="H70" i="41" s="1"/>
  <c r="H67" i="58"/>
  <c r="H67" i="41" s="1"/>
  <c r="H68" i="58"/>
  <c r="H68" i="41" s="1"/>
  <c r="J55" i="58"/>
  <c r="J56" i="58"/>
  <c r="J57" i="58"/>
  <c r="J58" i="58"/>
  <c r="H83" i="58"/>
  <c r="H83" i="41" s="1"/>
  <c r="H85" i="58"/>
  <c r="H85" i="41" s="1"/>
  <c r="H84" i="58"/>
  <c r="H84" i="41" s="1"/>
  <c r="H86" i="58"/>
  <c r="H86" i="41" s="1"/>
  <c r="I61" i="58"/>
  <c r="I60" i="58"/>
  <c r="I62" i="58"/>
  <c r="I59" i="58"/>
  <c r="I55" i="58"/>
  <c r="I56" i="58"/>
  <c r="I57" i="58"/>
  <c r="I58" i="58"/>
  <c r="I68" i="58"/>
  <c r="I70" i="58"/>
  <c r="I69" i="58"/>
  <c r="I21" i="58"/>
  <c r="I22" i="58"/>
  <c r="I20" i="58"/>
  <c r="I19" i="58"/>
  <c r="J38" i="58"/>
  <c r="J35" i="58"/>
  <c r="J37" i="58"/>
  <c r="H78" i="58"/>
  <c r="H78" i="41" s="1"/>
  <c r="H75" i="58"/>
  <c r="H75" i="41" s="1"/>
  <c r="H77" i="58"/>
  <c r="H77" i="41" s="1"/>
  <c r="H76" i="58"/>
  <c r="H76" i="41" s="1"/>
  <c r="J67" i="37"/>
  <c r="J68" i="37"/>
  <c r="J70" i="37"/>
  <c r="I24" i="37"/>
  <c r="I23" i="37"/>
  <c r="I26" i="37"/>
  <c r="I25" i="37"/>
  <c r="H211" i="35"/>
  <c r="I59" i="37"/>
  <c r="I62" i="37"/>
  <c r="I61" i="37"/>
  <c r="I60" i="37"/>
  <c r="I73" i="37"/>
  <c r="AL32" i="72"/>
  <c r="F29" i="26" a="1"/>
  <c r="F29" i="26" s="1"/>
  <c r="G25" i="26" a="1"/>
  <c r="G25" i="26" s="1"/>
  <c r="H209" i="35" s="1"/>
  <c r="H34" i="26" a="1"/>
  <c r="H34" i="26" s="1"/>
  <c r="I218" i="35" s="1"/>
  <c r="J88" i="58"/>
  <c r="J90" i="58"/>
  <c r="J89" i="58"/>
  <c r="J87" i="58"/>
  <c r="I76" i="37"/>
  <c r="I77" i="37"/>
  <c r="I75" i="37"/>
  <c r="I78" i="37"/>
  <c r="J77" i="58"/>
  <c r="J78" i="58"/>
  <c r="J75" i="58"/>
  <c r="J76" i="58"/>
  <c r="J25" i="37"/>
  <c r="J24" i="37"/>
  <c r="J23" i="37"/>
  <c r="J26" i="37"/>
  <c r="J29" i="37"/>
  <c r="J30" i="37"/>
  <c r="J28" i="37"/>
  <c r="J27" i="37"/>
  <c r="J45" i="37"/>
  <c r="J70" i="58"/>
  <c r="J67" i="58"/>
  <c r="J69" i="58"/>
  <c r="J68" i="58"/>
  <c r="I37" i="58" l="1"/>
  <c r="I35" i="58"/>
  <c r="I21" i="37"/>
  <c r="I38" i="58"/>
  <c r="I19" i="37"/>
  <c r="I54" i="37"/>
  <c r="I20" i="37"/>
  <c r="I51" i="37"/>
  <c r="I52" i="37"/>
  <c r="E50" i="26"/>
  <c r="H50" i="26" s="1"/>
  <c r="H22" i="58"/>
  <c r="H22" i="41" s="1"/>
  <c r="H21" i="58"/>
  <c r="H21" i="41" s="1"/>
  <c r="H20" i="58"/>
  <c r="H20" i="41" s="1"/>
  <c r="J83" i="37"/>
  <c r="J30" i="58"/>
  <c r="J44" i="37"/>
  <c r="J29" i="58"/>
  <c r="J27" i="58"/>
  <c r="J43" i="37"/>
  <c r="J43" i="41" s="1"/>
  <c r="I92" i="37"/>
  <c r="I88" i="37"/>
  <c r="I45" i="58"/>
  <c r="I44" i="58"/>
  <c r="I87" i="37"/>
  <c r="J71" i="58"/>
  <c r="I90" i="37"/>
  <c r="I90" i="41" s="1"/>
  <c r="J74" i="58"/>
  <c r="I91" i="37"/>
  <c r="J19" i="58"/>
  <c r="J19" i="41" s="1"/>
  <c r="J21" i="58"/>
  <c r="J21" i="41" s="1"/>
  <c r="J22" i="58"/>
  <c r="J22" i="41" s="1"/>
  <c r="H44" i="58"/>
  <c r="H44" i="41" s="1"/>
  <c r="H45" i="58"/>
  <c r="H45" i="41" s="1"/>
  <c r="J73" i="58"/>
  <c r="G53" i="26"/>
  <c r="J49" i="58"/>
  <c r="J48" i="58"/>
  <c r="J50" i="58"/>
  <c r="I53" i="58"/>
  <c r="I52" i="58"/>
  <c r="I54" i="58"/>
  <c r="I54" i="41" s="1"/>
  <c r="I71" i="58"/>
  <c r="I71" i="37"/>
  <c r="I74" i="37"/>
  <c r="I93" i="37"/>
  <c r="D50" i="26"/>
  <c r="J45" i="41"/>
  <c r="J41" i="37"/>
  <c r="H43" i="58"/>
  <c r="H43" i="41" s="1"/>
  <c r="C52" i="26"/>
  <c r="J40" i="37"/>
  <c r="I186" i="35"/>
  <c r="J17" i="37" s="1"/>
  <c r="J39" i="37"/>
  <c r="J39" i="41" s="1"/>
  <c r="I55" i="37"/>
  <c r="I55" i="41" s="1"/>
  <c r="I56" i="37"/>
  <c r="I56" i="41" s="1"/>
  <c r="J60" i="37"/>
  <c r="J62" i="37"/>
  <c r="J61" i="37"/>
  <c r="I27" i="58"/>
  <c r="I41" i="58"/>
  <c r="I41" i="41" s="1"/>
  <c r="I28" i="58"/>
  <c r="I30" i="58"/>
  <c r="F51" i="26"/>
  <c r="J84" i="37"/>
  <c r="J84" i="41" s="1"/>
  <c r="J24" i="58"/>
  <c r="J24" i="41" s="1"/>
  <c r="F52" i="26"/>
  <c r="J26" i="58"/>
  <c r="J26" i="41" s="1"/>
  <c r="J23" i="58"/>
  <c r="J23" i="41" s="1"/>
  <c r="H92" i="58"/>
  <c r="H92" i="41" s="1"/>
  <c r="H94" i="58"/>
  <c r="H94" i="41" s="1"/>
  <c r="H93" i="58"/>
  <c r="H93" i="41" s="1"/>
  <c r="D53" i="26"/>
  <c r="E54" i="26"/>
  <c r="H54" i="26" s="1"/>
  <c r="H34" i="58"/>
  <c r="H34" i="41" s="1"/>
  <c r="H33" i="58"/>
  <c r="H33" i="41" s="1"/>
  <c r="H31" i="58"/>
  <c r="H31" i="41" s="1"/>
  <c r="H32" i="58"/>
  <c r="H32" i="41" s="1"/>
  <c r="G54" i="26"/>
  <c r="D54" i="26"/>
  <c r="I92" i="58"/>
  <c r="I92" i="41" s="1"/>
  <c r="I93" i="58"/>
  <c r="I93" i="41" s="1"/>
  <c r="J85" i="37"/>
  <c r="J85" i="41" s="1"/>
  <c r="J72" i="41"/>
  <c r="C50" i="26"/>
  <c r="H186" i="35"/>
  <c r="I17" i="37" s="1"/>
  <c r="J52" i="37"/>
  <c r="J54" i="37"/>
  <c r="J54" i="41" s="1"/>
  <c r="J53" i="37"/>
  <c r="J53" i="41" s="1"/>
  <c r="J27" i="41"/>
  <c r="F54" i="26"/>
  <c r="I28" i="37"/>
  <c r="I57" i="37"/>
  <c r="I57" i="41" s="1"/>
  <c r="I91" i="58"/>
  <c r="I91" i="41" s="1"/>
  <c r="I89" i="41"/>
  <c r="H57" i="58"/>
  <c r="H57" i="41" s="1"/>
  <c r="G50" i="26"/>
  <c r="J50" i="26" s="1"/>
  <c r="I69" i="37"/>
  <c r="I69" i="41" s="1"/>
  <c r="I67" i="37"/>
  <c r="C53" i="26"/>
  <c r="I53" i="26" s="1"/>
  <c r="J30" i="41"/>
  <c r="H56" i="58"/>
  <c r="H56" i="41" s="1"/>
  <c r="H215" i="35"/>
  <c r="I47" i="58" s="1"/>
  <c r="I70" i="37"/>
  <c r="I70" i="41" s="1"/>
  <c r="H55" i="58"/>
  <c r="H55" i="41" s="1"/>
  <c r="J73" i="41"/>
  <c r="D52" i="26"/>
  <c r="I77" i="41"/>
  <c r="I60" i="41"/>
  <c r="I52" i="41"/>
  <c r="J57" i="37"/>
  <c r="J44" i="41"/>
  <c r="J46" i="41"/>
  <c r="I27" i="37"/>
  <c r="I62" i="41"/>
  <c r="I30" i="37"/>
  <c r="I76" i="41"/>
  <c r="H60" i="58"/>
  <c r="H60" i="41" s="1"/>
  <c r="J86" i="41"/>
  <c r="H62" i="58"/>
  <c r="H62" i="41" s="1"/>
  <c r="H59" i="58"/>
  <c r="H59" i="41" s="1"/>
  <c r="H194" i="35"/>
  <c r="J29" i="41"/>
  <c r="I43" i="37"/>
  <c r="I43" i="41" s="1"/>
  <c r="J55" i="37"/>
  <c r="J55" i="41" s="1"/>
  <c r="H53" i="58"/>
  <c r="H53" i="41" s="1"/>
  <c r="I87" i="41"/>
  <c r="J56" i="37"/>
  <c r="J56" i="41" s="1"/>
  <c r="I46" i="37"/>
  <c r="I46" i="41" s="1"/>
  <c r="J74" i="41"/>
  <c r="I61" i="41"/>
  <c r="I44" i="37"/>
  <c r="I44" i="41" s="1"/>
  <c r="G207" i="35"/>
  <c r="H15" i="58" s="1"/>
  <c r="J25" i="41"/>
  <c r="I75" i="41"/>
  <c r="J83" i="41"/>
  <c r="I88" i="41"/>
  <c r="I59" i="41"/>
  <c r="I73" i="41"/>
  <c r="I45" i="41"/>
  <c r="J36" i="37"/>
  <c r="J36" i="41" s="1"/>
  <c r="I39" i="37"/>
  <c r="I39" i="41" s="1"/>
  <c r="D51" i="26"/>
  <c r="J71" i="41"/>
  <c r="J28" i="41"/>
  <c r="J37" i="37"/>
  <c r="J37" i="41" s="1"/>
  <c r="I40" i="37"/>
  <c r="I40" i="41" s="1"/>
  <c r="E52" i="26"/>
  <c r="H52" i="26" s="1"/>
  <c r="I74" i="41"/>
  <c r="J35" i="37"/>
  <c r="J35" i="41" s="1"/>
  <c r="I53" i="41"/>
  <c r="I42" i="37"/>
  <c r="I42" i="41" s="1"/>
  <c r="H51" i="58"/>
  <c r="H51" i="41" s="1"/>
  <c r="C54" i="26"/>
  <c r="H54" i="58"/>
  <c r="H54" i="41" s="1"/>
  <c r="C51" i="26"/>
  <c r="I51" i="26" s="1"/>
  <c r="I83" i="37"/>
  <c r="I83" i="41" s="1"/>
  <c r="I94" i="41"/>
  <c r="I84" i="37"/>
  <c r="I84" i="41" s="1"/>
  <c r="I72" i="41"/>
  <c r="I86" i="37"/>
  <c r="I86" i="41" s="1"/>
  <c r="H190" i="35"/>
  <c r="I31" i="37" s="1"/>
  <c r="J42" i="58"/>
  <c r="J42" i="41" s="1"/>
  <c r="G51" i="26"/>
  <c r="I78" i="41"/>
  <c r="J40" i="58"/>
  <c r="J40" i="41" s="1"/>
  <c r="I51" i="41"/>
  <c r="J41" i="58"/>
  <c r="J41" i="41" s="1"/>
  <c r="J38" i="41"/>
  <c r="I64" i="37"/>
  <c r="I65" i="37"/>
  <c r="I63" i="37"/>
  <c r="I66" i="37"/>
  <c r="H49" i="58"/>
  <c r="H49" i="41" s="1"/>
  <c r="H47" i="58"/>
  <c r="H47" i="41" s="1"/>
  <c r="H50" i="58"/>
  <c r="H50" i="41" s="1"/>
  <c r="H48" i="58"/>
  <c r="H48" i="41" s="1"/>
  <c r="J90" i="41"/>
  <c r="I58" i="41"/>
  <c r="J94" i="41"/>
  <c r="J70" i="41"/>
  <c r="J33" i="37"/>
  <c r="J34" i="37"/>
  <c r="J32" i="37"/>
  <c r="J31" i="37"/>
  <c r="J88" i="41"/>
  <c r="J47" i="37"/>
  <c r="J47" i="41" s="1"/>
  <c r="J49" i="37"/>
  <c r="J49" i="41" s="1"/>
  <c r="J50" i="37"/>
  <c r="J48" i="37"/>
  <c r="J48" i="41" s="1"/>
  <c r="J81" i="37"/>
  <c r="J80" i="37"/>
  <c r="J82" i="37"/>
  <c r="J79" i="37"/>
  <c r="J91" i="41"/>
  <c r="J68" i="41"/>
  <c r="I80" i="37"/>
  <c r="I79" i="37"/>
  <c r="I82" i="37"/>
  <c r="I81" i="37"/>
  <c r="J87" i="41"/>
  <c r="J53" i="26"/>
  <c r="I68" i="41"/>
  <c r="I21" i="41"/>
  <c r="J67" i="41"/>
  <c r="G52" i="26"/>
  <c r="I85" i="41"/>
  <c r="I79" i="58"/>
  <c r="I80" i="58"/>
  <c r="I82" i="58"/>
  <c r="I81" i="58"/>
  <c r="J76" i="41"/>
  <c r="F50" i="26"/>
  <c r="I50" i="26" s="1"/>
  <c r="J66" i="37"/>
  <c r="J63" i="37"/>
  <c r="J64" i="37"/>
  <c r="J65" i="37"/>
  <c r="H80" i="58"/>
  <c r="H80" i="41" s="1"/>
  <c r="H79" i="58"/>
  <c r="H79" i="41" s="1"/>
  <c r="H81" i="58"/>
  <c r="H81" i="41" s="1"/>
  <c r="H82" i="58"/>
  <c r="H82" i="41" s="1"/>
  <c r="I19" i="41"/>
  <c r="J69" i="41"/>
  <c r="J20" i="41"/>
  <c r="J78" i="41"/>
  <c r="I67" i="41"/>
  <c r="I20" i="41"/>
  <c r="J60" i="58"/>
  <c r="J60" i="41" s="1"/>
  <c r="J59" i="58"/>
  <c r="J59" i="41" s="1"/>
  <c r="J62" i="58"/>
  <c r="J61" i="58"/>
  <c r="J61" i="41" s="1"/>
  <c r="J77" i="41"/>
  <c r="I22" i="41"/>
  <c r="I26" i="58"/>
  <c r="I26" i="41" s="1"/>
  <c r="I23" i="58"/>
  <c r="I25" i="58"/>
  <c r="I24" i="58"/>
  <c r="I24" i="41" s="1"/>
  <c r="I48" i="37"/>
  <c r="I47" i="37"/>
  <c r="I50" i="37"/>
  <c r="I49" i="37"/>
  <c r="J75" i="41"/>
  <c r="I37" i="41"/>
  <c r="G213" i="35"/>
  <c r="E51" i="26"/>
  <c r="H51" i="26" s="1"/>
  <c r="I33" i="58"/>
  <c r="I34" i="58"/>
  <c r="I31" i="58"/>
  <c r="I32" i="58"/>
  <c r="J57" i="41"/>
  <c r="I35" i="41"/>
  <c r="J82" i="58"/>
  <c r="J79" i="58"/>
  <c r="J80" i="58"/>
  <c r="J81" i="58"/>
  <c r="I38" i="41"/>
  <c r="J65" i="58"/>
  <c r="J63" i="58"/>
  <c r="J64" i="58"/>
  <c r="J66" i="58"/>
  <c r="I63" i="58"/>
  <c r="I64" i="58"/>
  <c r="I66" i="58"/>
  <c r="I65" i="58"/>
  <c r="I36" i="41"/>
  <c r="I29" i="41"/>
  <c r="J52" i="41"/>
  <c r="J58" i="41"/>
  <c r="J17" i="58"/>
  <c r="J15" i="58"/>
  <c r="J16" i="58"/>
  <c r="J18" i="58"/>
  <c r="J92" i="41"/>
  <c r="J51" i="41"/>
  <c r="H65" i="58"/>
  <c r="H65" i="41" s="1"/>
  <c r="H63" i="58"/>
  <c r="H63" i="41" s="1"/>
  <c r="H66" i="58"/>
  <c r="H66" i="41" s="1"/>
  <c r="H64" i="58"/>
  <c r="H64" i="41" s="1"/>
  <c r="J89" i="41"/>
  <c r="J93" i="41"/>
  <c r="J32" i="58"/>
  <c r="J34" i="58"/>
  <c r="J33" i="58"/>
  <c r="J31" i="58"/>
  <c r="J50" i="41" l="1"/>
  <c r="I16" i="37"/>
  <c r="I16" i="41" s="1"/>
  <c r="H16" i="58"/>
  <c r="H16" i="41" s="1"/>
  <c r="I52" i="26"/>
  <c r="J62" i="41"/>
  <c r="I71" i="41"/>
  <c r="I27" i="41"/>
  <c r="J52" i="26"/>
  <c r="H18" i="58"/>
  <c r="H18" i="41" s="1"/>
  <c r="I28" i="41"/>
  <c r="J15" i="37"/>
  <c r="J423" i="37" s="1"/>
  <c r="J16" i="37"/>
  <c r="J16" i="41" s="1"/>
  <c r="J18" i="37"/>
  <c r="J18" i="41" s="1"/>
  <c r="I30" i="41"/>
  <c r="I15" i="37"/>
  <c r="I423" i="37" s="1"/>
  <c r="I18" i="37"/>
  <c r="I18" i="41" s="1"/>
  <c r="H17" i="58"/>
  <c r="H17" i="41" s="1"/>
  <c r="J54" i="26"/>
  <c r="I54" i="26"/>
  <c r="I32" i="37"/>
  <c r="I32" i="41" s="1"/>
  <c r="I49" i="58"/>
  <c r="I49" i="41" s="1"/>
  <c r="I50" i="58"/>
  <c r="I50" i="41" s="1"/>
  <c r="I48" i="58"/>
  <c r="I48" i="41" s="1"/>
  <c r="I47" i="41"/>
  <c r="I34" i="37"/>
  <c r="I34" i="41" s="1"/>
  <c r="I33" i="37"/>
  <c r="C18" i="63" s="1"/>
  <c r="J51" i="26"/>
  <c r="C58" i="63"/>
  <c r="J32" i="41"/>
  <c r="I17" i="41"/>
  <c r="J79" i="41"/>
  <c r="J34" i="41"/>
  <c r="J82" i="41"/>
  <c r="J33" i="41"/>
  <c r="I81" i="41"/>
  <c r="J80" i="41"/>
  <c r="J424" i="58"/>
  <c r="J423" i="58"/>
  <c r="I82" i="41"/>
  <c r="J81" i="41"/>
  <c r="I79" i="41"/>
  <c r="I80" i="41"/>
  <c r="I25" i="41"/>
  <c r="I23" i="41"/>
  <c r="I423" i="58"/>
  <c r="I424" i="58"/>
  <c r="J65" i="41"/>
  <c r="J17" i="41"/>
  <c r="C28" i="63"/>
  <c r="I66" i="41"/>
  <c r="J64" i="41"/>
  <c r="I63" i="41"/>
  <c r="H42" i="58"/>
  <c r="H41" i="58"/>
  <c r="H41" i="41" s="1"/>
  <c r="H40" i="58"/>
  <c r="H39" i="58"/>
  <c r="H39" i="41" s="1"/>
  <c r="J63" i="41"/>
  <c r="H15" i="41"/>
  <c r="I65" i="41"/>
  <c r="I31" i="41"/>
  <c r="J66" i="41"/>
  <c r="J31" i="41"/>
  <c r="I64" i="41"/>
  <c r="G242" i="66" l="1"/>
  <c r="J15" i="41"/>
  <c r="J424" i="37"/>
  <c r="J424" i="41" s="1"/>
  <c r="I15" i="41"/>
  <c r="I424" i="37"/>
  <c r="I425" i="37" s="1"/>
  <c r="I33" i="41"/>
  <c r="C48" i="63"/>
  <c r="H423" i="58"/>
  <c r="H423" i="41" s="1"/>
  <c r="G99" i="66"/>
  <c r="I423" i="41"/>
  <c r="E311" i="38"/>
  <c r="N99" i="66" s="1"/>
  <c r="C38" i="63"/>
  <c r="H424" i="58"/>
  <c r="H424" i="41" s="1"/>
  <c r="J423" i="41"/>
  <c r="G147" i="66"/>
  <c r="E335" i="38"/>
  <c r="N147" i="66" s="1"/>
  <c r="H40" i="41"/>
  <c r="E323" i="38"/>
  <c r="N243" i="66" s="1"/>
  <c r="G243" i="66"/>
  <c r="H42" i="41"/>
  <c r="E347" i="38"/>
  <c r="N291" i="66" s="1"/>
  <c r="G291" i="66"/>
  <c r="I425" i="58"/>
  <c r="E35" i="53"/>
  <c r="F35" i="53" s="1"/>
  <c r="H29" i="53" s="1"/>
  <c r="G290" i="66"/>
  <c r="E23" i="53"/>
  <c r="F23" i="53" s="1"/>
  <c r="G98" i="66"/>
  <c r="G98" i="74" s="1"/>
  <c r="E17" i="53"/>
  <c r="F17" i="53" s="1"/>
  <c r="H23" i="53" s="1"/>
  <c r="J425" i="58"/>
  <c r="E29" i="53" l="1"/>
  <c r="F29" i="53" s="1"/>
  <c r="G29" i="53" s="1"/>
  <c r="E329" i="38" s="1"/>
  <c r="G146" i="66"/>
  <c r="G146" i="74" s="1"/>
  <c r="J425" i="37"/>
  <c r="C22" i="63" s="1"/>
  <c r="I424" i="41"/>
  <c r="H425" i="58"/>
  <c r="H425" i="41" s="1"/>
  <c r="M3" i="41" s="1"/>
  <c r="E11" i="53"/>
  <c r="F11" i="53" s="1"/>
  <c r="G11" i="53" s="1"/>
  <c r="E293" i="38" s="1"/>
  <c r="G195" i="66"/>
  <c r="G51" i="74" s="1"/>
  <c r="E299" i="38"/>
  <c r="N195" i="66" s="1"/>
  <c r="N51" i="74" s="1"/>
  <c r="N147" i="74"/>
  <c r="G194" i="66"/>
  <c r="G50" i="74" s="1"/>
  <c r="C59" i="63"/>
  <c r="C52" i="63"/>
  <c r="O243" i="66"/>
  <c r="H17" i="53"/>
  <c r="G17" i="53" s="1"/>
  <c r="E305" i="38" s="1"/>
  <c r="G23" i="53"/>
  <c r="E317" i="38" s="1"/>
  <c r="O147" i="66"/>
  <c r="G147" i="74"/>
  <c r="N99" i="74"/>
  <c r="C42" i="63"/>
  <c r="C49" i="63"/>
  <c r="C29" i="63"/>
  <c r="O291" i="66"/>
  <c r="I425" i="41"/>
  <c r="N3" i="41" s="1"/>
  <c r="C19" i="63"/>
  <c r="C12" i="63"/>
  <c r="G99" i="74"/>
  <c r="O99" i="66"/>
  <c r="H35" i="53" l="1"/>
  <c r="G35" i="53" s="1"/>
  <c r="E341" i="38" s="1"/>
  <c r="J425" i="41"/>
  <c r="O3" i="41" s="1"/>
  <c r="H5" i="53"/>
  <c r="G5" i="53" s="1"/>
  <c r="E281" i="38" s="1"/>
  <c r="M50" i="66" s="1"/>
  <c r="C39" i="63"/>
  <c r="C32" i="63"/>
  <c r="O195" i="66"/>
  <c r="AA195" i="66" s="1"/>
  <c r="I484" i="37"/>
  <c r="M98" i="66"/>
  <c r="M194" i="66"/>
  <c r="H484" i="58"/>
  <c r="O51" i="74"/>
  <c r="AC51" i="74"/>
  <c r="AA99" i="66"/>
  <c r="AA243" i="66"/>
  <c r="Z99" i="66"/>
  <c r="Z243" i="66"/>
  <c r="AC147" i="74"/>
  <c r="O147" i="74"/>
  <c r="J484" i="37"/>
  <c r="M146" i="66"/>
  <c r="O99" i="74"/>
  <c r="AC99" i="74"/>
  <c r="AA147" i="66"/>
  <c r="Z147" i="66"/>
  <c r="AA291" i="66"/>
  <c r="Z291" i="66"/>
  <c r="M290" i="66"/>
  <c r="J484" i="58"/>
  <c r="I484" i="58"/>
  <c r="M242" i="66"/>
  <c r="H484" i="37" l="1"/>
  <c r="H484" i="41" s="1"/>
  <c r="Z51" i="66"/>
  <c r="AA51" i="66"/>
  <c r="Z195" i="66"/>
  <c r="AG51" i="74"/>
  <c r="AD51" i="74"/>
  <c r="AE51" i="74"/>
  <c r="AH51" i="74" s="1"/>
  <c r="AE99" i="74"/>
  <c r="AD99" i="74"/>
  <c r="AG99" i="74"/>
  <c r="AA51" i="74"/>
  <c r="Z51" i="74"/>
  <c r="Z99" i="74"/>
  <c r="AA99" i="74"/>
  <c r="M146" i="74"/>
  <c r="Q146" i="66"/>
  <c r="O146" i="66"/>
  <c r="J484" i="41"/>
  <c r="Q242" i="66"/>
  <c r="O242" i="66"/>
  <c r="AA147" i="74"/>
  <c r="Z147" i="74"/>
  <c r="AE147" i="74"/>
  <c r="AH147" i="74" s="1"/>
  <c r="AG147" i="74"/>
  <c r="AD147" i="74"/>
  <c r="Q194" i="66"/>
  <c r="W194" i="66" s="1"/>
  <c r="Y194" i="66" s="1"/>
  <c r="S194" i="66"/>
  <c r="U194" i="66" s="1"/>
  <c r="O194" i="66"/>
  <c r="Q290" i="66"/>
  <c r="O290" i="66"/>
  <c r="S50" i="66"/>
  <c r="U50" i="66" s="1"/>
  <c r="Q50" i="66"/>
  <c r="W50" i="66" s="1"/>
  <c r="Y50" i="66" s="1"/>
  <c r="M50" i="74"/>
  <c r="O50" i="66"/>
  <c r="M98" i="74"/>
  <c r="Q98" i="66"/>
  <c r="O98" i="66"/>
  <c r="I484" i="41"/>
  <c r="P290" i="66" l="1"/>
  <c r="V290" i="66" s="1"/>
  <c r="AF51" i="74"/>
  <c r="P98" i="66"/>
  <c r="Z242" i="66"/>
  <c r="AA98" i="66"/>
  <c r="Z98" i="66"/>
  <c r="AA242" i="66"/>
  <c r="Q146" i="74"/>
  <c r="AC146" i="74"/>
  <c r="O146" i="74"/>
  <c r="Q98" i="74"/>
  <c r="AC98" i="74"/>
  <c r="O98" i="74"/>
  <c r="P50" i="66"/>
  <c r="Z194" i="66"/>
  <c r="Z50" i="66"/>
  <c r="AA194" i="66"/>
  <c r="AA50" i="66"/>
  <c r="AF147" i="74"/>
  <c r="S50" i="74"/>
  <c r="U50" i="74" s="1"/>
  <c r="O50" i="74"/>
  <c r="AC50" i="74"/>
  <c r="Q50" i="74"/>
  <c r="W50" i="74" s="1"/>
  <c r="Y50" i="74" s="1"/>
  <c r="P242" i="66"/>
  <c r="AH99" i="74"/>
  <c r="AF99" i="74"/>
  <c r="P194" i="66"/>
  <c r="AA290" i="66"/>
  <c r="P146" i="66"/>
  <c r="AA146" i="66"/>
  <c r="Z290" i="66"/>
  <c r="Z146" i="66"/>
  <c r="W290" i="66" l="1"/>
  <c r="Y290" i="66" s="1"/>
  <c r="R290" i="66"/>
  <c r="S290" i="66" s="1"/>
  <c r="U290" i="66" s="1"/>
  <c r="V50" i="66"/>
  <c r="R50" i="66"/>
  <c r="Z98" i="74"/>
  <c r="AA98" i="74"/>
  <c r="P98" i="74"/>
  <c r="AG98" i="74"/>
  <c r="AD98" i="74"/>
  <c r="AE98" i="74"/>
  <c r="AH98" i="74" s="1"/>
  <c r="AE50" i="74"/>
  <c r="AG50" i="74"/>
  <c r="C10" i="77"/>
  <c r="C12" i="77" s="1"/>
  <c r="AD50" i="74"/>
  <c r="Z146" i="74"/>
  <c r="P146" i="74"/>
  <c r="AA146" i="74"/>
  <c r="W242" i="66"/>
  <c r="Y242" i="66" s="1"/>
  <c r="V242" i="66"/>
  <c r="R242" i="66"/>
  <c r="S242" i="66" s="1"/>
  <c r="U242" i="66" s="1"/>
  <c r="Z50" i="74"/>
  <c r="AA50" i="74"/>
  <c r="P50" i="74"/>
  <c r="D10" i="77"/>
  <c r="D12" i="77" s="1"/>
  <c r="AG146" i="74"/>
  <c r="AE146" i="74"/>
  <c r="AF146" i="74" s="1"/>
  <c r="AD146" i="74"/>
  <c r="R146" i="66"/>
  <c r="S146" i="66" s="1"/>
  <c r="U146" i="66" s="1"/>
  <c r="V146" i="66"/>
  <c r="W146" i="66"/>
  <c r="Y146" i="66" s="1"/>
  <c r="V194" i="66"/>
  <c r="R194" i="66"/>
  <c r="V98" i="66"/>
  <c r="W98" i="66"/>
  <c r="Y98" i="66" s="1"/>
  <c r="R98" i="66"/>
  <c r="S98" i="66" s="1"/>
  <c r="U98" i="66" s="1"/>
  <c r="AF98" i="74" l="1"/>
  <c r="R50" i="74"/>
  <c r="V50" i="74"/>
  <c r="AH50" i="74"/>
  <c r="E56" i="77" s="1"/>
  <c r="E58" i="77" s="1"/>
  <c r="C56" i="77"/>
  <c r="C58" i="77" s="1"/>
  <c r="V98" i="74"/>
  <c r="R98" i="74"/>
  <c r="S98" i="74" s="1"/>
  <c r="U98" i="74" s="1"/>
  <c r="W98" i="74"/>
  <c r="Y98" i="74" s="1"/>
  <c r="D56" i="77"/>
  <c r="D58" i="77" s="1"/>
  <c r="AH146" i="74"/>
  <c r="F56" i="77" s="1"/>
  <c r="F58" i="77" s="1"/>
  <c r="V146" i="74"/>
  <c r="R146" i="74"/>
  <c r="S146" i="74" s="1"/>
  <c r="U146" i="74" s="1"/>
  <c r="W146" i="74"/>
  <c r="Y146" i="74" s="1"/>
  <c r="AF50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<sst xmlns="http://schemas.openxmlformats.org/spreadsheetml/2006/main" count="5081" uniqueCount="433">
  <si>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</si>
  <si>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</si>
  <si>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</si>
  <si>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</si>
  <si>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</si>
  <si>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</si>
  <si>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</si>
  <si>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</si>
  <si>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</si>
  <si>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</si>
  <si>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</si>
  <si>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</si>
  <si>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</si>
  <si>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</si>
  <si>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</si>
  <si>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</si>
  <si>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</si>
  <si>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</si>
  <si>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</si>
  <si>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</si>
  <si>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</si>
  <si>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</si>
  <si>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</si>
  <si>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</si>
  <si>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</si>
  <si>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</si>
  <si>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</si>
  <si>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</si>
  <si>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</si>
  <si>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</si>
  <si>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</si>
  <si>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</si>
  <si>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</si>
  <si>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</si>
  <si>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</si>
  <si>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</si>
  <si>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</si>
  <si>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</si>
  <si>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</si>
  <si>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</si>
  <si>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</si>
  <si>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</si>
  <si>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</si>
  <si>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</si>
  <si>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</si>
  <si>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</si>
  <si>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</si>
  <si>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</si>
  <si>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</si>
  <si>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</si>
  <si>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</si>
  <si>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</si>
  <si>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</si>
  <si>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</si>
  <si>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</si>
  <si>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</si>
  <si>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</si>
  <si>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</si>
  <si>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</si>
  <si>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</si>
  <si>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</si>
  <si>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</si>
  <si>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</si>
  <si>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</si>
  <si>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</si>
  <si>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</si>
  <si>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</si>
  <si>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</si>
  <si>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</si>
  <si>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</si>
  <si>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</si>
  <si>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</si>
  <si>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</si>
  <si>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</si>
  <si>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</si>
  <si>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</si>
  <si>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</si>
  <si>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</si>
  <si>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</si>
  <si>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</si>
  <si>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</si>
  <si>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</si>
  <si>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</si>
  <si>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</si>
  <si>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</si>
  <si>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</si>
  <si>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</si>
  <si>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</si>
  <si>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</si>
  <si>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</si>
  <si>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</si>
  <si>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</si>
  <si>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</si>
  <si>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</si>
  <si>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</si>
  <si>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</si>
  <si>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</si>
  <si>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</si>
  <si>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</si>
  <si>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</si>
  <si>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</si>
  <si>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</si>
  <si>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</si>
  <si>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</si>
  <si>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</si>
  <si>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</si>
  <si>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</si>
  <si>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</si>
  <si>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</si>
  <si>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</si>
  <si>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</si>
  <si>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</si>
  <si>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</si>
  <si>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</si>
  <si>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</si>
  <si>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</si>
  <si>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</si>
  <si>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</si>
  <si>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</si>
  <si>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</si>
  <si>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</si>
  <si>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</si>
  <si>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</si>
  <si>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</si>
  <si>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</si>
  <si>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</si>
  <si>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</si>
  <si>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</si>
  <si>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</si>
  <si>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</si>
  <si>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</si>
  <si>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</si>
  <si>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</si>
  <si>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</si>
  <si>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</si>
  <si>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</si>
  <si>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</si>
  <si>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</si>
  <si>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</si>
  <si>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</si>
  <si>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</si>
  <si>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</si>
  <si>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</si>
  <si>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</si>
  <si>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</si>
  <si>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</si>
  <si>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</si>
  <si>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</si>
  <si>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</si>
  <si>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</si>
  <si>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</si>
  <si>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</si>
  <si>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</si>
  <si>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</si>
  <si>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</si>
  <si>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</si>
  <si>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</si>
  <si>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</si>
  <si>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</si>
  <si>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</si>
  <si>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</si>
  <si>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</si>
  <si>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</si>
  <si>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</si>
  <si>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</si>
  <si>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</si>
  <si>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</si>
  <si>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</si>
  <si>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</si>
  <si>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</si>
  <si>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</si>
  <si>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</si>
  <si>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</si>
  <si>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</si>
  <si>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</si>
  <si>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</si>
  <si>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</si>
  <si>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</si>
  <si>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</si>
  <si>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</si>
  <si>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</si>
  <si>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</si>
  <si>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</si>
  <si>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</si>
  <si>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</si>
  <si>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</si>
  <si>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</si>
  <si>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</si>
  <si>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</si>
  <si>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</si>
  <si>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</si>
  <si>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</si>
  <si>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</si>
  <si>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</si>
  <si>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</si>
  <si>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</si>
  <si>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</si>
  <si>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</si>
  <si>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</si>
  <si>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</si>
  <si>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</si>
  <si>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</si>
  <si>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</si>
  <si>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</si>
  <si>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</si>
  <si>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</si>
  <si>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</si>
  <si>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</si>
  <si>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</si>
  <si>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</si>
  <si>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</si>
  <si>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</si>
  <si>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</si>
  <si>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</si>
  <si>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</si>
  <si>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</si>
  <si>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</si>
  <si>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</si>
  <si>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</si>
  <si>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</si>
  <si>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</si>
  <si>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</si>
  <si>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</si>
  <si>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</si>
  <si>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</si>
  <si>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</si>
  <si>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</si>
  <si>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</si>
  <si>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</si>
  <si>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</si>
  <si>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</si>
  <si>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</si>
  <si>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</si>
  <si>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</si>
  <si>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</si>
  <si>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</si>
  <si>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</si>
  <si>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</si>
  <si>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</si>
  <si>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</si>
  <si>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</si>
  <si>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</si>
  <si>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</si>
  <si>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</si>
  <si>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</si>
  <si>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</si>
  <si>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</si>
  <si>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</si>
  <si>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</si>
  <si>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</si>
  <si>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</si>
  <si>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</si>
  <si>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</si>
  <si>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</si>
  <si>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</si>
  <si>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</si>
  <si>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</si>
  <si>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</si>
  <si>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</si>
  <si>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</si>
  <si>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</si>
  <si>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</si>
  <si>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</si>
  <si>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</si>
  <si>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</si>
  <si>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</si>
  <si>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</si>
  <si>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</si>
  <si>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</si>
  <si>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</si>
  <si>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</si>
  <si>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</si>
  <si>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</si>
  <si>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</si>
  <si>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</si>
  <si>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</si>
  <si>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</si>
  <si>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</si>
  <si>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</si>
  <si>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</si>
  <si>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</si>
  <si>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</si>
  <si>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</si>
  <si>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</si>
  <si>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</si>
  <si>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</si>
  <si>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</si>
  <si>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</si>
  <si>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</si>
  <si>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</si>
  <si>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</si>
  <si>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</si>
  <si>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</si>
  <si>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</si>
  <si>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</si>
  <si>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</si>
  <si>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</si>
  <si>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</si>
  <si>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</si>
  <si>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</si>
  <si>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</si>
  <si>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</si>
  <si>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</si>
  <si>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</si>
  <si>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</si>
  <si>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</si>
  <si>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</si>
  <si>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</si>
  <si>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</si>
  <si>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</si>
  <si>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</si>
  <si>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</si>
  <si>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</si>
  <si>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</si>
  <si>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</si>
  <si>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</si>
  <si>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</si>
  <si>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</si>
  <si>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</si>
  <si>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</si>
  <si>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</si>
  <si>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</si>
  <si>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</si>
  <si>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</si>
  <si>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</si>
  <si>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</si>
  <si>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</si>
  <si>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</si>
  <si>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</si>
  <si>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</si>
  <si>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</si>
  <si>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</si>
  <si>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</si>
  <si>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</si>
  <si>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</si>
  <si>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</si>
  <si>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</si>
  <si>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</si>
  <si>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</si>
  <si>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</si>
  <si>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</si>
  <si>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Fisk mm</t>
  </si>
  <si>
    <t>Olieafgrøder</t>
  </si>
  <si>
    <t>Model</t>
  </si>
  <si>
    <t>Gruppe</t>
  </si>
  <si>
    <t>Slagtesvin</t>
  </si>
  <si>
    <t>Slagtefjerkræ</t>
  </si>
  <si>
    <t>Slagtekøer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</si>
  <si>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</si>
  <si>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</si>
  <si>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</si>
  <si>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</si>
  <si>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</si>
  <si>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</si>
  <si>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</si>
  <si>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</si>
  <si>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</si>
  <si>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</si>
  <si>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</si>
  <si>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</si>
  <si>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Flerårige afgrøder</t>
  </si>
  <si>
    <t>Areal-græs</t>
  </si>
  <si>
    <t>Produktivitet</t>
  </si>
  <si>
    <t>Areal-korn</t>
  </si>
  <si>
    <t>Areal-grøntsager</t>
  </si>
  <si>
    <t>Areal-kartofler</t>
  </si>
  <si>
    <t>Areal-bælgsæd</t>
  </si>
  <si>
    <t>Areal-roer</t>
  </si>
  <si>
    <t>Areal-frugt</t>
  </si>
  <si>
    <t>Areal-øvrige</t>
  </si>
  <si>
    <t>Areal-majs</t>
  </si>
  <si>
    <t>Areal-raps</t>
  </si>
  <si>
    <t>Areal-frøgræs</t>
  </si>
  <si>
    <t>Areal-juletræer</t>
  </si>
  <si>
    <t>Areal-pil-poppel</t>
  </si>
  <si>
    <t>Areal-permanent græs</t>
  </si>
  <si>
    <t>Justeringsfaktor emissioner</t>
  </si>
  <si>
    <t>Fordøjelse</t>
  </si>
  <si>
    <t>Gødningshåndtering</t>
  </si>
  <si>
    <t>Procentdel af emission herfra</t>
  </si>
  <si>
    <t>Lattergas</t>
  </si>
  <si>
    <t>Mark</t>
  </si>
  <si>
    <t>Produktion minus fødevarer</t>
  </si>
  <si>
    <t>Total biomasse produceret</t>
  </si>
  <si>
    <t>Biomasse til madforbrug</t>
  </si>
  <si>
    <t>Produktion til fødevarer</t>
  </si>
  <si>
    <t>Naturskov - selvopfunden</t>
  </si>
  <si>
    <t>Baseret på: https://pure.au.dk/ws/portalfiles/portal/187801345/Notat_MOF_sp_rgsm_l_om_arealbehov_v_gr_sprotein_1405_2020.PDF, hvor der skrives om 14 tons TS/ha i forhold til 10 tons TS/ha i dag</t>
  </si>
  <si>
    <t>Fra Concito</t>
  </si>
  <si>
    <t>Proteinindhold i det høstede græs</t>
  </si>
  <si>
    <t>Effektivitet af ekstraheringen</t>
  </si>
  <si>
    <t>Kan bruges til fødevarer</t>
  </si>
  <si>
    <t>Kan bruges til foder</t>
  </si>
  <si>
    <t>Kan bruges til græsproteinekstrahering</t>
  </si>
  <si>
    <t>Total foderforbrug</t>
  </si>
  <si>
    <t>Græsprotein til foder</t>
  </si>
  <si>
    <t>ton VV</t>
  </si>
  <si>
    <t>% af græsproduktion</t>
  </si>
  <si>
    <t>Græsproduktion</t>
  </si>
  <si>
    <t>FE fra græsprotein</t>
  </si>
  <si>
    <t>Resterende der ikke går til foder, der går til fødevarer</t>
  </si>
  <si>
    <t>Total produktion [kcal]</t>
  </si>
  <si>
    <t>Total produktion [billion kcal]</t>
  </si>
  <si>
    <t>mio. kcal/ha</t>
  </si>
  <si>
    <t>Merproduktion fra højproduktiv kalorieproduktion</t>
  </si>
  <si>
    <t>Arealbrug af produktionen</t>
  </si>
  <si>
    <t>Antagelser om importeret foders optag i udlandet</t>
  </si>
  <si>
    <t>t/ha</t>
  </si>
  <si>
    <t>Foderkage af foderkage+olie</t>
  </si>
  <si>
    <t>Udbytte</t>
  </si>
  <si>
    <t>https://www.ft.dk/samling/20131/almdel/miu/bilag/241/1345499.pdf</t>
  </si>
  <si>
    <t>Hektaroptag</t>
  </si>
  <si>
    <t>Total gødningsforbrug, kg N</t>
  </si>
  <si>
    <t>Svinegylle, kg N</t>
  </si>
  <si>
    <t>Kvæggylle, kg N</t>
  </si>
  <si>
    <t>Fjerkrægylle, kg N</t>
  </si>
  <si>
    <t>Ton VV</t>
  </si>
  <si>
    <t>Anden grøn biomasse</t>
  </si>
  <si>
    <t>Roetop, procentdel af total produktion</t>
  </si>
  <si>
    <t xml:space="preserve">Antagelser til </t>
  </si>
  <si>
    <t>Dækker over majs, roer og roetoppe</t>
  </si>
  <si>
    <t>Høstet</t>
  </si>
  <si>
    <t>Nødvendig import (afhængig af brug af brun saft til biogasproduktion)</t>
  </si>
  <si>
    <t>Produktion a kalorier per hektar (mio. Kcal/ha)</t>
  </si>
  <si>
    <t>Total inklusiv højproduktiv kalorieproduktion</t>
  </si>
  <si>
    <t>Dækker fiberfraktionen, der ikke bruges til foder</t>
  </si>
  <si>
    <t>Mere natur</t>
  </si>
  <si>
    <t>Mere skov</t>
  </si>
  <si>
    <t>10% materialegræs 25% højtydende græs</t>
  </si>
  <si>
    <t>Produktion i ton TS (kolonne AE til TS)</t>
  </si>
  <si>
    <t>Ton TS</t>
  </si>
  <si>
    <t>Forbrug i biogas til tonTS</t>
  </si>
  <si>
    <t>Tørstofprocent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</si>
</sst>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  <numFmt numFmtId="177" formatCode="0.000000000000000%"/>
    <numFmt numFmtId="178" formatCode="0.0000%"/>
    <numFmt numFmtId="179" formatCode="0.000"/>
    <numFmt numFmtId="180" formatCode="0.0"/>
    <numFmt numFmtId="181" formatCode="_-* #,##0.0_-;\-* #,##0.0_-;_-* &quot;-&quot;?_-;_-@_-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9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9" fontId="0" fillId="3" borderId="0" xfId="0" applyNumberFormat="1" applyFill="1"/>
    <xf numFmtId="167" fontId="0" fillId="14" borderId="0" xfId="2" applyNumberFormat="1" applyFont="1" applyFill="1" applyBorder="1"/>
    <xf numFmtId="177" fontId="0" fillId="2" borderId="0" xfId="0" applyNumberFormat="1" applyFill="1"/>
    <xf numFmtId="9" fontId="0" fillId="0" borderId="0" xfId="0" applyNumberFormat="1"/>
    <xf numFmtId="178" fontId="0" fillId="0" borderId="1" xfId="0" applyNumberFormat="1" applyBorder="1"/>
    <xf numFmtId="176" fontId="0" fillId="0" borderId="15" xfId="0" applyNumberFormat="1" applyBorder="1"/>
    <xf numFmtId="176" fontId="0" fillId="0" borderId="6" xfId="0" applyNumberFormat="1" applyBorder="1"/>
    <xf numFmtId="176" fontId="0" fillId="0" borderId="25" xfId="0" applyNumberFormat="1" applyBorder="1"/>
    <xf numFmtId="167" fontId="0" fillId="2" borderId="0" xfId="2" applyNumberFormat="1" applyFont="1" applyFill="1" applyBorder="1"/>
    <xf numFmtId="179" fontId="0" fillId="2" borderId="0" xfId="0" applyNumberFormat="1" applyFill="1"/>
    <xf numFmtId="167" fontId="0" fillId="0" borderId="0" xfId="0" applyNumberFormat="1"/>
    <xf numFmtId="180" fontId="0" fillId="0" borderId="0" xfId="0" applyNumberFormat="1"/>
    <xf numFmtId="180" fontId="0" fillId="0" borderId="15" xfId="0" applyNumberFormat="1" applyBorder="1"/>
    <xf numFmtId="179" fontId="0" fillId="0" borderId="15" xfId="0" applyNumberFormat="1" applyBorder="1"/>
    <xf numFmtId="179" fontId="0" fillId="0" borderId="16" xfId="0" applyNumberFormat="1" applyBorder="1"/>
    <xf numFmtId="179" fontId="0" fillId="0" borderId="6" xfId="0" applyNumberFormat="1" applyBorder="1"/>
    <xf numFmtId="179" fontId="0" fillId="0" borderId="7" xfId="0" applyNumberFormat="1" applyBorder="1"/>
    <xf numFmtId="179" fontId="0" fillId="0" borderId="25" xfId="0" applyNumberFormat="1" applyBorder="1"/>
    <xf numFmtId="179" fontId="0" fillId="0" borderId="17" xfId="0" applyNumberFormat="1" applyBorder="1"/>
    <xf numFmtId="180" fontId="0" fillId="0" borderId="6" xfId="0" applyNumberFormat="1" applyBorder="1"/>
    <xf numFmtId="180" fontId="0" fillId="0" borderId="7" xfId="0" applyNumberFormat="1" applyBorder="1"/>
    <xf numFmtId="180" fontId="0" fillId="0" borderId="25" xfId="0" applyNumberFormat="1" applyBorder="1"/>
    <xf numFmtId="180" fontId="0" fillId="0" borderId="17" xfId="0" applyNumberFormat="1" applyBorder="1"/>
    <xf numFmtId="180" fontId="0" fillId="0" borderId="16" xfId="0" applyNumberFormat="1" applyBorder="1"/>
    <xf numFmtId="0" fontId="0" fillId="0" borderId="15" xfId="0" applyBorder="1"/>
    <xf numFmtId="0" fontId="0" fillId="0" borderId="6" xfId="0" applyBorder="1"/>
    <xf numFmtId="0" fontId="0" fillId="0" borderId="25" xfId="0" applyBorder="1"/>
    <xf numFmtId="4" fontId="0" fillId="3" borderId="0" xfId="0" applyNumberFormat="1" applyFill="1"/>
    <xf numFmtId="9" fontId="0" fillId="3" borderId="14" xfId="2" applyFont="1" applyFill="1" applyBorder="1"/>
    <xf numFmtId="3" fontId="18" fillId="0" borderId="13" xfId="11" applyNumberFormat="1" applyBorder="1"/>
    <xf numFmtId="3" fontId="0" fillId="12" borderId="6" xfId="0" applyNumberFormat="1" applyFill="1" applyBorder="1"/>
    <xf numFmtId="3" fontId="0" fillId="12" borderId="7" xfId="0" applyNumberFormat="1" applyFill="1" applyBorder="1"/>
    <xf numFmtId="179" fontId="0" fillId="12" borderId="6" xfId="0" applyNumberFormat="1" applyFill="1" applyBorder="1"/>
    <xf numFmtId="179" fontId="0" fillId="12" borderId="7" xfId="0" applyNumberFormat="1" applyFill="1" applyBorder="1"/>
    <xf numFmtId="181" fontId="0" fillId="2" borderId="0" xfId="0" applyNumberFormat="1" applyFill="1"/>
    <xf numFmtId="0" fontId="0" fillId="0" borderId="0" xfId="0" applyAlignment="1">
      <alignment wrapText="1"/>
    </xf>
    <xf numFmtId="180" fontId="1" fillId="0" borderId="0" xfId="0" applyNumberFormat="1" applyFont="1"/>
    <xf numFmtId="3" fontId="1" fillId="0" borderId="0" xfId="0" applyNumberFormat="1" applyFont="1"/>
    <xf numFmtId="1" fontId="0" fillId="3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0" fillId="0" borderId="3" xfId="0" applyBorder="1" applyAlignment="1">
      <alignment horizontal="left" vertical="top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0" fillId="0" borderId="0" xfId="0" applyFont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pivotCacheDefinition" Target="pivotCache/pivotCacheDefinition5.xml"/><Relationship Id="rId50" Type="http://schemas.openxmlformats.org/officeDocument/2006/relationships/pivotCacheDefinition" Target="pivotCache/pivotCacheDefinition8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pivotCacheDefinition" Target="pivotCache/pivotCacheDefinition6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7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2243446.8814814817</c:v>
                </c:pt>
                <c:pt idx="2">
                  <c:v>1517809.3999999997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650998.3037037038</c:v>
                </c:pt>
                <c:pt idx="2">
                  <c:v>1066450.5999999999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752224.81481481483</c:v>
                </c:pt>
                <c:pt idx="2">
                  <c:v>1062410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4035527.1301716226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7187443.4384839516</c:v>
                </c:pt>
                <c:pt idx="2">
                  <c:v>2906811.8969928357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-2980132.4328309996</c:v>
                </c:pt>
                <c:pt idx="2">
                  <c:v>-6189791.508930075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-125863.23833189183</c:v>
                </c:pt>
                <c:pt idx="2">
                  <c:v>-598488.72089127416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15223058.866009561</c:v>
                </c:pt>
                <c:pt idx="1">
                  <c:v>8116816.4602926783</c:v>
                </c:pt>
                <c:pt idx="2">
                  <c:v>-3438555.9214058015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170703.93160609802</c:v>
                </c:pt>
                <c:pt idx="2">
                  <c:v>254989.11999999997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69750.133120998726</c:v>
                </c:pt>
                <c:pt idx="2">
                  <c:v>134237.60560288333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422463.63076514978</c:v>
                </c:pt>
                <c:pt idx="2">
                  <c:v>524977.59999999986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16748.640251318189</c:v>
                </c:pt>
                <c:pt idx="2">
                  <c:v>19247.577601714402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16382.852897456338</c:v>
                </c:pt>
                <c:pt idx="2">
                  <c:v>11379.916897735917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71615.41349846535</c:v>
                </c:pt>
                <c:pt idx="2">
                  <c:v>80957.099640307584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796299.10685483483</c:v>
                </c:pt>
                <c:pt idx="2">
                  <c:v>86067.140033666408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108372.88088884554</c:v>
                </c:pt>
                <c:pt idx="2">
                  <c:v>11649.851775221636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41700.329623446123</c:v>
                </c:pt>
                <c:pt idx="2">
                  <c:v>4478.2030514981579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202930.40694941438</c:v>
                </c:pt>
                <c:pt idx="2">
                  <c:v>224990.39999999997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43240.39826440256</c:v>
                </c:pt>
                <c:pt idx="2">
                  <c:v>49788.922757978027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175797.25745850836</c:v>
                </c:pt>
                <c:pt idx="2">
                  <c:v>29205.191348004555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44306.285654138715</c:v>
                </c:pt>
                <c:pt idx="2">
                  <c:v>79372.877499380702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63135.613648404207</c:v>
                </c:pt>
                <c:pt idx="2">
                  <c:v>6467.8937916093437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39.639702399698528</c:v>
                </c:pt>
                <c:pt idx="2">
                  <c:v>33.139876340264003</c:v>
                </c:pt>
                <c:pt idx="3">
                  <c:v>4.7070100318909684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1.7355855896064003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3.6869089830925663</c:v>
                </c:pt>
                <c:pt idx="2">
                  <c:v>53.286662690699679</c:v>
                </c:pt>
                <c:pt idx="3">
                  <c:v>1.2803675685631648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24.167158131212176</c:v>
                </c:pt>
                <c:pt idx="2">
                  <c:v>10.350820907248774</c:v>
                </c:pt>
                <c:pt idx="3">
                  <c:v>0.31643557505757253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10.183984862140182</c:v>
                </c:pt>
                <c:pt idx="2">
                  <c:v>1.3990951993977221</c:v>
                </c:pt>
                <c:pt idx="3">
                  <c:v>4.5981271418897904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9.5529993846430425</c:v>
                </c:pt>
                <c:pt idx="2">
                  <c:v>10.504213624859783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60.644272636147349</c:v>
                </c:pt>
                <c:pt idx="2">
                  <c:v>75.876445531360901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793398.68144149357</c:v>
                </c:pt>
                <c:pt idx="1">
                  <c:v>1789088.8081013365</c:v>
                </c:pt>
                <c:pt idx="2">
                  <c:v>1279744.399116524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102774.24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116402.64458683817</c:v>
                </c:pt>
                <c:pt idx="1">
                  <c:v>308098.24371247069</c:v>
                </c:pt>
                <c:pt idx="2">
                  <c:v>7711065.1406709477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1657267.4622923988</c:v>
                </c:pt>
                <c:pt idx="1">
                  <c:v>2058524.1573572154</c:v>
                </c:pt>
                <c:pt idx="2">
                  <c:v>864732.13443755312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637420.75502121286</c:v>
                </c:pt>
                <c:pt idx="1">
                  <c:v>1383202.1875315444</c:v>
                </c:pt>
                <c:pt idx="2">
                  <c:v>195210.82562476638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1847872.0077416084</c:v>
                </c:pt>
                <c:pt idx="2">
                  <c:v>2193742.8024563482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45358.941062195343</c:v>
                </c:pt>
                <c:pt idx="5">
                  <c:v>6127.8304883672272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2138285.3141394742</c:v>
                </c:pt>
                <c:pt idx="2">
                  <c:v>591894.98801768455</c:v>
                </c:pt>
                <c:pt idx="15">
                  <c:v>823764.99285714305</c:v>
                </c:pt>
                <c:pt idx="16">
                  <c:v>269831.24202236213</c:v>
                </c:pt>
                <c:pt idx="17">
                  <c:v>24897.170130902599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8606229.0812590327</c:v>
                </c:pt>
                <c:pt idx="5">
                  <c:v>1162670.7264108984</c:v>
                </c:pt>
                <c:pt idx="18">
                  <c:v>0</c:v>
                </c:pt>
                <c:pt idx="19">
                  <c:v>33883827.592915721</c:v>
                </c:pt>
                <c:pt idx="20">
                  <c:v>12900463.31179085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543677.30745381361</c:v>
                </c:pt>
                <c:pt idx="5">
                  <c:v>73448.857103623857</c:v>
                </c:pt>
                <c:pt idx="9">
                  <c:v>1895494.5192748301</c:v>
                </c:pt>
                <c:pt idx="10">
                  <c:v>1507538.4346968937</c:v>
                </c:pt>
                <c:pt idx="11">
                  <c:v>843666.09680397622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2190723.0495092552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3034307.7967753555</c:v>
                </c:pt>
                <c:pt idx="5">
                  <c:v>139661.10799021259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4179758.5362353604</c:v>
                </c:pt>
                <c:pt idx="2">
                  <c:v>66267.713341306167</c:v>
                </c:pt>
                <c:pt idx="15">
                  <c:v>9696490.333333334</c:v>
                </c:pt>
                <c:pt idx="16">
                  <c:v>1393252.8454117868</c:v>
                </c:pt>
                <c:pt idx="17">
                  <c:v>7363.0792601451285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687700.0741687679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3974704.3180609513</c:v>
                </c:pt>
                <c:pt idx="5">
                  <c:v>536071.08053741162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852946.37362884311</c:v>
                </c:pt>
                <c:pt idx="23">
                  <c:v>937876.21650533774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5800700.180129448</c:v>
                </c:pt>
                <c:pt idx="5">
                  <c:v>2063175.0869171035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31087.701331546235</c:v>
                </c:pt>
                <c:pt idx="5">
                  <c:v>5027.2040456510467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2744442.2213671906</c:v>
                </c:pt>
                <c:pt idx="2">
                  <c:v>2842137.0165491202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5815234.6514047869</c:v>
                </c:pt>
                <c:pt idx="2">
                  <c:v>0</c:v>
                </c:pt>
                <c:pt idx="15">
                  <c:v>14742130.666666664</c:v>
                </c:pt>
                <c:pt idx="16">
                  <c:v>1938411.5504682623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1040798.545799318</c:v>
                </c:pt>
                <c:pt idx="11">
                  <c:v>1857740.6365169021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2862895.9283603532</c:v>
                </c:pt>
                <c:pt idx="11">
                  <c:v>2876725.401789723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5664406.6188028278</c:v>
                </c:pt>
                <c:pt idx="5">
                  <c:v>2156588.4069192056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150566.48491478726</c:v>
                </c:pt>
                <c:pt idx="5">
                  <c:v>20340.992871107879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272942.8395612298</c:v>
                </c:pt>
                <c:pt idx="11">
                  <c:v>300120.38928170811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A-46C5-A73C-F0713A763245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10736909.103015775</c:v>
                </c:pt>
                <c:pt idx="17">
                  <c:v>79356.668662266122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A-46C5-A73C-F0713A763245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1373926.8476279068</c:v>
                </c:pt>
                <c:pt idx="17">
                  <c:v>1372714.6087495531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A-46C5-A73C-F0713A763245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792089.97208410688</c:v>
                </c:pt>
                <c:pt idx="14">
                  <c:v>882756.40881976672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0-40E8-BA11-67CD3E9E2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34869.318749292113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14870926.792952009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2781.7823767953669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1373926.8476279068</c:v>
                </c:pt>
                <c:pt idx="2">
                  <c:v>1372714.6087495531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35755.911767410122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2431669.8538372577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114193.60000000001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2-455B-ABFC-E6251F86AA9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5-4DC5-B8F6-A84C7D008AD9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2190723.0495092552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5-4DC5-B8F6-A84C7D008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587428.20442739874</c:v>
                </c:pt>
                <c:pt idx="2">
                  <c:v>938380.44520582655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4097849.3853123123</c:v>
                </c:pt>
                <c:pt idx="2">
                  <c:v>26193182.890956745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22739.095393183758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2932371.6994386665</c:v>
                </c:pt>
                <c:pt idx="2">
                  <c:v>3299462.6181114498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2222075.7410944896</c:v>
                </c:pt>
                <c:pt idx="1">
                  <c:v>2506827.3802092117</c:v>
                </c:pt>
                <c:pt idx="2">
                  <c:v>476180.49081991403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1289639.1357645364</c:v>
                </c:pt>
                <c:pt idx="1">
                  <c:v>1026994.1457082357</c:v>
                </c:pt>
                <c:pt idx="2">
                  <c:v>43926.582985718967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1662278.5794471605</c:v>
                </c:pt>
                <c:pt idx="2">
                  <c:v>1818979.7815367144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48302.228679244159</c:v>
                </c:pt>
                <c:pt idx="2">
                  <c:v>241.59506154239193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B-46DA-B040-A22E6CC3157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275906.70189963432</c:v>
                </c:pt>
                <c:pt idx="2">
                  <c:v>448597.11538156105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9-4A04-93A8-20E3C6EF4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2243446.8814814817</c:v>
                </c:pt>
                <c:pt idx="2">
                  <c:v>1517809.3999999997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650998.3037037038</c:v>
                </c:pt>
                <c:pt idx="2">
                  <c:v>1066450.5999999999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752224.81481481483</c:v>
                </c:pt>
                <c:pt idx="2">
                  <c:v>1062410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4035527.1301716226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7187443.4384839516</c:v>
                </c:pt>
                <c:pt idx="2">
                  <c:v>2906811.8969928357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-2980132.4328309996</c:v>
                </c:pt>
                <c:pt idx="2">
                  <c:v>-6189791.508930075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-125863.23833189183</c:v>
                </c:pt>
                <c:pt idx="2">
                  <c:v>-598488.72089127416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15223058.866009561</c:v>
                </c:pt>
                <c:pt idx="1">
                  <c:v>8116816.4602926783</c:v>
                </c:pt>
                <c:pt idx="2">
                  <c:v>-3438555.9214058015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34869.318749292113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14870926.792952009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2781.7823767953669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1373926.8476279068</c:v>
                </c:pt>
                <c:pt idx="2">
                  <c:v>1372714.6087495531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35755.911767410122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2431669.8538372577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114193.60000000001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6-4D49-84D7-4B5B80F94325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B-4BA3-BED2-5A0C94E0AFB9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2190723.0495092552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B-4BA3-BED2-5A0C94E0A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587428.20442739874</c:v>
                </c:pt>
                <c:pt idx="2">
                  <c:v>938380.44520582655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4097849.3853123123</c:v>
                </c:pt>
                <c:pt idx="2">
                  <c:v>26193182.890956745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22739.095393183758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2932371.6994386665</c:v>
                </c:pt>
                <c:pt idx="2">
                  <c:v>3299462.6181114498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2222075.7410944896</c:v>
                </c:pt>
                <c:pt idx="1">
                  <c:v>2506827.3802092117</c:v>
                </c:pt>
                <c:pt idx="2">
                  <c:v>476180.49081991403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1289639.1357645364</c:v>
                </c:pt>
                <c:pt idx="1">
                  <c:v>1026994.1457082357</c:v>
                </c:pt>
                <c:pt idx="2">
                  <c:v>43926.582985718967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1662278.5794471605</c:v>
                </c:pt>
                <c:pt idx="2">
                  <c:v>1818979.7815367144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48302.228679244159</c:v>
                </c:pt>
                <c:pt idx="2">
                  <c:v>241.59506154239193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2-4D81-9D14-08BE376BD0FD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275906.70189963432</c:v>
                </c:pt>
                <c:pt idx="2">
                  <c:v>448597.11538156105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7E-41CB-87DD-B76BCC0BF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4035527.1301716226</c:v>
                </c:pt>
                <c:pt idx="2">
                  <c:v>443070.84862270928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7187443.4384839516</c:v>
                </c:pt>
                <c:pt idx="2">
                  <c:v>2906811.8969928357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-2980132.4328309996</c:v>
                </c:pt>
                <c:pt idx="2">
                  <c:v>-6189791.508930075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-125863.23833189183</c:v>
                </c:pt>
                <c:pt idx="2">
                  <c:v>-598488.72089127416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15223058.866009561</c:v>
                </c:pt>
                <c:pt idx="1">
                  <c:v>8116816.4602926783</c:v>
                </c:pt>
                <c:pt idx="2">
                  <c:v>-3438555.9214058015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34869.318749292113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14870926.792952009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2781.7823767953669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1373926.8476279068</c:v>
                </c:pt>
                <c:pt idx="2">
                  <c:v>1372714.6087495531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35755.911767410122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2431669.8538372577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114193.60000000001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81-40CE-B0BA-CECF0D99C45F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7-46DA-8862-DF40AE1903ED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2190723.0495092552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D7-46DA-8862-DF40AE190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587428.20442739874</c:v>
                </c:pt>
                <c:pt idx="2">
                  <c:v>938380.44520582655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4097849.3853123123</c:v>
                </c:pt>
                <c:pt idx="2">
                  <c:v>26193182.890956745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22739.095393183758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2932371.6994386665</c:v>
                </c:pt>
                <c:pt idx="2">
                  <c:v>3299462.6181114498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2222075.7410944896</c:v>
                </c:pt>
                <c:pt idx="1">
                  <c:v>2506827.3802092117</c:v>
                </c:pt>
                <c:pt idx="2">
                  <c:v>476180.49081991403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1289639.1357645364</c:v>
                </c:pt>
                <c:pt idx="1">
                  <c:v>1026994.1457082357</c:v>
                </c:pt>
                <c:pt idx="2">
                  <c:v>43926.582985718967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1662278.5794471605</c:v>
                </c:pt>
                <c:pt idx="2">
                  <c:v>1818979.7815367144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48302.228679244159</c:v>
                </c:pt>
                <c:pt idx="2">
                  <c:v>241.59506154239193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D7-472B-BD32-EF284B71DDD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275906.70189963432</c:v>
                </c:pt>
                <c:pt idx="2">
                  <c:v>448597.11538156105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9A-4AF0-8C4C-20337CFAA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2862895.9283603532</c:v>
                </c:pt>
                <c:pt idx="2">
                  <c:v>2876725.401789723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792089.97208410688</c:v>
                </c:pt>
                <c:pt idx="2">
                  <c:v>882756.40881976672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87994.214232774539</c:v>
                </c:pt>
                <c:pt idx="2">
                  <c:v>232376.30799685174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131991.32134916179</c:v>
                </c:pt>
                <c:pt idx="2">
                  <c:v>348564.46199527755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587428.20442739874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938380.44520582655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CONCITO!$C$21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CONCITO!$C$22:$C$34</c:f>
              <c:numCache>
                <c:formatCode>#,##0</c:formatCode>
                <c:ptCount val="13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0</c:v>
                </c:pt>
                <c:pt idx="5">
                  <c:v>280322.43675931642</c:v>
                </c:pt>
                <c:pt idx="6">
                  <c:v>0</c:v>
                </c:pt>
                <c:pt idx="7">
                  <c:v>-5421074.2654714445</c:v>
                </c:pt>
                <c:pt idx="8">
                  <c:v>2263176.157376945</c:v>
                </c:pt>
                <c:pt idx="9">
                  <c:v>3798044.7816959741</c:v>
                </c:pt>
                <c:pt idx="10">
                  <c:v>3383628.2</c:v>
                </c:pt>
                <c:pt idx="11">
                  <c:v>956.59999999999991</c:v>
                </c:pt>
                <c:pt idx="12">
                  <c:v>1662278.5794471605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CONCITO!$D$21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CONCITO!$D$22:$D$34</c:f>
              <c:numCache>
                <c:formatCode>#,##0</c:formatCode>
                <c:ptCount val="13"/>
                <c:pt idx="0">
                  <c:v>42217.628788690155</c:v>
                </c:pt>
                <c:pt idx="1">
                  <c:v>938380.44520582655</c:v>
                </c:pt>
                <c:pt idx="2">
                  <c:v>66766.505156136613</c:v>
                </c:pt>
                <c:pt idx="3">
                  <c:v>1093650.863002714</c:v>
                </c:pt>
                <c:pt idx="4">
                  <c:v>14551768.272753747</c:v>
                </c:pt>
                <c:pt idx="5">
                  <c:v>426005.5806566042</c:v>
                </c:pt>
                <c:pt idx="6">
                  <c:v>300120.38928170811</c:v>
                </c:pt>
                <c:pt idx="7">
                  <c:v>0</c:v>
                </c:pt>
                <c:pt idx="8">
                  <c:v>3299462.6181114498</c:v>
                </c:pt>
                <c:pt idx="9">
                  <c:v>520107.073805633</c:v>
                </c:pt>
                <c:pt idx="10">
                  <c:v>0</c:v>
                </c:pt>
                <c:pt idx="11">
                  <c:v>956.59999999999991</c:v>
                </c:pt>
                <c:pt idx="12">
                  <c:v>1818979.7815367144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CONCITO!$E$21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CONCITO!$E$22:$E$34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</c:v>
                </c:pt>
                <c:pt idx="5">
                  <c:v>0.10932575033613341</c:v>
                </c:pt>
                <c:pt idx="6">
                  <c:v>0</c:v>
                </c:pt>
                <c:pt idx="7">
                  <c:v>-3.0900123313187238</c:v>
                </c:pt>
                <c:pt idx="8">
                  <c:v>1.765277402754017</c:v>
                </c:pt>
                <c:pt idx="9">
                  <c:v>7.0034546956775827</c:v>
                </c:pt>
                <c:pt idx="10">
                  <c:v>2.1316857659999999</c:v>
                </c:pt>
                <c:pt idx="11">
                  <c:v>7.6169499999999995E-4</c:v>
                </c:pt>
                <c:pt idx="12">
                  <c:v>0.49868357383414813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CONCITO!$F$21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CONCITO!$F$22:$F$34</c:f>
              <c:numCache>
                <c:formatCode>#,##0.000</c:formatCode>
                <c:ptCount val="13"/>
                <c:pt idx="0">
                  <c:v>5.8260327728392416E-2</c:v>
                </c:pt>
                <c:pt idx="1">
                  <c:v>6.5170521919544662</c:v>
                </c:pt>
                <c:pt idx="2">
                  <c:v>0.12739738926111124</c:v>
                </c:pt>
                <c:pt idx="3">
                  <c:v>0.56869844876141129</c:v>
                </c:pt>
                <c:pt idx="4">
                  <c:v>4.0017362750072811</c:v>
                </c:pt>
                <c:pt idx="5">
                  <c:v>0.16614217645607562</c:v>
                </c:pt>
                <c:pt idx="6">
                  <c:v>2.7010835035353731</c:v>
                </c:pt>
                <c:pt idx="7">
                  <c:v>0</c:v>
                </c:pt>
                <c:pt idx="8">
                  <c:v>2.5735808421269306</c:v>
                </c:pt>
                <c:pt idx="9">
                  <c:v>1.1466827819162171</c:v>
                </c:pt>
                <c:pt idx="10">
                  <c:v>0</c:v>
                </c:pt>
                <c:pt idx="11">
                  <c:v>7.6169499999999995E-4</c:v>
                </c:pt>
                <c:pt idx="12">
                  <c:v>0.54569393446101433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mad eller anden 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CONCITO!$B$4:$B$11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CONCITO!$C$4:$C$11</c:f>
              <c:numCache>
                <c:formatCode>#,##0</c:formatCode>
                <c:ptCount val="8"/>
                <c:pt idx="0">
                  <c:v>6522091.11327485</c:v>
                </c:pt>
                <c:pt idx="1">
                  <c:v>27372347.842478029</c:v>
                </c:pt>
                <c:pt idx="2">
                  <c:v>0</c:v>
                </c:pt>
                <c:pt idx="3">
                  <c:v>0</c:v>
                </c:pt>
                <c:pt idx="4">
                  <c:v>4426639.260599453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CONCITO!$B$4:$B$11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CONCITO!$D$4:$D$11</c:f>
              <c:numCache>
                <c:formatCode>#,##0</c:formatCode>
                <c:ptCount val="8"/>
                <c:pt idx="0">
                  <c:v>9232763.1366058141</c:v>
                </c:pt>
                <c:pt idx="1">
                  <c:v>737381.85708088381</c:v>
                </c:pt>
                <c:pt idx="2">
                  <c:v>4440034.9554218939</c:v>
                </c:pt>
                <c:pt idx="3">
                  <c:v>0</c:v>
                </c:pt>
                <c:pt idx="4">
                  <c:v>1319846.5876238905</c:v>
                </c:pt>
                <c:pt idx="5">
                  <c:v>956.59999999999991</c:v>
                </c:pt>
                <c:pt idx="6">
                  <c:v>4734466.0383066256</c:v>
                </c:pt>
                <c:pt idx="7">
                  <c:v>300120.38928170811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non-food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CONCITO!$C$47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CONCITO!$B$48:$B$57</c:f>
              <c:strCache>
                <c:ptCount val="10"/>
                <c:pt idx="0">
                  <c:v>Bionedbrydeligt affald</c:v>
                </c:pt>
                <c:pt idx="1">
                  <c:v>Husdyrgødning</c:v>
                </c:pt>
                <c:pt idx="2">
                  <c:v>Brun saft</c:v>
                </c:pt>
                <c:pt idx="3">
                  <c:v>Fiberfraktion</c:v>
                </c:pt>
                <c:pt idx="4">
                  <c:v>Græs</c:v>
                </c:pt>
                <c:pt idx="5">
                  <c:v>Anden grøn biomasse</c:v>
                </c:pt>
                <c:pt idx="6">
                  <c:v>Halm og strå</c:v>
                </c:pt>
                <c:pt idx="7">
                  <c:v>Havbiomasse</c:v>
                </c:pt>
                <c:pt idx="8">
                  <c:v>Vedmasse</c:v>
                </c:pt>
                <c:pt idx="9">
                  <c:v>Rapsolie</c:v>
                </c:pt>
              </c:strCache>
            </c:strRef>
          </c:cat>
          <c:val>
            <c:numRef>
              <c:f>CONCITO!$C$48:$C$57</c:f>
              <c:numCache>
                <c:formatCode>#,##0</c:formatCode>
                <c:ptCount val="10"/>
                <c:pt idx="0">
                  <c:v>9091963.1968560591</c:v>
                </c:pt>
                <c:pt idx="1">
                  <c:v>34648953</c:v>
                </c:pt>
                <c:pt idx="2">
                  <c:v>0</c:v>
                </c:pt>
                <c:pt idx="3">
                  <c:v>0</c:v>
                </c:pt>
                <c:pt idx="4">
                  <c:v>4173248.5535632987</c:v>
                </c:pt>
                <c:pt idx="5">
                  <c:v>319016.91424530162</c:v>
                </c:pt>
                <c:pt idx="6">
                  <c:v>1974271.9128006368</c:v>
                </c:pt>
                <c:pt idx="7">
                  <c:v>0</c:v>
                </c:pt>
                <c:pt idx="8">
                  <c:v>3220159.2034965986</c:v>
                </c:pt>
                <c:pt idx="9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E-4833-B057-AA4B66838B5A}"/>
            </c:ext>
          </c:extLst>
        </c:ser>
        <c:ser>
          <c:idx val="1"/>
          <c:order val="1"/>
          <c:tx>
            <c:strRef>
              <c:f>CONCITO!$D$47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CONCITO!$B$48:$B$57</c:f>
              <c:strCache>
                <c:ptCount val="10"/>
                <c:pt idx="0">
                  <c:v>Bionedbrydeligt affald</c:v>
                </c:pt>
                <c:pt idx="1">
                  <c:v>Husdyrgødning</c:v>
                </c:pt>
                <c:pt idx="2">
                  <c:v>Brun saft</c:v>
                </c:pt>
                <c:pt idx="3">
                  <c:v>Fiberfraktion</c:v>
                </c:pt>
                <c:pt idx="4">
                  <c:v>Græs</c:v>
                </c:pt>
                <c:pt idx="5">
                  <c:v>Anden grøn biomasse</c:v>
                </c:pt>
                <c:pt idx="6">
                  <c:v>Halm og strå</c:v>
                </c:pt>
                <c:pt idx="7">
                  <c:v>Havbiomasse</c:v>
                </c:pt>
                <c:pt idx="8">
                  <c:v>Vedmasse</c:v>
                </c:pt>
                <c:pt idx="9">
                  <c:v>Rapsolie</c:v>
                </c:pt>
              </c:strCache>
            </c:strRef>
          </c:cat>
          <c:val>
            <c:numRef>
              <c:f>CONCITO!$D$48:$D$57</c:f>
              <c:numCache>
                <c:formatCode>#,##0</c:formatCode>
                <c:ptCount val="10"/>
                <c:pt idx="0">
                  <c:v>9232763.1366058141</c:v>
                </c:pt>
                <c:pt idx="1">
                  <c:v>737381.85708088381</c:v>
                </c:pt>
                <c:pt idx="2">
                  <c:v>12607679.898899501</c:v>
                </c:pt>
                <c:pt idx="3">
                  <c:v>8880069.9108437877</c:v>
                </c:pt>
                <c:pt idx="4">
                  <c:v>11641414.618202997</c:v>
                </c:pt>
                <c:pt idx="5">
                  <c:v>1770262.6200149411</c:v>
                </c:pt>
                <c:pt idx="6">
                  <c:v>843666.09680397634</c:v>
                </c:pt>
                <c:pt idx="7">
                  <c:v>0</c:v>
                </c:pt>
                <c:pt idx="8">
                  <c:v>4734466.0383066256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E-4833-B057-AA4B66838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45358.941062195343</c:v>
                </c:pt>
                <c:pt idx="5">
                  <c:v>6127.8304883672272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2138285.3141394742</c:v>
                </c:pt>
                <c:pt idx="2">
                  <c:v>591894.98801768455</c:v>
                </c:pt>
                <c:pt idx="15">
                  <c:v>823764.99285714305</c:v>
                </c:pt>
                <c:pt idx="16">
                  <c:v>269831.24202236213</c:v>
                </c:pt>
                <c:pt idx="17">
                  <c:v>24897.170130902599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6572.2723545464542</c:v>
                </c:pt>
                <c:pt idx="2">
                  <c:v>5480.9700138047265</c:v>
                </c:pt>
                <c:pt idx="15">
                  <c:v>4441.5</c:v>
                </c:pt>
                <c:pt idx="16">
                  <c:v>2190.7574515154847</c:v>
                </c:pt>
                <c:pt idx="17">
                  <c:v>608.99666820052505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8606229.0812590327</c:v>
                </c:pt>
                <c:pt idx="5">
                  <c:v>1162670.7264108984</c:v>
                </c:pt>
                <c:pt idx="18">
                  <c:v>0</c:v>
                </c:pt>
                <c:pt idx="19">
                  <c:v>33883827.592915721</c:v>
                </c:pt>
                <c:pt idx="20">
                  <c:v>12900463.31179085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543677.30745381361</c:v>
                </c:pt>
                <c:pt idx="5">
                  <c:v>73448.857103623857</c:v>
                </c:pt>
                <c:pt idx="9">
                  <c:v>1895494.5192748301</c:v>
                </c:pt>
                <c:pt idx="10">
                  <c:v>1507538.4346968937</c:v>
                </c:pt>
                <c:pt idx="11">
                  <c:v>843666.09680397622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2190723.0495092552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3034307.7967753555</c:v>
                </c:pt>
                <c:pt idx="5">
                  <c:v>139661.10799021259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4179758.5362353604</c:v>
                </c:pt>
                <c:pt idx="2">
                  <c:v>66267.713341306167</c:v>
                </c:pt>
                <c:pt idx="15">
                  <c:v>9696490.333333334</c:v>
                </c:pt>
                <c:pt idx="16">
                  <c:v>1393252.8454117868</c:v>
                </c:pt>
                <c:pt idx="17">
                  <c:v>7363.0792601451285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687700.0741687679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3974704.3180609513</c:v>
                </c:pt>
                <c:pt idx="5">
                  <c:v>536071.08053741162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852946.37362884311</c:v>
                </c:pt>
                <c:pt idx="23">
                  <c:v>937876.21650533774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5800700.180129448</c:v>
                </c:pt>
                <c:pt idx="5">
                  <c:v>2063175.0869171035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31087.701331546235</c:v>
                </c:pt>
                <c:pt idx="5">
                  <c:v>5027.2040456510467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2744442.2213671906</c:v>
                </c:pt>
                <c:pt idx="2">
                  <c:v>2842137.0165491202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5815234.6514047869</c:v>
                </c:pt>
                <c:pt idx="2">
                  <c:v>0</c:v>
                </c:pt>
                <c:pt idx="15">
                  <c:v>14742130.666666664</c:v>
                </c:pt>
                <c:pt idx="16">
                  <c:v>1938411.5504682623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1040798.545799318</c:v>
                </c:pt>
                <c:pt idx="11">
                  <c:v>1857740.6365169021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2862895.9283603532</c:v>
                </c:pt>
                <c:pt idx="11">
                  <c:v>2876725.401789723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5664406.6188028278</c:v>
                </c:pt>
                <c:pt idx="5">
                  <c:v>2156588.4069192056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150566.48491478726</c:v>
                </c:pt>
                <c:pt idx="5">
                  <c:v>20340.992871107879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272942.8395612298</c:v>
                </c:pt>
                <c:pt idx="11">
                  <c:v>300120.38928170811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9-4185-81BE-75E5CFB66DDA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10736909.103015775</c:v>
                </c:pt>
                <c:pt idx="17">
                  <c:v>79356.668662266122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89-4185-81BE-75E5CFB66DDA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1373926.8476279068</c:v>
                </c:pt>
                <c:pt idx="17">
                  <c:v>1372714.6087495531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89-4185-81BE-75E5CFB66DDA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792089.97208410688</c:v>
                </c:pt>
                <c:pt idx="14">
                  <c:v>882756.40881976672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4-4E72-A51A-267625876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34869.318749292113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14870926.792952009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2781.7823767953669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1373926.8476279068</c:v>
                </c:pt>
                <c:pt idx="2">
                  <c:v>1372714.6087495531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35755.911767410122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2431669.8538372577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114193.60000000001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FB-4EBC-BEA1-72BEFED5CD6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4-4222-AF7D-0369805524A5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2190723.0495092552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4-4222-AF7D-036980552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587428.20442739874</c:v>
                </c:pt>
                <c:pt idx="2">
                  <c:v>938380.44520582655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4097849.3853123123</c:v>
                </c:pt>
                <c:pt idx="2">
                  <c:v>26193182.890956745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22739.095393183758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2932371.6994386665</c:v>
                </c:pt>
                <c:pt idx="2">
                  <c:v>3299462.6181114498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2222075.7410944896</c:v>
                </c:pt>
                <c:pt idx="1">
                  <c:v>2506827.3802092117</c:v>
                </c:pt>
                <c:pt idx="2">
                  <c:v>476180.49081991403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1289639.1357645364</c:v>
                </c:pt>
                <c:pt idx="1">
                  <c:v>1026994.1457082357</c:v>
                </c:pt>
                <c:pt idx="2">
                  <c:v>43926.582985718967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1662278.5794471605</c:v>
                </c:pt>
                <c:pt idx="2">
                  <c:v>1818979.7815367144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48302.228679244159</c:v>
                </c:pt>
                <c:pt idx="2">
                  <c:v>241.59506154239193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1-4309-BF0B-F45228FC2FA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275906.70189963432</c:v>
                </c:pt>
                <c:pt idx="2">
                  <c:v>448597.11538156105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4A-4193-8A6C-444FDEB4C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39.639702399698528</c:v>
                </c:pt>
                <c:pt idx="2">
                  <c:v>33.139876340264003</c:v>
                </c:pt>
                <c:pt idx="3">
                  <c:v>4.7070100318909684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1.7355855896064003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3.6869089830925663</c:v>
                </c:pt>
                <c:pt idx="2">
                  <c:v>53.286662690699679</c:v>
                </c:pt>
                <c:pt idx="3">
                  <c:v>1.2803675685631648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24.167158131212176</c:v>
                </c:pt>
                <c:pt idx="2">
                  <c:v>10.350820907248774</c:v>
                </c:pt>
                <c:pt idx="3">
                  <c:v>0.31643557505757253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10.183984862140182</c:v>
                </c:pt>
                <c:pt idx="2">
                  <c:v>1.3990951993977221</c:v>
                </c:pt>
                <c:pt idx="3">
                  <c:v>4.5981271418897904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9.5529993846430425</c:v>
                </c:pt>
                <c:pt idx="2">
                  <c:v>10.504213624859783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60.644272636147349</c:v>
                </c:pt>
                <c:pt idx="2">
                  <c:v>75.876445531360901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793398.68144149357</c:v>
                </c:pt>
                <c:pt idx="1">
                  <c:v>1789088.8081013365</c:v>
                </c:pt>
                <c:pt idx="2">
                  <c:v>1279744.399116524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102774.24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116402.64458683817</c:v>
                </c:pt>
                <c:pt idx="1">
                  <c:v>308098.24371247069</c:v>
                </c:pt>
                <c:pt idx="2">
                  <c:v>7711065.1406709477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1657267.4622923988</c:v>
                </c:pt>
                <c:pt idx="1">
                  <c:v>2058524.1573572154</c:v>
                </c:pt>
                <c:pt idx="2">
                  <c:v>864732.13443755312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637420.75502121286</c:v>
                </c:pt>
                <c:pt idx="1">
                  <c:v>1383202.1875315444</c:v>
                </c:pt>
                <c:pt idx="2">
                  <c:v>195210.82562476638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1847872.0077416084</c:v>
                </c:pt>
                <c:pt idx="2">
                  <c:v>2193742.8024563482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485529" y="200025"/>
          <a:ext cx="1190065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1474694</xdr:colOff>
      <xdr:row>5</xdr:row>
      <xdr:rowOff>122854</xdr:rowOff>
    </xdr:from>
    <xdr:to>
      <xdr:col>13</xdr:col>
      <xdr:colOff>181535</xdr:colOff>
      <xdr:row>36</xdr:row>
      <xdr:rowOff>143436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591110</xdr:colOff>
      <xdr:row>55</xdr:row>
      <xdr:rowOff>21770</xdr:rowOff>
    </xdr:from>
    <xdr:to>
      <xdr:col>13</xdr:col>
      <xdr:colOff>535641</xdr:colOff>
      <xdr:row>67</xdr:row>
      <xdr:rowOff>125186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558165</xdr:colOff>
      <xdr:row>18</xdr:row>
      <xdr:rowOff>169545</xdr:rowOff>
    </xdr:from>
    <xdr:to>
      <xdr:col>20</xdr:col>
      <xdr:colOff>253365</xdr:colOff>
      <xdr:row>35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367665</xdr:colOff>
      <xdr:row>18</xdr:row>
      <xdr:rowOff>165735</xdr:rowOff>
    </xdr:from>
    <xdr:to>
      <xdr:col>28</xdr:col>
      <xdr:colOff>62865</xdr:colOff>
      <xdr:row>35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17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268605</xdr:colOff>
      <xdr:row>47</xdr:row>
      <xdr:rowOff>19050</xdr:rowOff>
    </xdr:from>
    <xdr:to>
      <xdr:col>20</xdr:col>
      <xdr:colOff>311468</xdr:colOff>
      <xdr:row>66</xdr:row>
      <xdr:rowOff>110490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6D29A-D143-44B4-8FB2-4DDC85274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4.5</v>
          </cell>
          <cell r="J9">
            <v>4.5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-10</v>
          </cell>
          <cell r="I81">
            <v>-10</v>
          </cell>
          <cell r="J81">
            <v>-10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-10</v>
          </cell>
          <cell r="I85">
            <v>-10</v>
          </cell>
          <cell r="J85">
            <v>-10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</v>
          </cell>
          <cell r="I87">
            <v>0</v>
          </cell>
          <cell r="J87">
            <v>0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</v>
          </cell>
          <cell r="I88">
            <v>0</v>
          </cell>
          <cell r="J88">
            <v>0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-10</v>
          </cell>
          <cell r="I89">
            <v>-10</v>
          </cell>
          <cell r="J89">
            <v>-10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0</v>
          </cell>
          <cell r="I90">
            <v>0</v>
          </cell>
          <cell r="J90">
            <v>0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0</v>
          </cell>
          <cell r="I91">
            <v>0</v>
          </cell>
          <cell r="J91">
            <v>0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0</v>
          </cell>
          <cell r="I92">
            <v>0</v>
          </cell>
          <cell r="J92">
            <v>0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-10</v>
          </cell>
          <cell r="I93">
            <v>-10</v>
          </cell>
          <cell r="J93">
            <v>-10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0</v>
          </cell>
          <cell r="I94">
            <v>0</v>
          </cell>
          <cell r="J94">
            <v>0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0.12546743028681259</v>
          </cell>
          <cell r="I101">
            <v>0.12546743028681259</v>
          </cell>
          <cell r="J101">
            <v>0.12546743028681259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0.13801417331549384</v>
          </cell>
          <cell r="I108">
            <v>0.13801417331549384</v>
          </cell>
          <cell r="J108">
            <v>0.13801417331549384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3.1715240866672119</v>
          </cell>
          <cell r="I116">
            <v>3.1715240866672119</v>
          </cell>
          <cell r="J116">
            <v>3.1715240866672119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2.6521826227537644</v>
          </cell>
          <cell r="I124">
            <v>2.6521826227537644</v>
          </cell>
          <cell r="J124">
            <v>2.6521826227537644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7.99210246451366E-4</v>
          </cell>
          <cell r="I132">
            <v>7.99210246451366E-4</v>
          </cell>
          <cell r="J132">
            <v>7.99210246451366E-4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8.7913127109650257E-4</v>
          </cell>
          <cell r="I140">
            <v>8.7913127109650257E-4</v>
          </cell>
          <cell r="J140">
            <v>8.7913127109650257E-4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0.2</v>
          </cell>
          <cell r="I425">
            <v>0.2</v>
          </cell>
          <cell r="J425">
            <v>0.37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0</v>
          </cell>
          <cell r="I459">
            <v>0</v>
          </cell>
          <cell r="J459">
            <v>0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0</v>
          </cell>
          <cell r="I461">
            <v>0</v>
          </cell>
          <cell r="J461">
            <v>0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  <cell r="J5">
            <v>2.2736943674854606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Fiberfraktion</v>
          </cell>
          <cell r="B6">
            <v>0.34</v>
          </cell>
        </row>
        <row r="7">
          <cell r="A7" t="str">
            <v>Fjerkrægylle</v>
          </cell>
          <cell r="B7">
            <v>6.3E-2</v>
          </cell>
        </row>
        <row r="8">
          <cell r="A8" t="str">
            <v>Glycerin</v>
          </cell>
          <cell r="B8">
            <v>0.9</v>
          </cell>
        </row>
        <row r="9">
          <cell r="A9" t="str">
            <v>Græs</v>
          </cell>
          <cell r="B9">
            <v>0.28000000000000003</v>
          </cell>
        </row>
        <row r="10">
          <cell r="A10" t="str">
            <v>Halm</v>
          </cell>
          <cell r="B10">
            <v>0.85</v>
          </cell>
        </row>
        <row r="11">
          <cell r="A11" t="str">
            <v>Have/parkaffald</v>
          </cell>
          <cell r="B11">
            <v>0.3</v>
          </cell>
        </row>
        <row r="12">
          <cell r="A12" t="str">
            <v>Industriaffald</v>
          </cell>
          <cell r="B12">
            <v>0.42</v>
          </cell>
        </row>
        <row r="13">
          <cell r="A13" t="str">
            <v>Kartofler</v>
          </cell>
          <cell r="B13">
            <v>0.25</v>
          </cell>
        </row>
        <row r="14">
          <cell r="A14" t="str">
            <v>Korn</v>
          </cell>
          <cell r="B14">
            <v>0.31</v>
          </cell>
        </row>
        <row r="15">
          <cell r="A15" t="str">
            <v>Kvæggylle</v>
          </cell>
          <cell r="B15">
            <v>7.5999999999999998E-2</v>
          </cell>
        </row>
        <row r="16">
          <cell r="A16" t="str">
            <v>Majs</v>
          </cell>
          <cell r="B16">
            <v>0.3</v>
          </cell>
        </row>
        <row r="17">
          <cell r="A17" t="str">
            <v>Muslinger</v>
          </cell>
          <cell r="B17">
            <v>0.15</v>
          </cell>
        </row>
        <row r="18">
          <cell r="A18" t="str">
            <v>Pil &amp; poppel</v>
          </cell>
          <cell r="B18">
            <v>0.41500000000000004</v>
          </cell>
        </row>
        <row r="19">
          <cell r="A19" t="str">
            <v>Raps</v>
          </cell>
          <cell r="B19">
            <v>0.91</v>
          </cell>
        </row>
        <row r="20">
          <cell r="A20" t="str">
            <v>Rapskage</v>
          </cell>
          <cell r="B20">
            <v>0.91</v>
          </cell>
        </row>
        <row r="21">
          <cell r="A21" t="str">
            <v>Roer</v>
          </cell>
          <cell r="B21">
            <v>0.2</v>
          </cell>
        </row>
        <row r="22">
          <cell r="A22" t="str">
            <v>Spildevandsslam</v>
          </cell>
          <cell r="B22">
            <v>0.06</v>
          </cell>
        </row>
        <row r="23">
          <cell r="A23" t="str">
            <v>Svinegylle</v>
          </cell>
          <cell r="B23">
            <v>0.05</v>
          </cell>
        </row>
        <row r="24">
          <cell r="A24" t="str">
            <v>Tang</v>
          </cell>
          <cell r="B24">
            <v>0.15</v>
          </cell>
        </row>
        <row r="25">
          <cell r="A25" t="str">
            <v>Træ til energi</v>
          </cell>
          <cell r="B25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33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0793738426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2020220.25091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tring="0" containsBlank="1" containsNumber="1" minValue="0" maxValue="4066864.606816408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52020220.25091624"/>
    </cacheField>
    <cacheField name="Materialer og processer" numFmtId="0">
      <sharedItems containsSemiMixedTypes="0" containsString="0" containsNumber="1" minValue="0" maxValue="30051588.08806663"/>
    </cacheField>
    <cacheField name="Produktion minus forbrug [ton]" numFmtId="3">
      <sharedItems containsSemiMixedTypes="0" containsString="0" containsNumber="1" minValue="-16270359.338390883" maxValue="16444971.341133809"/>
    </cacheField>
    <cacheField name="Potentiale til energi [ton]" numFmtId="3">
      <sharedItems containsSemiMixedTypes="0" containsString="0" containsNumber="1" minValue="0" maxValue="16444971.341133809"/>
    </cacheField>
    <cacheField name="Forbrug energi [ton/m3]" numFmtId="3">
      <sharedItems containsSemiMixedTypes="0" containsString="0" containsNumber="1" minValue="0" maxValue="352020220.25091624"/>
    </cacheField>
    <cacheField name="Potentiale til energi [PJ]" numFmtId="0">
      <sharedItems containsSemiMixedTypes="0" containsString="0" containsNumber="1" minValue="0" maxValue="30.256691646268568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37525053399659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4604591.9755174667"/>
    </cacheField>
    <cacheField name="Forbrug/potentiale [Ton TS]" numFmtId="0">
      <sharedItems containsSemiMixedTypes="0" containsString="0" containsNumber="1" minValue="0" maxValue="4604591.9755174667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4604591.975517466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07937847222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5252578.7317060567" maxValue="13077161.25155249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07938310184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2020220.25091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tring="0" containsBlank="1" containsNumber="1" minValue="0" maxValue="4066864.606816408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52020220.25091624"/>
    </cacheField>
    <cacheField name="Materialer og processer" numFmtId="0">
      <sharedItems containsSemiMixedTypes="0" containsString="0" containsNumber="1" minValue="0" maxValue="30051588.08806663"/>
    </cacheField>
    <cacheField name="Produktion minus forbrug [ton]" numFmtId="3">
      <sharedItems containsSemiMixedTypes="0" containsString="0" containsNumber="1" minValue="-16270359.338390883" maxValue="16444971.341133809"/>
    </cacheField>
    <cacheField name="Potentiale til energi [ton]" numFmtId="3">
      <sharedItems containsSemiMixedTypes="0" containsString="0" containsNumber="1" minValue="0" maxValue="16444971.341133809"/>
    </cacheField>
    <cacheField name="Forbrug energi [ton/m3]" numFmtId="3">
      <sharedItems containsSemiMixedTypes="0" containsString="0" containsNumber="1" minValue="0" maxValue="352020220.25091624"/>
    </cacheField>
    <cacheField name="Potentiale til energi [PJ]" numFmtId="0">
      <sharedItems containsSemiMixedTypes="0" containsString="0" containsNumber="1" minValue="0" maxValue="30.256691646268568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37525053399659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4604591.9755174667"/>
    </cacheField>
    <cacheField name="Forbrug/potentiale [Ton TS]" numFmtId="0">
      <sharedItems containsSemiMixedTypes="0" containsString="0" containsNumber="1" minValue="0" maxValue="4604591.9755174667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4604591.9755174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07939351854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2020220.25091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tring="0" containsBlank="1" containsNumber="1" minValue="0" maxValue="4066864.6068164087"/>
    </cacheField>
    <cacheField name="Gødning" numFmtId="0">
      <sharedItems containsSemiMixedTypes="0" containsString="0" containsNumber="1" minValue="0" maxValue="12818096.433914844"/>
    </cacheField>
    <cacheField name="Energi" numFmtId="0">
      <sharedItems containsSemiMixedTypes="0" containsString="0" containsNumber="1" minValue="0" maxValue="352020220.25091624"/>
    </cacheField>
    <cacheField name="Materialer og processer" numFmtId="0">
      <sharedItems containsSemiMixedTypes="0" containsString="0" containsNumber="1" minValue="0" maxValue="30051588.08806663"/>
    </cacheField>
    <cacheField name="Produktion minus forbrug [ton]" numFmtId="3">
      <sharedItems containsSemiMixedTypes="0" containsString="0" containsNumber="1" minValue="-16270359.338390883" maxValue="16444971.341133809"/>
    </cacheField>
    <cacheField name="Potentiale til energi [ton]" numFmtId="3">
      <sharedItems containsSemiMixedTypes="0" containsString="0" containsNumber="1" minValue="0" maxValue="16444971.341133809"/>
    </cacheField>
    <cacheField name="Forbrug energi [ton/m3]" numFmtId="3">
      <sharedItems containsSemiMixedTypes="0" containsString="0" containsNumber="1" minValue="0" maxValue="352020220.25091624"/>
    </cacheField>
    <cacheField name="Potentiale til energi [PJ]" numFmtId="0">
      <sharedItems containsSemiMixedTypes="0" containsString="0" containsNumber="1" minValue="0" maxValue="30.256691646268568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37525053399659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4604591.9755174667"/>
    </cacheField>
    <cacheField name="Forbrug/potentiale [Ton TS]" numFmtId="0">
      <sharedItems containsSemiMixedTypes="0" containsString="0" containsNumber="1" minValue="0" maxValue="4604591.9755174667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4604591.975517466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07939814815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11266038.840728465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11266038.8407284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07940046293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28845032.27082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07940393516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07940740739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30051588.08806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89639.1357645364"/>
    <n v="314874.94627501385"/>
    <n v="4.6298044973946864"/>
    <n v="1.1304010571272998"/>
    <n v="1.1304010571272998"/>
    <n v="0"/>
    <n v="386891.7407293609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137289.06413917695"/>
    <n v="0"/>
    <n v="0"/>
    <m/>
    <m/>
    <n v="0"/>
    <n v="0"/>
    <n v="0"/>
    <n v="137289.06413917695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481659.22850480652"/>
    <n v="40228.873469919861"/>
    <n v="0"/>
    <m/>
    <m/>
    <n v="0"/>
    <n v="0"/>
    <n v="0"/>
    <n v="441430.35503488668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m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249223758.90765765"/>
    <n v="0"/>
    <n v="0"/>
    <m/>
    <m/>
    <n v="0"/>
    <n v="249223758.90765765"/>
    <n v="0"/>
    <n v="0"/>
    <n v="0"/>
    <n v="249223758.90765765"/>
    <n v="0"/>
    <n v="0"/>
    <n v="0"/>
    <n v="0"/>
    <n v="0"/>
    <n v="0"/>
    <n v="0"/>
    <n v="0"/>
    <n v="0"/>
    <x v="1"/>
  </r>
  <r>
    <x v="4"/>
    <s v=""/>
    <n v="0"/>
    <n v="0"/>
    <x v="1"/>
    <s v="Vestdanmark"/>
    <n v="11346933.162854034"/>
    <n v="0"/>
    <n v="0"/>
    <m/>
    <m/>
    <n v="8903736.5766237658"/>
    <n v="0"/>
    <n v="0"/>
    <n v="2443196.5862302687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14684775.031360051"/>
    <n v="0"/>
    <n v="0"/>
    <m/>
    <m/>
    <n v="0"/>
    <n v="0"/>
    <n v="0"/>
    <n v="14684775.031360051"/>
    <n v="14684775.031360051"/>
    <n v="0"/>
    <n v="8.3413351517980026"/>
    <n v="8.3413351517980026"/>
    <n v="0"/>
    <n v="8.3413351517980026"/>
    <n v="627970.72587502829"/>
    <n v="627970.72587502829"/>
    <n v="0"/>
    <n v="627970.72587502829"/>
    <n v="0"/>
    <x v="0"/>
  </r>
  <r>
    <x v="6"/>
    <s v="Husdyrgødning"/>
    <n v="1"/>
    <n v="0"/>
    <x v="1"/>
    <s v="Vestdanmark"/>
    <n v="2502699.3699625214"/>
    <n v="0"/>
    <n v="0"/>
    <m/>
    <m/>
    <n v="236862.61894288147"/>
    <n v="0"/>
    <n v="0"/>
    <n v="2265836.7510196399"/>
    <n v="2265836.7510196399"/>
    <n v="0"/>
    <n v="4.8806123616963042"/>
    <n v="4.8806123616963042"/>
    <n v="0"/>
    <n v="4.8806123616963042"/>
    <n v="679751.02530589199"/>
    <n v="679751.02530589199"/>
    <n v="0"/>
    <n v="679751.02530589199"/>
    <n v="0"/>
    <x v="0"/>
  </r>
  <r>
    <x v="7"/>
    <s v=""/>
    <n v="0"/>
    <n v="0"/>
    <x v="1"/>
    <s v="Vestdanmark"/>
    <n v="10343047.24970635"/>
    <n v="0"/>
    <n v="0"/>
    <m/>
    <m/>
    <n v="0"/>
    <n v="0"/>
    <n v="0"/>
    <n v="10343047.24970635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084.5006505504907"/>
    <n v="0"/>
    <n v="0"/>
    <m/>
    <m/>
    <n v="2021.1251626376227"/>
    <n v="0"/>
    <n v="0"/>
    <n v="6063.3754879128683"/>
    <n v="6063.3754879128683"/>
    <n v="0"/>
    <n v="2.8515448582105427E-3"/>
    <n v="2.8515448582105427E-3"/>
    <n v="0"/>
    <n v="2.8515448582105427E-3"/>
    <n v="381.99265573851068"/>
    <n v="381.99265573851068"/>
    <n v="0"/>
    <n v="381.99265573851068"/>
    <n v="0"/>
    <x v="0"/>
  </r>
  <r>
    <x v="9"/>
    <s v=""/>
    <n v="0"/>
    <n v="1"/>
    <x v="1"/>
    <s v="Vestdanmark"/>
    <n v="98611.398262488423"/>
    <n v="0"/>
    <n v="0"/>
    <m/>
    <m/>
    <n v="0"/>
    <n v="0"/>
    <n v="0"/>
    <n v="98611.398262488423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664815.58983177762"/>
    <n v="0"/>
    <n v="0"/>
    <m/>
    <m/>
    <n v="0"/>
    <n v="0"/>
    <n v="0"/>
    <n v="664815.5898317776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430871.84710127779"/>
    <n v="0"/>
    <n v="0"/>
    <m/>
    <m/>
    <n v="0"/>
    <n v="0"/>
    <n v="0"/>
    <n v="430871.84710127779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Vestdanmark"/>
    <n v="21414098.756239291"/>
    <n v="7632870.0065635424"/>
    <n v="0"/>
    <m/>
    <m/>
    <n v="0"/>
    <n v="0"/>
    <n v="30051588.08806663"/>
    <n v="-16270359.338390883"/>
    <n v="0"/>
    <n v="0"/>
    <n v="0"/>
    <n v="0"/>
    <n v="0"/>
    <n v="0"/>
    <n v="0"/>
    <n v="0"/>
    <n v="0"/>
    <n v="0"/>
    <n v="1"/>
    <x v="1"/>
  </r>
  <r>
    <x v="14"/>
    <s v=""/>
    <n v="0"/>
    <n v="0"/>
    <x v="1"/>
    <s v="Vestdanmark"/>
    <n v="5023765.8070002273"/>
    <n v="5023765.8070002273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281423.99402613594"/>
    <n v="0"/>
    <n v="0"/>
    <m/>
    <m/>
    <n v="0"/>
    <n v="0"/>
    <n v="0"/>
    <n v="281423.99402613594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1977104.2150518387"/>
    <n v="482187.74728528946"/>
    <n v="479636.33491702302"/>
    <m/>
    <m/>
    <n v="0"/>
    <n v="1015280.1328495261"/>
    <n v="0"/>
    <n v="0"/>
    <n v="0"/>
    <n v="1015280.1328495261"/>
    <n v="0"/>
    <n v="10.493738833103313"/>
    <n v="0"/>
    <n v="10.493738833103313"/>
    <n v="0"/>
    <n v="862988.11292209721"/>
    <n v="0"/>
    <n v="862988.11292209721"/>
    <n v="0"/>
    <x v="1"/>
  </r>
  <r>
    <x v="17"/>
    <s v="Bionedbrydeligt affald"/>
    <n v="1"/>
    <n v="0"/>
    <x v="1"/>
    <s v="Vestdanmark"/>
    <n v="526734.10986839118"/>
    <n v="0"/>
    <n v="0"/>
    <m/>
    <m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n v="1"/>
    <x v="1"/>
    <s v="Vestdanmark"/>
    <n v="0"/>
    <n v="1942953.6559396777"/>
    <n v="0"/>
    <m/>
    <m/>
    <n v="0"/>
    <n v="0"/>
    <n v="0"/>
    <n v="-1942953.655939677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05778.5574192928"/>
    <n v="0"/>
    <n v="0"/>
    <m/>
    <m/>
    <n v="0"/>
    <n v="0"/>
    <n v="0"/>
    <n v="405778.5574192928"/>
    <n v="405778.5574192928"/>
    <n v="0"/>
    <n v="1.7582912405102604"/>
    <n v="1.7582912405102604"/>
    <n v="0"/>
    <n v="1.7582912405102604"/>
    <n v="170426.99411610299"/>
    <n v="170426.99411610299"/>
    <n v="0"/>
    <n v="170426.99411610299"/>
    <n v="0"/>
    <x v="0"/>
  </r>
  <r>
    <x v="20"/>
    <s v=""/>
    <n v="0"/>
    <n v="0"/>
    <x v="1"/>
    <s v="Vestdanmark"/>
    <n v="603118.80667157366"/>
    <n v="0"/>
    <n v="0"/>
    <m/>
    <m/>
    <n v="0"/>
    <n v="0"/>
    <n v="0"/>
    <n v="603118.80667157366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242614.2909873207"/>
    <n v="0"/>
    <n v="0"/>
    <m/>
    <m/>
    <n v="0"/>
    <n v="0"/>
    <n v="0"/>
    <n v="2242614.290987320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220540.2072265251"/>
    <n v="2691129.5009707427"/>
    <n v="0"/>
    <m/>
    <m/>
    <n v="0"/>
    <n v="0"/>
    <n v="0"/>
    <n v="1529410.7062557824"/>
    <n v="1529410.7062557824"/>
    <n v="0"/>
    <n v="5.2380175514271796"/>
    <n v="5.2380175514271796"/>
    <n v="0"/>
    <n v="5.2380175514271796"/>
    <n v="474117.31893929251"/>
    <n v="474117.31893929251"/>
    <n v="0"/>
    <n v="474117.31893929251"/>
    <n v="0"/>
    <x v="0"/>
  </r>
  <r>
    <x v="23"/>
    <s v=""/>
    <n v="0"/>
    <n v="0"/>
    <x v="1"/>
    <s v="Vestdanmark"/>
    <n v="0"/>
    <n v="0"/>
    <n v="0"/>
    <m/>
    <m/>
    <n v="995222.8905503545"/>
    <n v="0"/>
    <n v="0"/>
    <n v="-995222.8905503545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5203199.1539231511"/>
    <n v="0"/>
    <n v="0"/>
    <m/>
    <m/>
    <n v="1300799.7884807878"/>
    <n v="0"/>
    <n v="0"/>
    <n v="3902399.3654423635"/>
    <n v="3902399.3654423635"/>
    <n v="0"/>
    <n v="1.9753555347932703"/>
    <n v="1.9753555347932703"/>
    <n v="0"/>
    <n v="1.9753555347932703"/>
    <n v="296582.35177361959"/>
    <n v="296582.35177361959"/>
    <n v="0"/>
    <n v="296582.35177361959"/>
    <n v="0"/>
    <x v="0"/>
  </r>
  <r>
    <x v="25"/>
    <s v=""/>
    <n v="0"/>
    <n v="0"/>
    <x v="1"/>
    <s v="Vestdanmark"/>
    <n v="608682.64604356373"/>
    <n v="609921.6300278171"/>
    <n v="0"/>
    <m/>
    <m/>
    <n v="0"/>
    <n v="0"/>
    <n v="0"/>
    <n v="-1238.9839842533693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Vestdanmark"/>
    <n v="3841740.8343041693"/>
    <n v="3525167.7695113979"/>
    <n v="0"/>
    <m/>
    <m/>
    <n v="0"/>
    <n v="0"/>
    <n v="0"/>
    <n v="316573.06479277136"/>
    <n v="316573.06479277136"/>
    <n v="0"/>
    <n v="1.1364973026060492"/>
    <n v="1.1364973026060492"/>
    <n v="0"/>
    <n v="1.1364973026060492"/>
    <n v="94971.919437831399"/>
    <n v="94971.919437831399"/>
    <n v="0"/>
    <n v="94971.919437831399"/>
    <n v="0"/>
    <x v="0"/>
  </r>
  <r>
    <x v="27"/>
    <s v=""/>
    <n v="0"/>
    <n v="1"/>
    <x v="1"/>
    <s v="Vestdanmark"/>
    <n v="1174441.6070577153"/>
    <n v="0"/>
    <n v="0"/>
    <m/>
    <m/>
    <n v="0"/>
    <n v="0"/>
    <n v="0"/>
    <n v="1174441.6070577153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67205.8563118069"/>
    <n v="0"/>
    <n v="0"/>
    <m/>
    <m/>
    <n v="0"/>
    <n v="0"/>
    <n v="0"/>
    <n v="67205.8563118069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918139.94844972179"/>
    <n v="0"/>
    <n v="0"/>
    <m/>
    <m/>
    <n v="0"/>
    <n v="0"/>
    <n v="0"/>
    <n v="918139.94844972179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792652.16456581966"/>
    <n v="0"/>
    <n v="0"/>
    <m/>
    <m/>
    <n v="0"/>
    <n v="792652.16456581966"/>
    <n v="0"/>
    <n v="0"/>
    <n v="0"/>
    <n v="792652.16456581966"/>
    <n v="0"/>
    <n v="14.584799828011079"/>
    <n v="0"/>
    <n v="14.584799828011079"/>
    <n v="0"/>
    <n v="328950.64829481521"/>
    <n v="0"/>
    <n v="328950.64829481521"/>
    <n v="0"/>
    <x v="1"/>
  </r>
  <r>
    <x v="32"/>
    <s v="Pyrolyseprodukter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1828845.3877961836"/>
    <n v="0"/>
    <n v="0"/>
    <m/>
    <m/>
    <n v="0"/>
    <n v="0"/>
    <n v="0"/>
    <n v="1828845.387796183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647982.39082629455"/>
    <n v="0"/>
    <n v="0"/>
    <m/>
    <m/>
    <n v="0"/>
    <n v="0"/>
    <n v="647982.3908262945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323991.19541314727"/>
    <n v="133537.51054598394"/>
    <n v="0"/>
    <m/>
    <m/>
    <n v="0"/>
    <n v="0"/>
    <n v="0"/>
    <n v="190453.6848671633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07354.36506441425"/>
    <n v="0"/>
    <n v="0"/>
    <m/>
    <m/>
    <n v="0"/>
    <n v="207354.36506441425"/>
    <n v="0"/>
    <n v="0"/>
    <n v="0"/>
    <n v="207354.36506441425"/>
    <n v="0"/>
    <n v="7.257402777254498"/>
    <n v="0"/>
    <n v="7.257402777254498"/>
    <n v="0"/>
    <n v="0"/>
    <n v="0"/>
    <n v="0"/>
    <n v="0"/>
    <x v="1"/>
  </r>
  <r>
    <x v="38"/>
    <s v="Græs og urter"/>
    <n v="1"/>
    <n v="1"/>
    <x v="1"/>
    <s v="Vestdanmark"/>
    <n v="2550745.2722111917"/>
    <n v="5144644.6526032425"/>
    <n v="0"/>
    <m/>
    <m/>
    <n v="0"/>
    <n v="0"/>
    <n v="0"/>
    <n v="-2593899.3803920508"/>
    <n v="0"/>
    <n v="0"/>
    <n v="0"/>
    <n v="0"/>
    <n v="0"/>
    <n v="0"/>
    <n v="0"/>
    <n v="0"/>
    <n v="0"/>
    <n v="0"/>
    <n v="1"/>
    <x v="1"/>
  </r>
  <r>
    <x v="39"/>
    <s v=""/>
    <n v="0"/>
    <n v="0"/>
    <x v="1"/>
    <s v="Vestdanmark"/>
    <n v="108671.64339484723"/>
    <n v="0"/>
    <n v="0"/>
    <m/>
    <m/>
    <n v="0"/>
    <n v="0"/>
    <n v="0"/>
    <n v="108671.64339484723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9619.838788847192"/>
    <n v="27571.701941246847"/>
    <n v="0"/>
    <m/>
    <m/>
    <n v="0"/>
    <n v="0"/>
    <n v="0"/>
    <n v="42048.136847600341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897871.3438154077"/>
    <n v="0"/>
    <n v="0"/>
    <m/>
    <m/>
    <n v="0"/>
    <n v="0"/>
    <n v="0"/>
    <n v="3897871.3438154077"/>
    <n v="3897871.3438154077"/>
    <n v="0"/>
    <n v="1.9450767792773269"/>
    <n v="1.9450767792773269"/>
    <n v="0"/>
    <n v="1.9450767792773269"/>
    <n v="233872.28062892446"/>
    <n v="233872.28062892446"/>
    <n v="0"/>
    <n v="233872.28062892446"/>
    <n v="0"/>
    <x v="0"/>
  </r>
  <r>
    <x v="42"/>
    <s v="Husdyrgødning"/>
    <n v="1"/>
    <n v="0"/>
    <x v="1"/>
    <s v="Vestdanmark"/>
    <n v="6772351.9428086244"/>
    <n v="0"/>
    <n v="0"/>
    <m/>
    <m/>
    <n v="1693087.9857021561"/>
    <n v="0"/>
    <n v="0"/>
    <n v="5079263.9571064683"/>
    <n v="5079263.9571064683"/>
    <n v="0"/>
    <n v="2.188146912721467"/>
    <n v="2.188146912721467"/>
    <n v="0"/>
    <n v="2.188146912721467"/>
    <n v="253963.19785532344"/>
    <n v="253963.19785532344"/>
    <n v="0"/>
    <n v="253963.19785532344"/>
    <n v="0"/>
    <x v="0"/>
  </r>
  <r>
    <x v="43"/>
    <s v=""/>
    <n v="0"/>
    <n v="1"/>
    <x v="1"/>
    <s v="Vestdanmark"/>
    <n v="732389.99616601155"/>
    <n v="0"/>
    <n v="0"/>
    <m/>
    <m/>
    <n v="0"/>
    <n v="0"/>
    <n v="0"/>
    <n v="732389.99616601155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5801.6184005174"/>
    <n v="0"/>
    <n v="0"/>
    <m/>
    <m/>
    <n v="0"/>
    <n v="2215801.6184005174"/>
    <n v="0"/>
    <n v="0"/>
    <n v="0"/>
    <n v="2215801.6184005174"/>
    <n v="0"/>
    <n v="32.114873426737361"/>
    <n v="0"/>
    <n v="32.114873426737361"/>
    <n v="0"/>
    <n v="1095898.5504339226"/>
    <n v="0"/>
    <n v="1095898.5504339226"/>
    <n v="0"/>
    <x v="1"/>
  </r>
  <r>
    <x v="47"/>
    <s v=""/>
    <n v="0"/>
    <n v="0"/>
    <x v="1"/>
    <s v="Vestdanmark"/>
    <n v="613452.88379897492"/>
    <n v="0"/>
    <n v="0"/>
    <m/>
    <m/>
    <n v="0"/>
    <n v="0"/>
    <n v="613452.88379897492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38948.680417674739"/>
    <n v="0"/>
    <n v="0"/>
    <m/>
    <m/>
    <n v="0"/>
    <n v="0"/>
    <n v="0"/>
    <n v="38948.680417674739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675379.18690925464"/>
    <n v="5403.1676876681813"/>
    <n v="0"/>
    <m/>
    <m/>
    <n v="0"/>
    <n v="0"/>
    <n v="0"/>
    <n v="669976.0192215864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m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53132231.072586313"/>
    <n v="0"/>
    <n v="0"/>
    <m/>
    <m/>
    <n v="0"/>
    <n v="53132231.072586313"/>
    <n v="0"/>
    <n v="0"/>
    <n v="0"/>
    <n v="53132231.072586313"/>
    <n v="0"/>
    <n v="0"/>
    <n v="0"/>
    <n v="0"/>
    <n v="0"/>
    <n v="0"/>
    <n v="0"/>
    <n v="0"/>
    <n v="0"/>
    <x v="1"/>
  </r>
  <r>
    <x v="4"/>
    <s v=""/>
    <n v="0"/>
    <n v="0"/>
    <x v="2"/>
    <s v="Vestdanmark"/>
    <n v="1933341.8038107518"/>
    <n v="0"/>
    <n v="0"/>
    <m/>
    <m/>
    <n v="47604.725505662638"/>
    <n v="0"/>
    <n v="0"/>
    <n v="1885737.078305089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5558362.6844374826"/>
    <n v="0"/>
    <n v="0"/>
    <m/>
    <m/>
    <n v="0"/>
    <n v="0"/>
    <n v="0"/>
    <n v="5558362.6844374826"/>
    <n v="5558362.6844374826"/>
    <n v="0"/>
    <n v="3.1572949498462015"/>
    <n v="3.1572949498462015"/>
    <n v="0"/>
    <n v="3.1572949498462015"/>
    <n v="237694.41766515101"/>
    <n v="237694.41766515101"/>
    <n v="0"/>
    <n v="237694.41766515101"/>
    <n v="0"/>
    <x v="0"/>
  </r>
  <r>
    <x v="6"/>
    <s v="Husdyrgødning"/>
    <n v="1"/>
    <n v="0"/>
    <x v="2"/>
    <s v="Vestdanmark"/>
    <n v="575834.83314211352"/>
    <n v="0"/>
    <n v="0"/>
    <m/>
    <m/>
    <n v="21799.461540380005"/>
    <n v="0"/>
    <n v="0"/>
    <n v="554035.3716017335"/>
    <n v="554035.3716017335"/>
    <n v="0"/>
    <n v="1.1933921904301339"/>
    <n v="1.1933921904301339"/>
    <n v="0"/>
    <n v="1.1933921904301339"/>
    <n v="166210.61148052005"/>
    <n v="166210.61148052005"/>
    <n v="0"/>
    <n v="166210.61148052005"/>
    <n v="0"/>
    <x v="0"/>
  </r>
  <r>
    <x v="7"/>
    <s v=""/>
    <n v="0"/>
    <n v="0"/>
    <x v="2"/>
    <s v="Vestdanmark"/>
    <n v="3914966.8791907234"/>
    <n v="0"/>
    <n v="0"/>
    <m/>
    <m/>
    <n v="0"/>
    <n v="0"/>
    <n v="0"/>
    <n v="3914966.8791907234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m/>
    <m/>
    <n v="561.84151705662089"/>
    <n v="0"/>
    <n v="0"/>
    <n v="5056.5736535095893"/>
    <n v="5056.5736535095893"/>
    <n v="0"/>
    <n v="2.3780560235090249E-3"/>
    <n v="2.3780560235090249E-3"/>
    <n v="0"/>
    <n v="2.3780560235090249E-3"/>
    <n v="318.56414017110416"/>
    <n v="318.56414017110416"/>
    <n v="0"/>
    <n v="318.56414017110416"/>
    <n v="0"/>
    <x v="0"/>
  </r>
  <r>
    <x v="9"/>
    <s v=""/>
    <n v="0"/>
    <n v="1"/>
    <x v="2"/>
    <s v="Vestdanmark"/>
    <n v="6001.6248923716248"/>
    <n v="0"/>
    <n v="0"/>
    <m/>
    <m/>
    <n v="0"/>
    <n v="0"/>
    <n v="0"/>
    <n v="6001.6248923716248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63416.052113342856"/>
    <n v="0"/>
    <n v="0"/>
    <m/>
    <m/>
    <n v="0"/>
    <n v="0"/>
    <n v="0"/>
    <n v="63416.05211334285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782024.94316368026"/>
    <n v="0"/>
    <n v="0"/>
    <m/>
    <m/>
    <n v="0"/>
    <n v="0"/>
    <n v="0"/>
    <n v="782024.94316368026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Vestdanmark"/>
    <n v="28845032.2708226"/>
    <n v="1025176.0247393751"/>
    <n v="0"/>
    <m/>
    <m/>
    <n v="0"/>
    <n v="0"/>
    <n v="11374884.904949415"/>
    <n v="16444971.341133809"/>
    <n v="16444971.341133809"/>
    <n v="0"/>
    <n v="30.256691646268568"/>
    <n v="30.256691646268568"/>
    <n v="0"/>
    <n v="30.256691646268568"/>
    <n v="4604591.9755174667"/>
    <n v="4604591.9755174667"/>
    <n v="0"/>
    <n v="4604591.9755174667"/>
    <n v="0"/>
    <x v="0"/>
  </r>
  <r>
    <x v="14"/>
    <s v=""/>
    <n v="0"/>
    <n v="0"/>
    <x v="2"/>
    <s v="Vestdanmark"/>
    <n v="1901555.3413212083"/>
    <n v="1901555.3413212085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304619.14425386849"/>
    <n v="0"/>
    <n v="0"/>
    <m/>
    <m/>
    <n v="0"/>
    <n v="0"/>
    <n v="0"/>
    <n v="304619.14425386849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712964.91975724418"/>
    <n v="64762.968256356122"/>
    <n v="70290.546378545216"/>
    <m/>
    <m/>
    <n v="0"/>
    <n v="577911.40512234275"/>
    <n v="0"/>
    <n v="0"/>
    <n v="0"/>
    <n v="577911.40512234275"/>
    <n v="0"/>
    <n v="5.9731803645215589"/>
    <n v="0"/>
    <n v="5.9731803645215589"/>
    <n v="0"/>
    <n v="491224.6943539913"/>
    <n v="0"/>
    <n v="491224.6943539913"/>
    <n v="0"/>
    <x v="1"/>
  </r>
  <r>
    <x v="17"/>
    <s v="Bionedbrydeligt affald"/>
    <n v="1"/>
    <n v="0"/>
    <x v="2"/>
    <s v="Vestdanmark"/>
    <n v="524881.97503939818"/>
    <n v="0"/>
    <n v="0"/>
    <m/>
    <m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n v="1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217306.9698136746"/>
    <n v="0"/>
    <n v="0"/>
    <m/>
    <m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  <n v="0"/>
    <x v="0"/>
  </r>
  <r>
    <x v="20"/>
    <s v=""/>
    <n v="0"/>
    <n v="0"/>
    <x v="2"/>
    <s v="Vestdanmark"/>
    <n v="390434.16444163944"/>
    <n v="0"/>
    <n v="0"/>
    <m/>
    <m/>
    <n v="0"/>
    <n v="0"/>
    <n v="0"/>
    <n v="390434.16444163944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359310.5932499878"/>
    <n v="0"/>
    <n v="0"/>
    <m/>
    <m/>
    <n v="0"/>
    <n v="0"/>
    <n v="0"/>
    <n v="2359310.5932499878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440363.1063619653"/>
    <n v="123145.11430255328"/>
    <n v="0"/>
    <m/>
    <m/>
    <n v="0"/>
    <n v="0"/>
    <n v="0"/>
    <n v="317217.992059412"/>
    <n v="317217.992059412"/>
    <n v="0"/>
    <n v="1.0864272122845979"/>
    <n v="1.0864272122845979"/>
    <n v="0"/>
    <n v="1.0864272122845979"/>
    <n v="98337.577538417725"/>
    <n v="98337.577538417725"/>
    <n v="0"/>
    <n v="98337.577538417725"/>
    <n v="0"/>
    <x v="0"/>
  </r>
  <r>
    <x v="23"/>
    <s v=""/>
    <n v="0"/>
    <n v="0"/>
    <x v="2"/>
    <s v="Vestdanmark"/>
    <n v="0"/>
    <n v="0"/>
    <n v="0"/>
    <m/>
    <m/>
    <n v="982391.24658337084"/>
    <n v="0"/>
    <n v="0"/>
    <n v="-982391.24658337084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68744.822418311582"/>
    <n v="0"/>
    <n v="0"/>
    <m/>
    <m/>
    <n v="6874.4822418311569"/>
    <n v="0"/>
    <n v="0"/>
    <n v="61870.340176480422"/>
    <n v="61870.340176480422"/>
    <n v="0"/>
    <n v="3.1318147493932628E-2"/>
    <n v="3.1318147493932628E-2"/>
    <n v="0"/>
    <n v="3.1318147493932628E-2"/>
    <n v="4702.1458534125122"/>
    <n v="4702.1458534125122"/>
    <n v="0"/>
    <n v="4702.1458534125122"/>
    <n v="0"/>
    <x v="0"/>
  </r>
  <r>
    <x v="25"/>
    <s v=""/>
    <n v="0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Vestdanmark"/>
    <n v="414732.57617739204"/>
    <n v="472676.57715918368"/>
    <n v="0"/>
    <m/>
    <m/>
    <n v="0"/>
    <n v="0"/>
    <n v="0"/>
    <n v="-57944.000981791643"/>
    <n v="0"/>
    <n v="0"/>
    <n v="0"/>
    <n v="0"/>
    <n v="0"/>
    <n v="0"/>
    <n v="0"/>
    <n v="0"/>
    <n v="0"/>
    <n v="0"/>
    <n v="0"/>
    <x v="0"/>
  </r>
  <r>
    <x v="27"/>
    <s v=""/>
    <n v="0"/>
    <n v="1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28"/>
    <s v="Havbiomasse"/>
    <n v="1"/>
    <n v="1"/>
    <x v="2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3915.1017916004403"/>
    <n v="0"/>
    <n v="0"/>
    <m/>
    <m/>
    <n v="0"/>
    <n v="0"/>
    <n v="0"/>
    <n v="3915.1017916004403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91558.70508823132"/>
    <n v="0"/>
    <n v="0"/>
    <m/>
    <m/>
    <n v="0"/>
    <n v="0"/>
    <n v="0"/>
    <n v="91558.70508823132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328394.2479560631"/>
    <n v="0"/>
    <n v="0"/>
    <m/>
    <m/>
    <n v="0"/>
    <n v="1328394.2479560631"/>
    <n v="0"/>
    <n v="0"/>
    <n v="0"/>
    <n v="1328394.2479560631"/>
    <n v="0"/>
    <n v="24.442454162391556"/>
    <n v="0"/>
    <n v="24.442454162391556"/>
    <n v="0"/>
    <n v="551283.6129017662"/>
    <n v="0"/>
    <n v="551283.6129017662"/>
    <n v="0"/>
    <x v="1"/>
  </r>
  <r>
    <x v="32"/>
    <s v="Pyrolyseprodukter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5"/>
    <s v=""/>
    <n v="0"/>
    <n v="0"/>
    <x v="2"/>
    <s v="Vestdanmark"/>
    <n v="670636.87299018225"/>
    <n v="0"/>
    <n v="0"/>
    <m/>
    <m/>
    <n v="0"/>
    <n v="0"/>
    <n v="670636.8729901822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335318.43649509113"/>
    <n v="17935.514963231879"/>
    <n v="0"/>
    <m/>
    <m/>
    <n v="0"/>
    <n v="0"/>
    <n v="0"/>
    <n v="317382.92153185926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214603.79935685833"/>
    <n v="0"/>
    <n v="0"/>
    <m/>
    <m/>
    <n v="0"/>
    <n v="214603.79935685833"/>
    <n v="0"/>
    <n v="0"/>
    <n v="0"/>
    <n v="214603.79935685833"/>
    <n v="0"/>
    <n v="7.5111329774900408"/>
    <n v="0"/>
    <n v="7.5111329774900408"/>
    <n v="0"/>
    <n v="0"/>
    <n v="0"/>
    <n v="0"/>
    <n v="0"/>
    <x v="1"/>
  </r>
  <r>
    <x v="38"/>
    <s v="Græs og urter"/>
    <n v="1"/>
    <n v="1"/>
    <x v="2"/>
    <s v="Vestdanmark"/>
    <n v="2775969.9581087129"/>
    <n v="1819188.8605265266"/>
    <n v="0"/>
    <m/>
    <m/>
    <n v="0"/>
    <n v="0"/>
    <n v="0"/>
    <n v="956781.09758218634"/>
    <n v="956781.09758218634"/>
    <n v="0"/>
    <n v="2.5967421700819568"/>
    <n v="2.5967421700819568"/>
    <n v="0"/>
    <n v="2.5967421700819568"/>
    <n v="191356.21951643727"/>
    <n v="191356.21951643727"/>
    <n v="0"/>
    <n v="191356.21951643727"/>
    <n v="0"/>
    <x v="0"/>
  </r>
  <r>
    <x v="39"/>
    <s v=""/>
    <n v="0"/>
    <n v="0"/>
    <x v="2"/>
    <s v="Vestdanmark"/>
    <n v="6885.6435501498472"/>
    <n v="0"/>
    <n v="0"/>
    <m/>
    <m/>
    <n v="0"/>
    <n v="0"/>
    <n v="0"/>
    <n v="6885.6435501498472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4618.1462568237339"/>
    <n v="4432.6987357664457"/>
    <n v="0"/>
    <m/>
    <m/>
    <n v="0"/>
    <n v="0"/>
    <n v="0"/>
    <n v="185.44752105728821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002333.5486616795"/>
    <n v="0"/>
    <n v="0"/>
    <m/>
    <m/>
    <n v="0"/>
    <n v="0"/>
    <n v="0"/>
    <n v="4002333.5486616795"/>
    <n v="4002333.5486616795"/>
    <n v="0"/>
    <n v="1.9972044641176649"/>
    <n v="1.9972044641176649"/>
    <n v="0"/>
    <n v="1.9972044641176649"/>
    <n v="240140.01291970076"/>
    <n v="240140.01291970076"/>
    <n v="0"/>
    <n v="240140.01291970076"/>
    <n v="0"/>
    <x v="0"/>
  </r>
  <r>
    <x v="42"/>
    <s v="Husdyrgødning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48971.913359549246"/>
    <n v="0"/>
    <n v="0"/>
    <m/>
    <m/>
    <n v="0"/>
    <n v="0"/>
    <n v="0"/>
    <n v="48971.913359549246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249732.4484132435"/>
    <n v="0"/>
    <n v="0"/>
    <m/>
    <m/>
    <n v="0"/>
    <n v="2249732.4484132435"/>
    <n v="0"/>
    <n v="0"/>
    <n v="0"/>
    <n v="2249732.4484132435"/>
    <n v="0"/>
    <n v="32.606652249387302"/>
    <n v="0"/>
    <n v="32.606652249387302"/>
    <n v="0"/>
    <n v="1112680.1734443833"/>
    <n v="0"/>
    <n v="1112680.1734443833"/>
    <n v="0"/>
    <x v="1"/>
  </r>
  <r>
    <x v="47"/>
    <s v=""/>
    <n v="0"/>
    <n v="0"/>
    <x v="2"/>
    <s v="Vestdanmark"/>
    <n v="697041.55294512468"/>
    <n v="0"/>
    <n v="0"/>
    <m/>
    <m/>
    <n v="0"/>
    <n v="0"/>
    <n v="697041.55294512468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m/>
    <m/>
    <n v="0"/>
    <n v="0"/>
    <n v="0"/>
    <n v="18450.007031483605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m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m/>
    <n v="0"/>
    <n v="0"/>
    <n v="0"/>
    <n v="165083.0224523381"/>
    <n v="0"/>
    <n v="0"/>
    <n v="0"/>
    <n v="0"/>
    <n v="0"/>
    <n v="0"/>
    <n v="0"/>
    <n v="0"/>
    <n v="0"/>
    <n v="0"/>
    <n v="1"/>
    <x v="1"/>
  </r>
  <r>
    <x v="3"/>
    <m/>
    <n v="1"/>
    <n v="0"/>
    <x v="0"/>
    <s v="Østdanmark"/>
    <n v="110817068.59908372"/>
    <n v="0"/>
    <n v="0"/>
    <m/>
    <m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m/>
    <m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m/>
    <m/>
    <n v="93457.017927737121"/>
    <n v="0"/>
    <n v="0"/>
    <n v="239302.90504806853"/>
    <n v="239302.90504806853"/>
    <n v="0"/>
    <n v="0.51545845747353958"/>
    <n v="0"/>
    <n v="0"/>
    <n v="0"/>
    <n v="71790.871514420549"/>
    <n v="0"/>
    <n v="0"/>
    <n v="0"/>
    <n v="0"/>
    <x v="0"/>
  </r>
  <r>
    <x v="7"/>
    <m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m/>
    <m/>
    <n v="337.693821952441"/>
    <n v="0"/>
    <n v="0"/>
    <n v="337.693821952441"/>
    <n v="337.693821952441"/>
    <n v="0"/>
    <n v="1.5881402752601349E-4"/>
    <n v="0"/>
    <n v="0"/>
    <n v="0"/>
    <n v="21.274710783003783"/>
    <n v="0"/>
    <n v="0"/>
    <n v="0"/>
    <n v="0"/>
    <x v="0"/>
  </r>
  <r>
    <x v="9"/>
    <m/>
    <n v="0"/>
    <n v="1"/>
    <x v="0"/>
    <s v="Østdanmark"/>
    <n v="15969.006082579654"/>
    <n v="0"/>
    <n v="0"/>
    <m/>
    <m/>
    <n v="0"/>
    <n v="0"/>
    <n v="0"/>
    <n v="15969.006082579654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m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m/>
    <n v="0"/>
    <n v="0"/>
    <n v="0"/>
    <n v="15780.226177538038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1"/>
    <x v="1"/>
  </r>
  <r>
    <x v="13"/>
    <s v="Græs og urter"/>
    <n v="1"/>
    <n v="0"/>
    <x v="0"/>
    <s v="Østdanmark"/>
    <n v="2148848.2010935447"/>
    <n v="1502068.0760117143"/>
    <n v="0"/>
    <m/>
    <m/>
    <n v="0"/>
    <n v="0"/>
    <n v="0"/>
    <n v="646780.12508183043"/>
    <n v="646780.12508183043"/>
    <n v="0"/>
    <n v="1.1899945826349327"/>
    <n v="0"/>
    <n v="0"/>
    <n v="0"/>
    <n v="181098.43502291254"/>
    <n v="0"/>
    <n v="0"/>
    <n v="0"/>
    <n v="0"/>
    <x v="0"/>
  </r>
  <r>
    <x v="14"/>
    <m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m/>
    <m/>
    <n v="0"/>
    <n v="0"/>
    <n v="0"/>
    <n v="95299.4690438640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m/>
    <n v="0"/>
    <n v="732655.58820898295"/>
    <n v="0"/>
    <n v="22739.095393183758"/>
    <n v="22739.095393183758"/>
    <n v="732655.58820898295"/>
    <n v="0.23502688631104973"/>
    <n v="7.5725862730126234"/>
    <n v="0"/>
    <n v="7.5725862730126234"/>
    <n v="19328.231084206192"/>
    <n v="622757.24997763545"/>
    <n v="0"/>
    <n v="622757.24997763545"/>
    <n v="0"/>
    <x v="0"/>
  </r>
  <r>
    <x v="17"/>
    <s v="Bionedbrydeligt affald"/>
    <n v="1"/>
    <n v="0"/>
    <x v="0"/>
    <s v="Østdanmark"/>
    <n v="452346.51233766804"/>
    <n v="0"/>
    <n v="0"/>
    <m/>
    <m/>
    <n v="0"/>
    <n v="452310.61214957217"/>
    <n v="0"/>
    <n v="35.900188095867634"/>
    <n v="35.900188095867634"/>
    <n v="452310.61214957217"/>
    <n v="6.4089807462109803E-4"/>
    <n v="8.0747487919351268"/>
    <n v="0"/>
    <n v="8.0747487919351268"/>
    <n v="10.77005642876029"/>
    <n v="135693.18364487163"/>
    <n v="0"/>
    <n v="135693.18364487163"/>
    <n v="0"/>
    <x v="0"/>
  </r>
  <r>
    <x v="18"/>
    <m/>
    <n v="0"/>
    <n v="1"/>
    <x v="0"/>
    <s v="Østdanmark"/>
    <n v="0"/>
    <n v="592646.72642582108"/>
    <n v="0"/>
    <m/>
    <m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m/>
    <m/>
    <n v="0"/>
    <n v="0"/>
    <n v="0"/>
    <n v="200279.74928693369"/>
    <n v="0"/>
    <n v="0"/>
    <n v="0"/>
    <n v="0"/>
    <n v="0"/>
    <n v="0"/>
    <n v="0"/>
    <n v="0"/>
    <n v="0"/>
    <n v="0"/>
    <n v="1"/>
    <x v="1"/>
  </r>
  <r>
    <x v="20"/>
    <m/>
    <n v="0"/>
    <n v="0"/>
    <x v="0"/>
    <s v="Østdanmark"/>
    <n v="145627.35347864506"/>
    <n v="0"/>
    <n v="0"/>
    <m/>
    <m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m/>
    <n v="0"/>
    <n v="0"/>
    <n v="0"/>
    <n v="116539.7942441090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m/>
    <n v="0"/>
    <n v="0"/>
    <n v="0"/>
    <n v="1547028.977300738"/>
    <n v="1547028.977300738"/>
    <n v="0"/>
    <n v="5.2983576631982068"/>
    <n v="0"/>
    <n v="0"/>
    <n v="0"/>
    <n v="479578.98296322877"/>
    <n v="0"/>
    <n v="0"/>
    <n v="0"/>
    <n v="0"/>
    <x v="0"/>
  </r>
  <r>
    <x v="23"/>
    <m/>
    <n v="0"/>
    <n v="0"/>
    <x v="0"/>
    <s v="Østdanmark"/>
    <n v="0"/>
    <n v="0"/>
    <n v="0"/>
    <m/>
    <m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m/>
    <m/>
    <n v="638439.1593791761"/>
    <n v="0"/>
    <n v="0"/>
    <n v="286645.05985025829"/>
    <n v="286645.05985025829"/>
    <n v="0"/>
    <n v="0.14509686284560225"/>
    <n v="0"/>
    <n v="0"/>
    <n v="0"/>
    <n v="21785.024548619629"/>
    <n v="0"/>
    <n v="0"/>
    <n v="0"/>
    <n v="0"/>
    <x v="0"/>
  </r>
  <r>
    <x v="25"/>
    <m/>
    <n v="0"/>
    <n v="0"/>
    <x v="0"/>
    <s v="Østdanmark"/>
    <n v="115489.08079619991"/>
    <n v="186040.49371289223"/>
    <n v="0"/>
    <m/>
    <m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m/>
    <n v="0"/>
    <n v="0"/>
    <n v="0"/>
    <n v="-329107.52754100139"/>
    <n v="0"/>
    <n v="0"/>
    <n v="0"/>
    <n v="0"/>
    <n v="0"/>
    <n v="0"/>
    <n v="0"/>
    <n v="0"/>
    <n v="0"/>
    <n v="0"/>
    <n v="0"/>
    <x v="0"/>
  </r>
  <r>
    <x v="27"/>
    <m/>
    <n v="0"/>
    <n v="1"/>
    <x v="0"/>
    <s v="Østdanmark"/>
    <n v="222833.98833453824"/>
    <n v="0"/>
    <n v="0"/>
    <m/>
    <m/>
    <n v="0"/>
    <n v="0"/>
    <n v="0"/>
    <n v="222833.98833453824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m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m/>
    <m/>
    <n v="0"/>
    <n v="0"/>
    <n v="0"/>
    <n v="7577.0634215631153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m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m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m/>
    <m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m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m/>
    <m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m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m/>
    <m/>
    <n v="0"/>
    <n v="0"/>
    <n v="0"/>
    <n v="2130070.5886269384"/>
    <n v="1662278.5794471605"/>
    <n v="0"/>
    <n v="4.5114905557627711"/>
    <n v="0"/>
    <n v="0"/>
    <n v="0"/>
    <n v="332455.71588943212"/>
    <n v="0"/>
    <n v="0"/>
    <n v="0"/>
    <n v="0"/>
    <x v="0"/>
  </r>
  <r>
    <x v="39"/>
    <m/>
    <n v="0"/>
    <n v="0"/>
    <x v="0"/>
    <s v="Østdanmark"/>
    <n v="23179.475218292017"/>
    <n v="0"/>
    <n v="0"/>
    <m/>
    <m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m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m/>
    <n v="0"/>
    <n v="0"/>
    <n v="0"/>
    <n v="3186961.3614372411"/>
    <n v="3186961.3614372411"/>
    <n v="0"/>
    <n v="1.5903255889707979"/>
    <n v="0"/>
    <n v="0"/>
    <n v="0"/>
    <n v="191217.68168623446"/>
    <n v="0"/>
    <n v="0"/>
    <n v="0"/>
    <n v="0"/>
    <x v="0"/>
  </r>
  <r>
    <x v="42"/>
    <s v="Husdyrgødning"/>
    <n v="1"/>
    <n v="0"/>
    <x v="0"/>
    <s v="Østdanmark"/>
    <n v="2304461.4931079326"/>
    <n v="0"/>
    <n v="0"/>
    <m/>
    <m/>
    <n v="1924034.2327518209"/>
    <n v="0"/>
    <n v="0"/>
    <n v="380427.26035611168"/>
    <n v="380427.26035611168"/>
    <n v="0"/>
    <n v="0.16388806376141293"/>
    <n v="0"/>
    <n v="0"/>
    <n v="0"/>
    <n v="19021.363017805586"/>
    <n v="0"/>
    <n v="0"/>
    <n v="0"/>
    <n v="0"/>
    <x v="0"/>
  </r>
  <r>
    <x v="43"/>
    <m/>
    <n v="0"/>
    <n v="1"/>
    <x v="0"/>
    <s v="Østdanmark"/>
    <n v="206750.71206041813"/>
    <n v="0"/>
    <n v="0"/>
    <m/>
    <m/>
    <n v="0"/>
    <n v="0"/>
    <n v="0"/>
    <n v="206750.71206041813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m/>
    <m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m/>
    <m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1522.620478108267"/>
    <n v="0"/>
    <n v="0"/>
    <m/>
    <m/>
    <n v="0"/>
    <n v="0"/>
    <n v="0"/>
    <n v="11522.620478108267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51127.91698478759"/>
    <n v="5130.0675922754817"/>
    <n v="0"/>
    <m/>
    <m/>
    <n v="0"/>
    <n v="0"/>
    <n v="0"/>
    <n v="145997.8493925121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m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46024614.763335347"/>
    <n v="0"/>
    <n v="0"/>
    <m/>
    <m/>
    <n v="0"/>
    <n v="46024614.763335347"/>
    <n v="0"/>
    <n v="0"/>
    <n v="0"/>
    <n v="46024614.763335347"/>
    <n v="0"/>
    <n v="0"/>
    <n v="0"/>
    <n v="0"/>
    <n v="0"/>
    <n v="0"/>
    <n v="0"/>
    <n v="0"/>
    <n v="0"/>
    <x v="1"/>
  </r>
  <r>
    <x v="4"/>
    <s v=""/>
    <n v="0"/>
    <n v="0"/>
    <x v="1"/>
    <s v="Østdanmark"/>
    <n v="2336197.3879103642"/>
    <n v="0"/>
    <n v="0"/>
    <m/>
    <m/>
    <n v="1833172.5263920096"/>
    <n v="0"/>
    <n v="0"/>
    <n v="503024.86151835462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1872632.3158058459"/>
    <n v="0"/>
    <n v="0"/>
    <m/>
    <m/>
    <n v="0"/>
    <n v="0"/>
    <n v="0"/>
    <n v="1872632.3158058459"/>
    <n v="1872632.3158058459"/>
    <n v="0"/>
    <n v="1.0637039878967427"/>
    <n v="1.0637039878967427"/>
    <n v="0"/>
    <n v="1.0637039878967427"/>
    <n v="80080.101475325049"/>
    <n v="80080.101475325049"/>
    <n v="0"/>
    <n v="80080.101475325049"/>
    <n v="0"/>
    <x v="0"/>
  </r>
  <r>
    <x v="6"/>
    <s v="Husdyrgødning"/>
    <n v="1"/>
    <n v="0"/>
    <x v="1"/>
    <s v="Østdanmark"/>
    <n v="348347.71555677708"/>
    <n v="0"/>
    <n v="0"/>
    <m/>
    <m/>
    <n v="32968.623079480683"/>
    <n v="0"/>
    <n v="0"/>
    <n v="315379.09247729642"/>
    <n v="315379.09247729642"/>
    <n v="0"/>
    <n v="0.67932656519609647"/>
    <n v="0.67932656519609647"/>
    <n v="0"/>
    <n v="0.67932656519609647"/>
    <n v="94613.727743188923"/>
    <n v="94613.727743188923"/>
    <n v="0"/>
    <n v="94613.727743188923"/>
    <n v="0"/>
    <x v="0"/>
  </r>
  <r>
    <x v="7"/>
    <s v=""/>
    <n v="0"/>
    <n v="0"/>
    <x v="1"/>
    <s v="Østdanmark"/>
    <n v="1318966.377240648"/>
    <n v="0"/>
    <n v="0"/>
    <m/>
    <m/>
    <n v="0"/>
    <n v="0"/>
    <n v="0"/>
    <n v="1318966.377240648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78.5291555114477"/>
    <n v="0"/>
    <n v="0"/>
    <m/>
    <m/>
    <n v="169.63228887786195"/>
    <n v="0"/>
    <n v="0"/>
    <n v="508.89686663358577"/>
    <n v="508.89686663358577"/>
    <n v="0"/>
    <n v="2.3932910740910907E-4"/>
    <n v="2.3932910740910907E-4"/>
    <n v="0"/>
    <n v="2.3932910740910907E-4"/>
    <n v="32.060502597915907"/>
    <n v="32.060502597915907"/>
    <n v="0"/>
    <n v="32.060502597915907"/>
    <n v="0"/>
    <x v="0"/>
  </r>
  <r>
    <x v="9"/>
    <s v=""/>
    <n v="0"/>
    <n v="1"/>
    <x v="1"/>
    <s v="Østdanmark"/>
    <n v="8276.4182574830029"/>
    <n v="0"/>
    <n v="0"/>
    <m/>
    <m/>
    <n v="0"/>
    <n v="0"/>
    <n v="0"/>
    <n v="8276.418257483002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19235.46948095749"/>
    <n v="0"/>
    <n v="0"/>
    <m/>
    <m/>
    <n v="0"/>
    <n v="0"/>
    <n v="0"/>
    <n v="219235.46948095749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36756.20304356876"/>
    <n v="0"/>
    <n v="0"/>
    <m/>
    <m/>
    <n v="0"/>
    <n v="0"/>
    <n v="0"/>
    <n v="136756.20304356876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Østdanmark"/>
    <n v="6205031.1249834606"/>
    <n v="973359.07469549077"/>
    <n v="0"/>
    <m/>
    <m/>
    <n v="0"/>
    <n v="0"/>
    <n v="3832239.5048490944"/>
    <n v="1399432.5454388754"/>
    <n v="0"/>
    <n v="0"/>
    <n v="0"/>
    <n v="0"/>
    <n v="0"/>
    <n v="0"/>
    <n v="0"/>
    <n v="0"/>
    <n v="0"/>
    <n v="0"/>
    <n v="1"/>
    <x v="1"/>
  </r>
  <r>
    <x v="14"/>
    <s v=""/>
    <n v="0"/>
    <n v="0"/>
    <x v="1"/>
    <s v="Østdanmark"/>
    <n v="640640.81180260039"/>
    <n v="640640.81180260039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89283.287705397597"/>
    <n v="0"/>
    <n v="0"/>
    <m/>
    <m/>
    <n v="0"/>
    <n v="0"/>
    <n v="0"/>
    <n v="89283.28770539759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21799.3098622479"/>
    <n v="61489.560168524171"/>
    <n v="68051.447846356168"/>
    <m/>
    <m/>
    <n v="0"/>
    <n v="492258.30184736766"/>
    <n v="0"/>
    <n v="0"/>
    <n v="0"/>
    <n v="492258.30184736766"/>
    <n v="0"/>
    <n v="5.087886476725541"/>
    <n v="0"/>
    <n v="5.087886476725541"/>
    <n v="0"/>
    <n v="418419.55657026253"/>
    <n v="0"/>
    <n v="418419.55657026253"/>
    <n v="0"/>
    <x v="1"/>
  </r>
  <r>
    <x v="17"/>
    <s v="Bionedbrydeligt affald"/>
    <n v="1"/>
    <n v="0"/>
    <x v="1"/>
    <s v="Østdanmark"/>
    <n v="456074.89013160887"/>
    <n v="0"/>
    <n v="0"/>
    <m/>
    <m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n v="1"/>
    <x v="1"/>
    <s v="Østdanmark"/>
    <n v="0"/>
    <n v="247769.39356957746"/>
    <n v="0"/>
    <m/>
    <m/>
    <n v="0"/>
    <n v="0"/>
    <n v="0"/>
    <n v="-247769.39356957746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89662.94061352842"/>
    <n v="0"/>
    <n v="0"/>
    <m/>
    <m/>
    <n v="0"/>
    <n v="0"/>
    <n v="0"/>
    <n v="189662.94061352842"/>
    <n v="189662.94061352842"/>
    <n v="0"/>
    <n v="0.82183417786069846"/>
    <n v="0.82183417786069846"/>
    <n v="0"/>
    <n v="0.82183417786069846"/>
    <n v="79658.435057681942"/>
    <n v="79658.435057681942"/>
    <n v="0"/>
    <n v="79658.435057681942"/>
    <n v="0"/>
    <x v="0"/>
  </r>
  <r>
    <x v="20"/>
    <s v=""/>
    <n v="0"/>
    <n v="0"/>
    <x v="1"/>
    <s v="Østdanmark"/>
    <n v="187014.68622961262"/>
    <n v="0"/>
    <n v="0"/>
    <m/>
    <m/>
    <n v="0"/>
    <n v="0"/>
    <n v="0"/>
    <n v="187014.68622961262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689757.40845134575"/>
    <n v="0"/>
    <n v="0"/>
    <m/>
    <m/>
    <n v="0"/>
    <n v="0"/>
    <n v="0"/>
    <n v="689757.4084513457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320594.9697580421"/>
    <n v="343178.29580461275"/>
    <n v="0"/>
    <m/>
    <m/>
    <n v="0"/>
    <n v="0"/>
    <n v="0"/>
    <n v="977416.67395342933"/>
    <n v="977416.67395342933"/>
    <n v="0"/>
    <n v="3.3475152699561428"/>
    <n v="3.3475152699561428"/>
    <n v="0"/>
    <n v="3.3475152699561428"/>
    <n v="302999.16892556311"/>
    <n v="302999.16892556311"/>
    <n v="0"/>
    <n v="302999.16892556311"/>
    <n v="0"/>
    <x v="0"/>
  </r>
  <r>
    <x v="23"/>
    <s v=""/>
    <n v="0"/>
    <n v="0"/>
    <x v="1"/>
    <s v="Østdanmark"/>
    <n v="0"/>
    <n v="0"/>
    <n v="0"/>
    <m/>
    <m/>
    <n v="378703.95707755227"/>
    <n v="0"/>
    <n v="0"/>
    <n v="-378703.9570775522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369812.22772399604"/>
    <n v="0"/>
    <n v="0"/>
    <m/>
    <m/>
    <n v="92453.05693099901"/>
    <n v="0"/>
    <n v="0"/>
    <n v="277359.170792997"/>
    <n v="277359.170792997"/>
    <n v="0"/>
    <n v="0.14039643866370716"/>
    <n v="0.14039643866370716"/>
    <n v="0"/>
    <n v="0.14039643866370716"/>
    <n v="21079.296980267773"/>
    <n v="21079.296980267773"/>
    <n v="0"/>
    <n v="21079.296980267773"/>
    <n v="0"/>
    <x v="0"/>
  </r>
  <r>
    <x v="25"/>
    <s v=""/>
    <n v="0"/>
    <n v="0"/>
    <x v="1"/>
    <s v="Østdanmark"/>
    <n v="43261.516357794091"/>
    <n v="77778.444140950844"/>
    <n v="0"/>
    <m/>
    <m/>
    <n v="0"/>
    <n v="0"/>
    <n v="0"/>
    <n v="-34516.927783156752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Østdanmark"/>
    <n v="1159957.6294650177"/>
    <n v="449536.54854955332"/>
    <n v="0"/>
    <m/>
    <m/>
    <n v="0"/>
    <n v="0"/>
    <n v="0"/>
    <n v="710421.08091546432"/>
    <n v="710421.08091546432"/>
    <n v="0"/>
    <n v="2.5504116804865173"/>
    <n v="2.5504116804865173"/>
    <n v="0"/>
    <n v="2.5504116804865173"/>
    <n v="213126.32427463928"/>
    <n v="213126.32427463928"/>
    <n v="0"/>
    <n v="213126.32427463928"/>
    <n v="0"/>
    <x v="0"/>
  </r>
  <r>
    <x v="27"/>
    <s v=""/>
    <n v="0"/>
    <n v="1"/>
    <x v="1"/>
    <s v="Østdanmark"/>
    <n v="83472.274304605322"/>
    <n v="0"/>
    <n v="0"/>
    <m/>
    <m/>
    <n v="0"/>
    <n v="0"/>
    <n v="0"/>
    <n v="83472.274304605322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4776.5896909844023"/>
    <n v="0"/>
    <n v="0"/>
    <m/>
    <m/>
    <n v="0"/>
    <n v="0"/>
    <n v="0"/>
    <n v="4776.5896909844023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283776.5909190129"/>
    <n v="0"/>
    <n v="0"/>
    <m/>
    <m/>
    <n v="0"/>
    <n v="0"/>
    <n v="0"/>
    <n v="283776.5909190129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248146.38123349831"/>
    <n v="0"/>
    <n v="0"/>
    <m/>
    <m/>
    <n v="0"/>
    <n v="248146.38123349831"/>
    <n v="0"/>
    <n v="0"/>
    <n v="0"/>
    <n v="248146.38123349831"/>
    <n v="0"/>
    <n v="4.5658934146963679"/>
    <n v="0"/>
    <n v="4.5658934146963679"/>
    <n v="0"/>
    <n v="102980.74821190181"/>
    <n v="0"/>
    <n v="102980.74821190181"/>
    <n v="0"/>
    <x v="1"/>
  </r>
  <r>
    <x v="32"/>
    <s v="Pyrolyseprodukter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129983.37503835837"/>
    <n v="0"/>
    <n v="0"/>
    <m/>
    <m/>
    <n v="0"/>
    <n v="0"/>
    <n v="0"/>
    <n v="129983.37503835837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4963.98280254862"/>
    <n v="0"/>
    <n v="0"/>
    <m/>
    <m/>
    <n v="0"/>
    <n v="0"/>
    <n v="204963.9828025486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02481.99140127431"/>
    <n v="17028.97436880333"/>
    <n v="0"/>
    <m/>
    <m/>
    <n v="0"/>
    <n v="0"/>
    <n v="0"/>
    <n v="85453.017032470976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5588.474496815557"/>
    <n v="0"/>
    <n v="0"/>
    <m/>
    <m/>
    <n v="0"/>
    <n v="65588.474496815557"/>
    <n v="0"/>
    <n v="0"/>
    <n v="0"/>
    <n v="65588.474496815557"/>
    <n v="0"/>
    <n v="2.2955966073885441"/>
    <n v="0"/>
    <n v="2.2955966073885441"/>
    <n v="0"/>
    <n v="0"/>
    <n v="0"/>
    <n v="0"/>
    <n v="0"/>
    <x v="1"/>
  </r>
  <r>
    <x v="38"/>
    <s v="Græs og urter"/>
    <n v="1"/>
    <n v="1"/>
    <x v="1"/>
    <s v="Østdanmark"/>
    <n v="818285.05408099853"/>
    <n v="656055.52752620552"/>
    <n v="0"/>
    <m/>
    <m/>
    <n v="0"/>
    <n v="0"/>
    <n v="0"/>
    <n v="162229.526554793"/>
    <n v="0"/>
    <n v="0"/>
    <n v="0"/>
    <n v="0"/>
    <n v="0"/>
    <n v="0"/>
    <n v="0"/>
    <n v="0"/>
    <n v="0"/>
    <n v="0"/>
    <n v="1"/>
    <x v="1"/>
  </r>
  <r>
    <x v="39"/>
    <s v=""/>
    <n v="0"/>
    <n v="0"/>
    <x v="1"/>
    <s v="Østdanmark"/>
    <n v="12481.530032817438"/>
    <n v="0"/>
    <n v="0"/>
    <m/>
    <m/>
    <n v="0"/>
    <n v="0"/>
    <n v="0"/>
    <n v="12481.530032817438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770.0912219432048"/>
    <n v="3515.9993902993874"/>
    <n v="0"/>
    <m/>
    <m/>
    <n v="0"/>
    <n v="0"/>
    <n v="0"/>
    <n v="6254.0918316438174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38649.6476717573"/>
    <n v="0"/>
    <n v="0"/>
    <m/>
    <m/>
    <n v="0"/>
    <n v="0"/>
    <n v="0"/>
    <n v="3338649.6476717573"/>
    <n v="3338649.6476717573"/>
    <n v="0"/>
    <n v="1.6660195606846839"/>
    <n v="1.6660195606846839"/>
    <n v="0"/>
    <n v="1.6660195606846839"/>
    <n v="200318.97886030542"/>
    <n v="200318.97886030542"/>
    <n v="0"/>
    <n v="200318.97886030542"/>
    <n v="0"/>
    <x v="0"/>
  </r>
  <r>
    <x v="42"/>
    <s v="Husdyrgødning"/>
    <n v="1"/>
    <n v="0"/>
    <x v="1"/>
    <s v="Østdanmark"/>
    <n v="981294.25906442513"/>
    <n v="0"/>
    <n v="0"/>
    <m/>
    <m/>
    <n v="245323.56476610628"/>
    <n v="0"/>
    <n v="0"/>
    <n v="735970.69429831882"/>
    <n v="735970.69429831882"/>
    <n v="0"/>
    <n v="0.31705617510371581"/>
    <n v="0.31705617510371581"/>
    <n v="0"/>
    <n v="0.31705617510371581"/>
    <n v="36798.534714915942"/>
    <n v="36798.534714915942"/>
    <n v="0"/>
    <n v="36798.534714915942"/>
    <n v="0"/>
    <x v="0"/>
  </r>
  <r>
    <x v="43"/>
    <s v=""/>
    <n v="0"/>
    <n v="1"/>
    <x v="1"/>
    <s v="Østdanmark"/>
    <n v="106121.19758440506"/>
    <n v="0"/>
    <n v="0"/>
    <m/>
    <m/>
    <n v="0"/>
    <n v="0"/>
    <n v="0"/>
    <n v="106121.1975844050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7094.30995983595"/>
    <n v="0"/>
    <n v="0"/>
    <m/>
    <m/>
    <n v="0"/>
    <n v="647094.30995983595"/>
    <n v="0"/>
    <n v="0"/>
    <n v="0"/>
    <n v="647094.30995983595"/>
    <n v="0"/>
    <n v="9.3787059667025439"/>
    <n v="0"/>
    <n v="9.3787059667025439"/>
    <n v="0"/>
    <n v="320042.06080096884"/>
    <n v="0"/>
    <n v="320042.06080096884"/>
    <n v="0"/>
    <x v="1"/>
  </r>
  <r>
    <x v="47"/>
    <s v=""/>
    <n v="0"/>
    <n v="0"/>
    <x v="1"/>
    <s v="Østdanmark"/>
    <n v="178637.08828513199"/>
    <n v="0"/>
    <n v="0"/>
    <m/>
    <m/>
    <n v="0"/>
    <n v="0"/>
    <n v="178637.08828513199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3268.9483710154163"/>
    <n v="0"/>
    <n v="0"/>
    <m/>
    <m/>
    <n v="0"/>
    <n v="0"/>
    <n v="0"/>
    <n v="3268.9483710154163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69129.08878493914"/>
    <n v="724.66280069904622"/>
    <n v="0"/>
    <m/>
    <m/>
    <n v="0"/>
    <n v="0"/>
    <n v="0"/>
    <n v="268404.42598424008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m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22893348.20380079"/>
    <n v="0"/>
    <n v="0"/>
    <m/>
    <m/>
    <n v="0"/>
    <n v="22893348.20380079"/>
    <n v="0"/>
    <n v="0"/>
    <n v="0"/>
    <n v="22893348.20380079"/>
    <n v="0"/>
    <n v="0"/>
    <n v="0"/>
    <n v="0"/>
    <n v="0"/>
    <n v="0"/>
    <n v="0"/>
    <n v="0"/>
    <n v="0"/>
    <x v="1"/>
  </r>
  <r>
    <x v="4"/>
    <s v=""/>
    <n v="0"/>
    <n v="0"/>
    <x v="2"/>
    <s v="Østdanmark"/>
    <n v="1289522.3825958653"/>
    <n v="0"/>
    <n v="0"/>
    <m/>
    <m/>
    <n v="31751.943156603487"/>
    <n v="0"/>
    <n v="0"/>
    <n v="1257770.439439261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745477.26501226774"/>
    <n v="0"/>
    <n v="0"/>
    <m/>
    <m/>
    <n v="0"/>
    <n v="0"/>
    <n v="0"/>
    <n v="745477.26501226774"/>
    <n v="745477.26501226774"/>
    <n v="0"/>
    <n v="0.42345052629227442"/>
    <n v="0.42345052629227442"/>
    <n v="0"/>
    <n v="0.42345052629227442"/>
    <n v="31879.133199749631"/>
    <n v="31879.133199749631"/>
    <n v="0"/>
    <n v="31879.133199749631"/>
    <n v="0"/>
    <x v="0"/>
  </r>
  <r>
    <x v="6"/>
    <s v="Husdyrgødning"/>
    <n v="1"/>
    <n v="0"/>
    <x v="2"/>
    <s v="Østdanmark"/>
    <n v="81826.264655313833"/>
    <n v="0"/>
    <n v="0"/>
    <m/>
    <m/>
    <n v="3097.7085905225945"/>
    <n v="0"/>
    <n v="0"/>
    <n v="78728.556064791235"/>
    <n v="78728.556064791235"/>
    <n v="0"/>
    <n v="0.16958130976356031"/>
    <n v="0.16958130976356031"/>
    <n v="0"/>
    <n v="0.16958130976356031"/>
    <n v="23618.566819437368"/>
    <n v="23618.566819437368"/>
    <n v="0"/>
    <n v="23618.566819437368"/>
    <n v="0"/>
    <x v="0"/>
  </r>
  <r>
    <x v="7"/>
    <s v=""/>
    <n v="0"/>
    <n v="0"/>
    <x v="2"/>
    <s v="Østdanmark"/>
    <n v="525068.07623117056"/>
    <n v="0"/>
    <n v="0"/>
    <m/>
    <m/>
    <n v="0"/>
    <n v="0"/>
    <n v="0"/>
    <n v="525068.07623117056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m/>
    <m/>
    <n v="47.155151143904114"/>
    <n v="0"/>
    <n v="0"/>
    <n v="424.39636029513713"/>
    <n v="424.39636029513713"/>
    <n v="0"/>
    <n v="1.9958936428320006E-4"/>
    <n v="1.9958936428320006E-4"/>
    <n v="0"/>
    <n v="1.9958936428320006E-4"/>
    <n v="26.736970698593641"/>
    <n v="26.736970698593641"/>
    <n v="0"/>
    <n v="26.736970698593641"/>
    <n v="0"/>
    <x v="0"/>
  </r>
  <r>
    <x v="9"/>
    <s v=""/>
    <n v="0"/>
    <n v="1"/>
    <x v="2"/>
    <s v="Østdanmark"/>
    <n v="503.71416194271836"/>
    <n v="0"/>
    <n v="0"/>
    <m/>
    <m/>
    <n v="0"/>
    <n v="0"/>
    <n v="0"/>
    <n v="503.71416194271836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25270.403131175186"/>
    <n v="0"/>
    <n v="0"/>
    <m/>
    <m/>
    <n v="0"/>
    <n v="0"/>
    <n v="0"/>
    <n v="25270.403131175186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311625.91983903368"/>
    <n v="0"/>
    <n v="0"/>
    <m/>
    <m/>
    <n v="0"/>
    <n v="0"/>
    <n v="0"/>
    <n v="311625.91983903368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Østdanmark"/>
    <n v="11411284.658335894"/>
    <n v="137494.70167152316"/>
    <n v="0"/>
    <m/>
    <m/>
    <n v="0"/>
    <n v="0"/>
    <n v="1525578.4068414355"/>
    <n v="9748211.5498229358"/>
    <n v="9748211.5498229358"/>
    <n v="0"/>
    <n v="17.935490725230476"/>
    <n v="17.935490725230476"/>
    <n v="0"/>
    <n v="17.935490725230476"/>
    <n v="2729499.2339504221"/>
    <n v="2729499.2339504221"/>
    <n v="0"/>
    <n v="2729499.2339504221"/>
    <n v="0"/>
    <x v="0"/>
  </r>
  <r>
    <x v="14"/>
    <s v=""/>
    <n v="0"/>
    <n v="0"/>
    <x v="2"/>
    <s v="Østdanmark"/>
    <n v="255033.06559799708"/>
    <n v="255033.06559799711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21386.43640273569"/>
    <n v="0"/>
    <n v="0"/>
    <m/>
    <m/>
    <n v="0"/>
    <n v="0"/>
    <n v="0"/>
    <n v="121386.43640273569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284106.47368035599"/>
    <n v="8685.8888472677336"/>
    <n v="9665.8931514547894"/>
    <m/>
    <m/>
    <n v="0"/>
    <n v="265754.69168163347"/>
    <n v="0"/>
    <n v="0"/>
    <n v="0"/>
    <n v="265754.69168163347"/>
    <n v="0"/>
    <n v="2.746789026937726"/>
    <n v="0"/>
    <n v="2.746789026937726"/>
    <n v="0"/>
    <n v="225891.48792938844"/>
    <n v="0"/>
    <n v="225891.48792938844"/>
    <n v="0"/>
    <x v="1"/>
  </r>
  <r>
    <x v="17"/>
    <s v="Bionedbrydeligt affald"/>
    <n v="1"/>
    <n v="0"/>
    <x v="2"/>
    <s v="Østdanmark"/>
    <n v="457927.02496060182"/>
    <n v="0"/>
    <n v="0"/>
    <m/>
    <m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68748.58777288889"/>
    <n v="0"/>
    <n v="0"/>
    <m/>
    <m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  <n v="0"/>
    <x v="0"/>
  </r>
  <r>
    <x v="20"/>
    <s v=""/>
    <n v="0"/>
    <n v="0"/>
    <x v="2"/>
    <s v="Østdanmark"/>
    <n v="155582.5126734412"/>
    <n v="0"/>
    <n v="0"/>
    <m/>
    <m/>
    <n v="0"/>
    <n v="0"/>
    <n v="0"/>
    <n v="155582.5126734412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940152.02486146183"/>
    <n v="0"/>
    <n v="0"/>
    <m/>
    <m/>
    <n v="0"/>
    <n v="0"/>
    <n v="0"/>
    <n v="940152.0248614618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75478.49244816136"/>
    <n v="16515.993687659306"/>
    <n v="0"/>
    <m/>
    <m/>
    <n v="0"/>
    <n v="0"/>
    <n v="0"/>
    <n v="158962.49876050206"/>
    <n v="158962.49876050206"/>
    <n v="0"/>
    <n v="0.54442430350489313"/>
    <n v="0.54442430350489313"/>
    <n v="0"/>
    <n v="0.54442430350489313"/>
    <n v="49278.374615755638"/>
    <n v="49278.374615755638"/>
    <n v="0"/>
    <n v="49278.374615755638"/>
    <n v="0"/>
    <x v="0"/>
  </r>
  <r>
    <x v="23"/>
    <s v=""/>
    <n v="0"/>
    <n v="0"/>
    <x v="2"/>
    <s v="Østdanmark"/>
    <n v="0"/>
    <n v="0"/>
    <n v="0"/>
    <m/>
    <m/>
    <n v="390323.36216618225"/>
    <n v="0"/>
    <n v="0"/>
    <n v="-390323.36216618225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4885.9701831397151"/>
    <n v="0"/>
    <n v="0"/>
    <m/>
    <m/>
    <n v="488.59701831397138"/>
    <n v="0"/>
    <n v="0"/>
    <n v="4397.3731648257435"/>
    <n v="4397.3731648257435"/>
    <n v="0"/>
    <n v="2.2259063223031435E-3"/>
    <n v="2.2259063223031435E-3"/>
    <n v="0"/>
    <n v="2.2259063223031435E-3"/>
    <n v="334.20036052675653"/>
    <n v="334.20036052675653"/>
    <n v="0"/>
    <n v="334.20036052675653"/>
    <n v="0"/>
    <x v="0"/>
  </r>
  <r>
    <x v="25"/>
    <s v=""/>
    <n v="0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Østdanmark"/>
    <n v="165265.0873457386"/>
    <n v="63394.503378227986"/>
    <n v="0"/>
    <m/>
    <m/>
    <n v="0"/>
    <n v="0"/>
    <n v="0"/>
    <n v="101870.58396751061"/>
    <n v="43926.582985718967"/>
    <n v="0"/>
    <n v="0.15769643291873112"/>
    <n v="0.15769643291873112"/>
    <n v="0"/>
    <n v="0.15769643291873112"/>
    <n v="13177.97489571569"/>
    <n v="13177.97489571569"/>
    <n v="0"/>
    <n v="13177.97489571569"/>
    <n v="0"/>
    <x v="0"/>
  </r>
  <r>
    <x v="27"/>
    <s v=""/>
    <n v="0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28"/>
    <s v="Havbiomasse"/>
    <n v="1"/>
    <n v="1"/>
    <x v="2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278.2619831544028"/>
    <n v="0"/>
    <n v="0"/>
    <m/>
    <m/>
    <n v="0"/>
    <n v="0"/>
    <n v="0"/>
    <n v="278.2619831544028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36484.853765615815"/>
    <n v="0"/>
    <n v="0"/>
    <m/>
    <m/>
    <n v="0"/>
    <n v="0"/>
    <n v="0"/>
    <n v="36484.853765615815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529346.388560839"/>
    <n v="0"/>
    <n v="0"/>
    <m/>
    <m/>
    <n v="0"/>
    <n v="529346.388560839"/>
    <n v="0"/>
    <n v="0"/>
    <n v="0"/>
    <n v="529346.388560839"/>
    <n v="0"/>
    <n v="9.7399735495194353"/>
    <n v="0"/>
    <n v="9.7399735495194353"/>
    <n v="0"/>
    <n v="219678.75125274819"/>
    <n v="0"/>
    <n v="219678.75125274819"/>
    <n v="0"/>
    <x v="1"/>
  </r>
  <r>
    <x v="32"/>
    <s v="Pyrolyseprodukter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5"/>
    <s v=""/>
    <n v="0"/>
    <n v="0"/>
    <x v="2"/>
    <s v="Østdanmark"/>
    <n v="267239.34351515555"/>
    <n v="0"/>
    <n v="0"/>
    <m/>
    <m/>
    <n v="0"/>
    <n v="0"/>
    <n v="267239.3435151555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33619.67175757777"/>
    <n v="2405.4779078760002"/>
    <n v="0"/>
    <m/>
    <m/>
    <n v="0"/>
    <n v="0"/>
    <n v="0"/>
    <n v="131214.19384970178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85516.589924849774"/>
    <n v="0"/>
    <n v="0"/>
    <m/>
    <m/>
    <n v="0"/>
    <n v="85516.589924849774"/>
    <n v="0"/>
    <n v="0"/>
    <n v="0"/>
    <n v="85516.589924849774"/>
    <n v="0"/>
    <n v="2.9930806473697418"/>
    <n v="0"/>
    <n v="2.9930806473697418"/>
    <n v="0"/>
    <n v="0"/>
    <n v="0"/>
    <n v="0"/>
    <n v="0"/>
    <x v="1"/>
  </r>
  <r>
    <x v="38"/>
    <s v="Græs og urter"/>
    <n v="1"/>
    <n v="1"/>
    <x v="2"/>
    <s v="Østdanmark"/>
    <n v="1106184.910345105"/>
    <n v="243986.22639057698"/>
    <n v="0"/>
    <m/>
    <m/>
    <n v="0"/>
    <n v="0"/>
    <n v="0"/>
    <n v="862198.68395452807"/>
    <n v="862198.68395452807"/>
    <n v="0"/>
    <n v="2.3400417161999472"/>
    <n v="2.3400417161999472"/>
    <n v="0"/>
    <n v="2.3400417161999472"/>
    <n v="172439.73679090562"/>
    <n v="172439.73679090562"/>
    <n v="0"/>
    <n v="172439.73679090562"/>
    <n v="0"/>
    <x v="0"/>
  </r>
  <r>
    <x v="39"/>
    <s v=""/>
    <n v="0"/>
    <n v="0"/>
    <x v="2"/>
    <s v="Østdanmark"/>
    <n v="807.52489656472994"/>
    <n v="0"/>
    <n v="0"/>
    <m/>
    <m/>
    <n v="0"/>
    <n v="0"/>
    <n v="0"/>
    <n v="807.52489656472994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650.65285036970454"/>
    <n v="594.50530988460082"/>
    <n v="0"/>
    <m/>
    <m/>
    <n v="0"/>
    <n v="0"/>
    <n v="0"/>
    <n v="56.14754048510371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491788.2152479719"/>
    <n v="0"/>
    <n v="0"/>
    <m/>
    <m/>
    <n v="0"/>
    <n v="0"/>
    <n v="0"/>
    <n v="3491788.2152479719"/>
    <n v="3491788.2152479719"/>
    <n v="0"/>
    <n v="1.7424372372908907"/>
    <n v="1.7424372372908907"/>
    <n v="0"/>
    <n v="1.7424372372908907"/>
    <n v="209507.29291487832"/>
    <n v="209507.29291487832"/>
    <n v="0"/>
    <n v="209507.29291487832"/>
    <n v="0"/>
    <x v="0"/>
  </r>
  <r>
    <x v="42"/>
    <s v="Husdyrgødning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7095.888967518189"/>
    <n v="0"/>
    <n v="0"/>
    <m/>
    <m/>
    <n v="0"/>
    <n v="0"/>
    <n v="0"/>
    <n v="7095.888967518189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26992.95337647933"/>
    <n v="0"/>
    <n v="0"/>
    <m/>
    <m/>
    <n v="0"/>
    <n v="626992.95337647933"/>
    <n v="0"/>
    <n v="0"/>
    <n v="0"/>
    <n v="626992.95337647933"/>
    <n v="0"/>
    <n v="9.0873655700626106"/>
    <n v="0"/>
    <n v="9.0873655700626106"/>
    <n v="0"/>
    <n v="310100.26485745038"/>
    <n v="0"/>
    <n v="310100.26485745038"/>
    <n v="0"/>
    <x v="1"/>
  </r>
  <r>
    <x v="47"/>
    <s v=""/>
    <n v="0"/>
    <n v="0"/>
    <x v="2"/>
    <s v="Østdanmark"/>
    <n v="185714.85587464209"/>
    <n v="0"/>
    <n v="0"/>
    <m/>
    <m/>
    <n v="0"/>
    <n v="0"/>
    <n v="185714.85587464209"/>
    <n v="0"/>
    <n v="0"/>
    <n v="0"/>
    <n v="0"/>
    <n v="0"/>
    <n v="0"/>
    <n v="0"/>
    <n v="0"/>
    <n v="0"/>
    <n v="0"/>
    <n v="0"/>
    <n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3077161.251552492"/>
    <s v="CO2 - atmosfære"/>
    <x v="0"/>
  </r>
  <r>
    <s v="Vestdanmark"/>
    <x v="0"/>
    <n v="5679335.5964851258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93826.565102358349"/>
    <s v="HWP"/>
    <x v="5"/>
  </r>
  <r>
    <s v="Vestdanmark"/>
    <x v="0"/>
    <n v="0"/>
    <s v="Biogasanlæg"/>
    <x v="6"/>
  </r>
  <r>
    <s v="Vestdanmark"/>
    <x v="0"/>
    <n v="0"/>
    <s v="Pyrolyseproces"/>
    <x v="7"/>
  </r>
  <r>
    <s v="Vestdanmark"/>
    <x v="1"/>
    <n v="6861335.4250257676"/>
    <s v="CO2 - atmosfære"/>
    <x v="0"/>
  </r>
  <r>
    <s v="Vestdanmark"/>
    <x v="1"/>
    <n v="3701933.8731816267"/>
    <s v="Landbrug"/>
    <x v="1"/>
  </r>
  <r>
    <s v="Vestdanmark"/>
    <x v="1"/>
    <n v="3321043.1995560522"/>
    <s v="Landbrug"/>
    <x v="2"/>
  </r>
  <r>
    <s v="Vestdanmark"/>
    <x v="1"/>
    <n v="817585.82822234544"/>
    <s v="Landbrug"/>
    <x v="2"/>
  </r>
  <r>
    <s v="Vestdanmark"/>
    <x v="1"/>
    <n v="1624295.7186815182"/>
    <s v="Landbrug"/>
    <x v="2"/>
  </r>
  <r>
    <s v="Vestdanmark"/>
    <x v="1"/>
    <n v="-158.24317477886137"/>
    <s v="Hav"/>
    <x v="3"/>
  </r>
  <r>
    <s v="Vestdanmark"/>
    <x v="1"/>
    <n v="-2505099.6447257674"/>
    <s v="Skov"/>
    <x v="4"/>
  </r>
  <r>
    <s v="Vestdanmark"/>
    <x v="1"/>
    <n v="-98265.30671522452"/>
    <s v="HWP"/>
    <x v="5"/>
  </r>
  <r>
    <s v="Vestdanmark"/>
    <x v="1"/>
    <n v="0"/>
    <s v="Biogasanlæg"/>
    <x v="6"/>
  </r>
  <r>
    <s v="Vestdanmark"/>
    <x v="1"/>
    <n v="0"/>
    <s v="Pyrolyseproces"/>
    <x v="7"/>
  </r>
  <r>
    <s v="Vestdanmark"/>
    <x v="2"/>
    <n v="-3226903.3069872255"/>
    <s v="CO2 - atmosfære"/>
    <x v="0"/>
  </r>
  <r>
    <s v="Vestdanmark"/>
    <x v="2"/>
    <n v="403361.09981940413"/>
    <s v="Landbrug"/>
    <x v="1"/>
  </r>
  <r>
    <s v="Vestdanmark"/>
    <x v="2"/>
    <n v="1891901.5020128323"/>
    <s v="Landbrug"/>
    <x v="2"/>
  </r>
  <r>
    <s v="Vestdanmark"/>
    <x v="2"/>
    <n v="73549.300726273679"/>
    <s v="Landbrug"/>
    <x v="2"/>
  </r>
  <r>
    <s v="Vestdanmark"/>
    <x v="2"/>
    <n v="153049.78603004583"/>
    <s v="Landbrug"/>
    <x v="2"/>
  </r>
  <r>
    <s v="Vestdanmark"/>
    <x v="2"/>
    <n v="-158.24317477886137"/>
    <s v="Hav"/>
    <x v="3"/>
  </r>
  <r>
    <s v="Vestdanmark"/>
    <x v="2"/>
    <n v="-5252578.7317060567"/>
    <s v="Skov"/>
    <x v="4"/>
  </r>
  <r>
    <s v="Vestdanmark"/>
    <x v="2"/>
    <n v="-496028.02069494844"/>
    <s v="HWP"/>
    <x v="5"/>
  </r>
  <r>
    <s v="Vestdanmark"/>
    <x v="2"/>
    <n v="0"/>
    <s v="Biogasanlæg"/>
    <x v="6"/>
  </r>
  <r>
    <s v="Vestdanmark"/>
    <x v="2"/>
    <n v="0"/>
    <s v="Pyrolyseproces"/>
    <x v="7"/>
  </r>
  <r>
    <s v="Østdanmark"/>
    <x v="0"/>
    <n v="2145897.6144570694"/>
    <s v="CO2 - atmosfære"/>
    <x v="0"/>
  </r>
  <r>
    <s v="Østdanmark"/>
    <x v="0"/>
    <n v="502237.73233999556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27463.486962461298"/>
    <s v="HWP"/>
    <x v="5"/>
  </r>
  <r>
    <s v="Østdanmark"/>
    <x v="0"/>
    <n v="0"/>
    <s v="Biogasanlæg"/>
    <x v="6"/>
  </r>
  <r>
    <s v="Østdanmark"/>
    <x v="0"/>
    <n v="0"/>
    <s v="Pyrolyseproces"/>
    <x v="7"/>
  </r>
  <r>
    <s v="Østdanmark"/>
    <x v="1"/>
    <n v="1255481.0352669111"/>
    <s v="CO2 - atmosfære"/>
    <x v="0"/>
  </r>
  <r>
    <s v="Østdanmark"/>
    <x v="1"/>
    <n v="333593.25698999601"/>
    <s v="Landbrug"/>
    <x v="1"/>
  </r>
  <r>
    <s v="Østdanmark"/>
    <x v="1"/>
    <n v="1053720.359911958"/>
    <s v="Landbrug"/>
    <x v="2"/>
  </r>
  <r>
    <s v="Østdanmark"/>
    <x v="1"/>
    <n v="124173.21561020505"/>
    <s v="Landbrug"/>
    <x v="2"/>
  </r>
  <r>
    <s v="Østdanmark"/>
    <x v="1"/>
    <n v="246625.11650187289"/>
    <s v="Landbrug"/>
    <x v="2"/>
  </r>
  <r>
    <s v="Østdanmark"/>
    <x v="1"/>
    <n v="-0.19402522113858015"/>
    <s v="Hav"/>
    <x v="3"/>
  </r>
  <r>
    <s v="Østdanmark"/>
    <x v="1"/>
    <n v="-475032.78810523223"/>
    <s v="Skov"/>
    <x v="4"/>
  </r>
  <r>
    <s v="Østdanmark"/>
    <x v="1"/>
    <n v="-27597.931616667305"/>
    <s v="HWP"/>
    <x v="5"/>
  </r>
  <r>
    <s v="Østdanmark"/>
    <x v="1"/>
    <n v="0"/>
    <s v="Biogasanlæg"/>
    <x v="6"/>
  </r>
  <r>
    <s v="Østdanmark"/>
    <x v="1"/>
    <n v="0"/>
    <s v="Pyrolyseproces"/>
    <x v="7"/>
  </r>
  <r>
    <s v="Østdanmark"/>
    <x v="2"/>
    <n v="-211652.61441857601"/>
    <s v="CO2 - atmosfære"/>
    <x v="0"/>
  </r>
  <r>
    <s v="Østdanmark"/>
    <x v="2"/>
    <n v="39709.74880330517"/>
    <s v="Landbrug"/>
    <x v="1"/>
  </r>
  <r>
    <s v="Østdanmark"/>
    <x v="2"/>
    <n v="753896.08856274094"/>
    <s v="Landbrug"/>
    <x v="2"/>
  </r>
  <r>
    <s v="Østdanmark"/>
    <x v="2"/>
    <n v="11170.456936242925"/>
    <s v="Landbrug"/>
    <x v="2"/>
  </r>
  <r>
    <s v="Østdanmark"/>
    <x v="2"/>
    <n v="23244.76272469978"/>
    <s v="Landbrug"/>
    <x v="2"/>
  </r>
  <r>
    <s v="Østdanmark"/>
    <x v="2"/>
    <n v="-0.19402522113858015"/>
    <s v="Hav"/>
    <x v="3"/>
  </r>
  <r>
    <s v="Østdanmark"/>
    <x v="2"/>
    <n v="-937212.77722401801"/>
    <s v="Skov"/>
    <x v="4"/>
  </r>
  <r>
    <s v="Østdanmark"/>
    <x v="2"/>
    <n v="-102460.70019632569"/>
    <s v="HWP"/>
    <x v="5"/>
  </r>
  <r>
    <s v="Østdanmark"/>
    <x v="2"/>
    <n v="0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89639.1357645364"/>
    <n v="314874.94627501385"/>
    <n v="4.6298044973946864"/>
    <n v="1.1304010571272998"/>
    <n v="1.1304010571272998"/>
    <n v="0"/>
    <n v="386891.7407293609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137289.06413917695"/>
    <n v="0"/>
    <n v="0"/>
    <m/>
    <m/>
    <n v="0"/>
    <n v="0"/>
    <n v="0"/>
    <n v="137289.06413917695"/>
    <n v="0"/>
    <n v="0"/>
    <n v="0"/>
    <n v="0"/>
    <n v="0"/>
    <n v="0"/>
    <n v="0"/>
    <n v="0"/>
    <n v="0"/>
    <n v="0"/>
  </r>
  <r>
    <x v="1"/>
    <x v="10"/>
    <n v="0"/>
    <n v="1"/>
    <x v="1"/>
    <s v="Vestdanmark"/>
    <n v="481659.22850480652"/>
    <n v="40228.873469919861"/>
    <n v="0"/>
    <m/>
    <m/>
    <n v="0"/>
    <n v="0"/>
    <n v="0"/>
    <n v="441430.35503488668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m/>
    <m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249223758.90765765"/>
    <n v="0"/>
    <n v="0"/>
    <m/>
    <m/>
    <n v="0"/>
    <n v="249223758.90765765"/>
    <n v="0"/>
    <n v="0"/>
    <n v="0"/>
    <n v="249223758.90765765"/>
    <n v="0"/>
    <n v="0"/>
    <n v="0"/>
    <n v="0"/>
    <n v="0"/>
    <n v="0"/>
    <n v="0"/>
    <n v="0"/>
  </r>
  <r>
    <x v="4"/>
    <x v="10"/>
    <n v="0"/>
    <n v="0"/>
    <x v="1"/>
    <s v="Vestdanmark"/>
    <n v="11346933.162854034"/>
    <n v="0"/>
    <n v="0"/>
    <m/>
    <m/>
    <n v="8903736.5766237658"/>
    <n v="0"/>
    <n v="0"/>
    <n v="2443196.5862302687"/>
    <n v="0"/>
    <n v="0"/>
    <n v="0"/>
    <n v="0"/>
    <n v="0"/>
    <n v="0"/>
    <n v="0"/>
    <n v="0"/>
    <n v="0"/>
    <n v="0"/>
  </r>
  <r>
    <x v="5"/>
    <x v="1"/>
    <n v="1"/>
    <n v="0"/>
    <x v="1"/>
    <s v="Vestdanmark"/>
    <n v="14684775.031360051"/>
    <n v="0"/>
    <n v="0"/>
    <m/>
    <m/>
    <n v="0"/>
    <n v="0"/>
    <n v="0"/>
    <n v="14684775.031360051"/>
    <n v="14684775.031360051"/>
    <n v="0"/>
    <n v="8.3413351517980026"/>
    <n v="8.3413351517980026"/>
    <n v="0"/>
    <n v="8.3413351517980026"/>
    <n v="627970.72587502829"/>
    <n v="627970.72587502829"/>
    <n v="0"/>
    <n v="627970.72587502829"/>
  </r>
  <r>
    <x v="6"/>
    <x v="2"/>
    <n v="1"/>
    <n v="0"/>
    <x v="1"/>
    <s v="Vestdanmark"/>
    <n v="2502699.3699625214"/>
    <n v="0"/>
    <n v="0"/>
    <m/>
    <m/>
    <n v="236862.61894288147"/>
    <n v="0"/>
    <n v="0"/>
    <n v="2265836.7510196399"/>
    <n v="2265836.7510196399"/>
    <n v="0"/>
    <n v="4.8806123616963042"/>
    <n v="4.8806123616963042"/>
    <n v="0"/>
    <n v="4.8806123616963042"/>
    <n v="679751.02530589199"/>
    <n v="679751.02530589199"/>
    <n v="0"/>
    <n v="679751.02530589199"/>
  </r>
  <r>
    <x v="7"/>
    <x v="10"/>
    <n v="0"/>
    <n v="0"/>
    <x v="1"/>
    <s v="Vestdanmark"/>
    <n v="10343047.24970635"/>
    <n v="0"/>
    <n v="0"/>
    <m/>
    <m/>
    <n v="0"/>
    <n v="0"/>
    <n v="0"/>
    <n v="10343047.24970635"/>
    <n v="0"/>
    <n v="0"/>
    <n v="0"/>
    <n v="0"/>
    <n v="0"/>
    <n v="0"/>
    <n v="0"/>
    <n v="0"/>
    <n v="0"/>
    <n v="0"/>
  </r>
  <r>
    <x v="8"/>
    <x v="2"/>
    <n v="1"/>
    <n v="0"/>
    <x v="1"/>
    <s v="Vestdanmark"/>
    <n v="8084.5006505504907"/>
    <n v="0"/>
    <n v="0"/>
    <m/>
    <m/>
    <n v="2021.1251626376227"/>
    <n v="0"/>
    <n v="0"/>
    <n v="6063.3754879128683"/>
    <n v="6063.3754879128683"/>
    <n v="0"/>
    <n v="2.8515448582105427E-3"/>
    <n v="2.8515448582105427E-3"/>
    <n v="0"/>
    <n v="2.8515448582105427E-3"/>
    <n v="381.99265573851068"/>
    <n v="381.99265573851068"/>
    <n v="0"/>
    <n v="381.99265573851068"/>
  </r>
  <r>
    <x v="9"/>
    <x v="10"/>
    <n v="0"/>
    <n v="1"/>
    <x v="1"/>
    <s v="Vestdanmark"/>
    <n v="98611.398262488423"/>
    <n v="0"/>
    <n v="0"/>
    <m/>
    <m/>
    <n v="0"/>
    <n v="0"/>
    <n v="0"/>
    <n v="98611.398262488423"/>
    <n v="0"/>
    <n v="0"/>
    <n v="0"/>
    <n v="0"/>
    <n v="0"/>
    <n v="0"/>
    <n v="0"/>
    <n v="0"/>
    <n v="0"/>
    <n v="0"/>
  </r>
  <r>
    <x v="10"/>
    <x v="10"/>
    <n v="0"/>
    <n v="0"/>
    <x v="1"/>
    <s v="Vestdanmark"/>
    <n v="664815.58983177762"/>
    <n v="0"/>
    <n v="0"/>
    <m/>
    <m/>
    <n v="0"/>
    <n v="0"/>
    <n v="0"/>
    <n v="664815.58983177762"/>
    <n v="0"/>
    <n v="0"/>
    <n v="0"/>
    <n v="0"/>
    <n v="0"/>
    <n v="0"/>
    <n v="0"/>
    <n v="0"/>
    <n v="0"/>
    <n v="0"/>
  </r>
  <r>
    <x v="11"/>
    <x v="10"/>
    <n v="0"/>
    <n v="1"/>
    <x v="1"/>
    <s v="Vestdanmark"/>
    <n v="430871.84710127779"/>
    <n v="0"/>
    <n v="0"/>
    <m/>
    <m/>
    <n v="0"/>
    <n v="0"/>
    <n v="0"/>
    <n v="430871.84710127779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Vestdanmark"/>
    <n v="21414098.756239291"/>
    <n v="7632870.0065635424"/>
    <n v="0"/>
    <m/>
    <m/>
    <n v="0"/>
    <n v="0"/>
    <n v="30051588.08806663"/>
    <n v="-16270359.338390883"/>
    <n v="0"/>
    <n v="0"/>
    <n v="0"/>
    <n v="0"/>
    <n v="0"/>
    <n v="0"/>
    <n v="0"/>
    <n v="0"/>
    <n v="0"/>
    <n v="0"/>
  </r>
  <r>
    <x v="14"/>
    <x v="10"/>
    <n v="0"/>
    <n v="0"/>
    <x v="1"/>
    <s v="Vestdanmark"/>
    <n v="5023765.8070002273"/>
    <n v="5023765.8070002273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281423.99402613594"/>
    <n v="0"/>
    <n v="0"/>
    <m/>
    <m/>
    <n v="0"/>
    <n v="0"/>
    <n v="0"/>
    <n v="281423.99402613594"/>
    <n v="0"/>
    <n v="0"/>
    <n v="0"/>
    <n v="0"/>
    <n v="0"/>
    <n v="0"/>
    <n v="0"/>
    <n v="0"/>
    <n v="0"/>
    <n v="0"/>
  </r>
  <r>
    <x v="16"/>
    <x v="5"/>
    <n v="1"/>
    <n v="0"/>
    <x v="1"/>
    <s v="Vestdanmark"/>
    <n v="1977104.2150518387"/>
    <n v="482187.74728528946"/>
    <n v="479636.33491702302"/>
    <m/>
    <m/>
    <n v="0"/>
    <n v="1015280.1328495261"/>
    <n v="0"/>
    <n v="0"/>
    <n v="0"/>
    <n v="1015280.1328495261"/>
    <n v="0"/>
    <n v="10.493738833103313"/>
    <n v="0"/>
    <n v="10.493738833103313"/>
    <n v="0"/>
    <n v="862988.11292209721"/>
    <n v="0"/>
    <n v="862988.11292209721"/>
  </r>
  <r>
    <x v="17"/>
    <x v="1"/>
    <n v="1"/>
    <n v="0"/>
    <x v="1"/>
    <s v="Vestdanmark"/>
    <n v="526734.10986839118"/>
    <n v="0"/>
    <n v="0"/>
    <m/>
    <m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n v="1"/>
    <x v="1"/>
    <s v="Vestdanmark"/>
    <n v="0"/>
    <n v="1942953.6559396777"/>
    <n v="0"/>
    <m/>
    <m/>
    <n v="0"/>
    <n v="0"/>
    <n v="0"/>
    <n v="-1942953.6559396777"/>
    <n v="0"/>
    <n v="0"/>
    <n v="0"/>
    <n v="0"/>
    <n v="0"/>
    <n v="0"/>
    <n v="0"/>
    <n v="0"/>
    <n v="0"/>
    <n v="0"/>
  </r>
  <r>
    <x v="19"/>
    <x v="1"/>
    <n v="1"/>
    <n v="0"/>
    <x v="1"/>
    <s v="Vestdanmark"/>
    <n v="405778.5574192928"/>
    <n v="0"/>
    <n v="0"/>
    <m/>
    <m/>
    <n v="0"/>
    <n v="0"/>
    <n v="0"/>
    <n v="405778.5574192928"/>
    <n v="405778.5574192928"/>
    <n v="0"/>
    <n v="1.7582912405102604"/>
    <n v="1.7582912405102604"/>
    <n v="0"/>
    <n v="1.7582912405102604"/>
    <n v="170426.99411610299"/>
    <n v="170426.99411610299"/>
    <n v="0"/>
    <n v="170426.99411610299"/>
  </r>
  <r>
    <x v="20"/>
    <x v="10"/>
    <n v="0"/>
    <n v="0"/>
    <x v="1"/>
    <s v="Vestdanmark"/>
    <n v="603118.80667157366"/>
    <n v="0"/>
    <n v="0"/>
    <m/>
    <m/>
    <n v="0"/>
    <n v="0"/>
    <n v="0"/>
    <n v="603118.80667157366"/>
    <n v="0"/>
    <n v="0"/>
    <n v="0"/>
    <n v="0"/>
    <n v="0"/>
    <n v="0"/>
    <n v="0"/>
    <n v="0"/>
    <n v="0"/>
    <n v="0"/>
  </r>
  <r>
    <x v="21"/>
    <x v="10"/>
    <n v="0"/>
    <n v="1"/>
    <x v="1"/>
    <s v="Vestdanmark"/>
    <n v="2242614.2909873207"/>
    <n v="0"/>
    <n v="0"/>
    <m/>
    <m/>
    <n v="0"/>
    <n v="0"/>
    <n v="0"/>
    <n v="2242614.2909873207"/>
    <n v="0"/>
    <n v="0"/>
    <n v="0"/>
    <n v="0"/>
    <n v="0"/>
    <n v="0"/>
    <n v="0"/>
    <n v="0"/>
    <n v="0"/>
    <n v="0"/>
  </r>
  <r>
    <x v="22"/>
    <x v="5"/>
    <n v="1"/>
    <n v="1"/>
    <x v="1"/>
    <s v="Vestdanmark"/>
    <n v="4220540.2072265251"/>
    <n v="2691129.5009707427"/>
    <n v="0"/>
    <m/>
    <m/>
    <n v="0"/>
    <n v="0"/>
    <n v="0"/>
    <n v="1529410.7062557824"/>
    <n v="1529410.7062557824"/>
    <n v="0"/>
    <n v="5.2380175514271796"/>
    <n v="5.2380175514271796"/>
    <n v="0"/>
    <n v="5.2380175514271796"/>
    <n v="474117.31893929251"/>
    <n v="474117.31893929251"/>
    <n v="0"/>
    <n v="474117.31893929251"/>
  </r>
  <r>
    <x v="23"/>
    <x v="10"/>
    <n v="0"/>
    <n v="0"/>
    <x v="1"/>
    <s v="Vestdanmark"/>
    <n v="0"/>
    <n v="0"/>
    <n v="0"/>
    <m/>
    <m/>
    <n v="995222.8905503545"/>
    <n v="0"/>
    <n v="0"/>
    <n v="-995222.8905503545"/>
    <n v="0"/>
    <n v="0"/>
    <n v="0"/>
    <n v="0"/>
    <n v="0"/>
    <n v="0"/>
    <n v="0"/>
    <n v="0"/>
    <n v="0"/>
    <n v="0"/>
  </r>
  <r>
    <x v="24"/>
    <x v="2"/>
    <n v="1"/>
    <n v="0"/>
    <x v="1"/>
    <s v="Vestdanmark"/>
    <n v="5203199.1539231511"/>
    <n v="0"/>
    <n v="0"/>
    <m/>
    <m/>
    <n v="1300799.7884807878"/>
    <n v="0"/>
    <n v="0"/>
    <n v="3902399.3654423635"/>
    <n v="3902399.3654423635"/>
    <n v="0"/>
    <n v="1.9753555347932703"/>
    <n v="1.9753555347932703"/>
    <n v="0"/>
    <n v="1.9753555347932703"/>
    <n v="296582.35177361959"/>
    <n v="296582.35177361959"/>
    <n v="0"/>
    <n v="296582.35177361959"/>
  </r>
  <r>
    <x v="25"/>
    <x v="10"/>
    <n v="0"/>
    <n v="0"/>
    <x v="1"/>
    <s v="Vestdanmark"/>
    <n v="608682.64604356373"/>
    <n v="609921.6300278171"/>
    <n v="0"/>
    <m/>
    <m/>
    <n v="0"/>
    <n v="0"/>
    <n v="0"/>
    <n v="-1238.9839842533693"/>
    <n v="0"/>
    <n v="0"/>
    <n v="0"/>
    <n v="0"/>
    <n v="0"/>
    <n v="0"/>
    <n v="0"/>
    <n v="0"/>
    <n v="0"/>
    <n v="0"/>
  </r>
  <r>
    <x v="26"/>
    <x v="4"/>
    <n v="1"/>
    <n v="1"/>
    <x v="1"/>
    <s v="Vestdanmark"/>
    <n v="3841740.8343041693"/>
    <n v="3525167.7695113979"/>
    <n v="0"/>
    <m/>
    <m/>
    <n v="0"/>
    <n v="0"/>
    <n v="0"/>
    <n v="316573.06479277136"/>
    <n v="316573.06479277136"/>
    <n v="0"/>
    <n v="1.1364973026060492"/>
    <n v="1.1364973026060492"/>
    <n v="0"/>
    <n v="1.1364973026060492"/>
    <n v="94971.919437831399"/>
    <n v="94971.919437831399"/>
    <n v="0"/>
    <n v="94971.919437831399"/>
  </r>
  <r>
    <x v="27"/>
    <x v="10"/>
    <n v="0"/>
    <n v="1"/>
    <x v="1"/>
    <s v="Vestdanmark"/>
    <n v="1174441.6070577153"/>
    <n v="0"/>
    <n v="0"/>
    <m/>
    <m/>
    <n v="0"/>
    <n v="0"/>
    <n v="0"/>
    <n v="1174441.6070577153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67205.8563118069"/>
    <n v="0"/>
    <n v="0"/>
    <m/>
    <m/>
    <n v="0"/>
    <n v="0"/>
    <n v="0"/>
    <n v="67205.8563118069"/>
    <n v="0"/>
    <n v="0"/>
    <n v="0"/>
    <n v="0"/>
    <n v="0"/>
    <n v="0"/>
    <n v="0"/>
    <n v="0"/>
    <n v="0"/>
    <n v="0"/>
  </r>
  <r>
    <x v="30"/>
    <x v="10"/>
    <n v="0"/>
    <n v="1"/>
    <x v="1"/>
    <s v="Vestdanmark"/>
    <n v="918139.94844972179"/>
    <n v="0"/>
    <n v="0"/>
    <m/>
    <m/>
    <n v="0"/>
    <n v="0"/>
    <n v="0"/>
    <n v="918139.94844972179"/>
    <n v="0"/>
    <n v="0"/>
    <n v="0"/>
    <n v="0"/>
    <n v="0"/>
    <n v="0"/>
    <n v="0"/>
    <n v="0"/>
    <n v="0"/>
    <n v="0"/>
  </r>
  <r>
    <x v="31"/>
    <x v="7"/>
    <n v="1"/>
    <n v="0"/>
    <x v="1"/>
    <s v="Vestdanmark"/>
    <n v="792652.16456581966"/>
    <n v="0"/>
    <n v="0"/>
    <m/>
    <m/>
    <n v="0"/>
    <n v="792652.16456581966"/>
    <n v="0"/>
    <n v="0"/>
    <n v="0"/>
    <n v="792652.16456581966"/>
    <n v="0"/>
    <n v="14.584799828011079"/>
    <n v="0"/>
    <n v="14.584799828011079"/>
    <n v="0"/>
    <n v="328950.64829481521"/>
    <n v="0"/>
    <n v="328950.64829481521"/>
  </r>
  <r>
    <x v="32"/>
    <x v="8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1828845.3877961836"/>
    <n v="0"/>
    <n v="0"/>
    <m/>
    <m/>
    <n v="0"/>
    <n v="0"/>
    <n v="0"/>
    <n v="1828845.387796183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647982.39082629455"/>
    <n v="0"/>
    <n v="0"/>
    <m/>
    <m/>
    <n v="0"/>
    <n v="0"/>
    <n v="647982.39082629455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323991.19541314727"/>
    <n v="133537.51054598394"/>
    <n v="0"/>
    <m/>
    <m/>
    <n v="0"/>
    <n v="0"/>
    <n v="0"/>
    <n v="190453.68486716333"/>
    <n v="0"/>
    <n v="0"/>
    <n v="0"/>
    <n v="0"/>
    <n v="0"/>
    <n v="0"/>
    <n v="0"/>
    <n v="0"/>
    <n v="0"/>
    <n v="0"/>
  </r>
  <r>
    <x v="37"/>
    <x v="9"/>
    <n v="1"/>
    <n v="1"/>
    <x v="1"/>
    <s v="Vestdanmark"/>
    <n v="207354.36506441425"/>
    <n v="0"/>
    <n v="0"/>
    <m/>
    <m/>
    <n v="0"/>
    <n v="207354.36506441425"/>
    <n v="0"/>
    <n v="0"/>
    <n v="0"/>
    <n v="207354.36506441425"/>
    <n v="0"/>
    <n v="7.257402777254498"/>
    <n v="0"/>
    <n v="7.257402777254498"/>
    <n v="0"/>
    <n v="0"/>
    <n v="0"/>
    <n v="0"/>
  </r>
  <r>
    <x v="38"/>
    <x v="4"/>
    <n v="1"/>
    <n v="1"/>
    <x v="1"/>
    <s v="Vestdanmark"/>
    <n v="2550745.2722111917"/>
    <n v="5144644.6526032425"/>
    <n v="0"/>
    <m/>
    <m/>
    <n v="0"/>
    <n v="0"/>
    <n v="0"/>
    <n v="-2593899.3803920508"/>
    <n v="0"/>
    <n v="0"/>
    <n v="0"/>
    <n v="0"/>
    <n v="0"/>
    <n v="0"/>
    <n v="0"/>
    <n v="0"/>
    <n v="0"/>
    <n v="0"/>
  </r>
  <r>
    <x v="39"/>
    <x v="10"/>
    <n v="0"/>
    <n v="0"/>
    <x v="1"/>
    <s v="Vestdanmark"/>
    <n v="108671.64339484723"/>
    <n v="0"/>
    <n v="0"/>
    <m/>
    <m/>
    <n v="0"/>
    <n v="0"/>
    <n v="0"/>
    <n v="108671.64339484723"/>
    <n v="0"/>
    <n v="0"/>
    <n v="0"/>
    <n v="0"/>
    <n v="0"/>
    <n v="0"/>
    <n v="0"/>
    <n v="0"/>
    <n v="0"/>
    <n v="0"/>
  </r>
  <r>
    <x v="40"/>
    <x v="10"/>
    <n v="0"/>
    <n v="0"/>
    <x v="1"/>
    <s v="Vestdanmark"/>
    <n v="69619.838788847192"/>
    <n v="27571.701941246847"/>
    <n v="0"/>
    <m/>
    <m/>
    <n v="0"/>
    <n v="0"/>
    <n v="0"/>
    <n v="42048.136847600341"/>
    <n v="0"/>
    <n v="0"/>
    <n v="0"/>
    <n v="0"/>
    <n v="0"/>
    <n v="0"/>
    <n v="0"/>
    <n v="0"/>
    <n v="0"/>
    <n v="0"/>
  </r>
  <r>
    <x v="41"/>
    <x v="1"/>
    <n v="1"/>
    <n v="0"/>
    <x v="1"/>
    <s v="Vestdanmark"/>
    <n v="3897871.3438154077"/>
    <n v="0"/>
    <n v="0"/>
    <m/>
    <m/>
    <n v="0"/>
    <n v="0"/>
    <n v="0"/>
    <n v="3897871.3438154077"/>
    <n v="3897871.3438154077"/>
    <n v="0"/>
    <n v="1.9450767792773269"/>
    <n v="1.9450767792773269"/>
    <n v="0"/>
    <n v="1.9450767792773269"/>
    <n v="233872.28062892446"/>
    <n v="233872.28062892446"/>
    <n v="0"/>
    <n v="233872.28062892446"/>
  </r>
  <r>
    <x v="42"/>
    <x v="2"/>
    <n v="1"/>
    <n v="0"/>
    <x v="1"/>
    <s v="Vestdanmark"/>
    <n v="6772351.9428086244"/>
    <n v="0"/>
    <n v="0"/>
    <m/>
    <m/>
    <n v="1693087.9857021561"/>
    <n v="0"/>
    <n v="0"/>
    <n v="5079263.9571064683"/>
    <n v="5079263.9571064683"/>
    <n v="0"/>
    <n v="2.188146912721467"/>
    <n v="2.188146912721467"/>
    <n v="0"/>
    <n v="2.188146912721467"/>
    <n v="253963.19785532344"/>
    <n v="253963.19785532344"/>
    <n v="0"/>
    <n v="253963.19785532344"/>
  </r>
  <r>
    <x v="43"/>
    <x v="10"/>
    <n v="0"/>
    <n v="1"/>
    <x v="1"/>
    <s v="Vestdanmark"/>
    <n v="732389.99616601155"/>
    <n v="0"/>
    <n v="0"/>
    <m/>
    <m/>
    <n v="0"/>
    <n v="0"/>
    <n v="0"/>
    <n v="732389.99616601155"/>
    <n v="0"/>
    <n v="0"/>
    <n v="0"/>
    <n v="0"/>
    <n v="0"/>
    <n v="0"/>
    <n v="0"/>
    <n v="0"/>
    <n v="0"/>
    <n v="0"/>
  </r>
  <r>
    <x v="44"/>
    <x v="6"/>
    <n v="1"/>
    <n v="1"/>
    <x v="1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5801.6184005174"/>
    <n v="0"/>
    <n v="0"/>
    <m/>
    <m/>
    <n v="0"/>
    <n v="2215801.6184005174"/>
    <n v="0"/>
    <n v="0"/>
    <n v="0"/>
    <n v="2215801.6184005174"/>
    <n v="0"/>
    <n v="32.114873426737361"/>
    <n v="0"/>
    <n v="32.114873426737361"/>
    <n v="0"/>
    <n v="1095898.5504339226"/>
    <n v="0"/>
    <n v="1095898.5504339226"/>
  </r>
  <r>
    <x v="47"/>
    <x v="10"/>
    <n v="0"/>
    <n v="0"/>
    <x v="1"/>
    <s v="Vestdanmark"/>
    <n v="613452.88379897492"/>
    <n v="0"/>
    <n v="0"/>
    <m/>
    <m/>
    <n v="0"/>
    <n v="0"/>
    <n v="613452.88379897492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38948.680417674739"/>
    <n v="0"/>
    <n v="0"/>
    <m/>
    <m/>
    <n v="0"/>
    <n v="0"/>
    <n v="0"/>
    <n v="38948.680417674739"/>
    <n v="0"/>
    <n v="0"/>
    <n v="0"/>
    <n v="0"/>
    <n v="0"/>
    <n v="0"/>
    <n v="0"/>
    <n v="0"/>
    <n v="0"/>
    <n v="0"/>
  </r>
  <r>
    <x v="1"/>
    <x v="10"/>
    <n v="0"/>
    <n v="1"/>
    <x v="2"/>
    <s v="Vestdanmark"/>
    <n v="675379.18690925464"/>
    <n v="5403.1676876681813"/>
    <n v="0"/>
    <m/>
    <m/>
    <n v="0"/>
    <n v="0"/>
    <n v="0"/>
    <n v="669976.01922158641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m/>
    <m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53132231.072586313"/>
    <n v="0"/>
    <n v="0"/>
    <m/>
    <m/>
    <n v="0"/>
    <n v="53132231.072586313"/>
    <n v="0"/>
    <n v="0"/>
    <n v="0"/>
    <n v="53132231.072586313"/>
    <n v="0"/>
    <n v="0"/>
    <n v="0"/>
    <n v="0"/>
    <n v="0"/>
    <n v="0"/>
    <n v="0"/>
    <n v="0"/>
  </r>
  <r>
    <x v="4"/>
    <x v="10"/>
    <n v="0"/>
    <n v="0"/>
    <x v="2"/>
    <s v="Vestdanmark"/>
    <n v="1933341.8038107518"/>
    <n v="0"/>
    <n v="0"/>
    <m/>
    <m/>
    <n v="47604.725505662638"/>
    <n v="0"/>
    <n v="0"/>
    <n v="1885737.0783050891"/>
    <n v="0"/>
    <n v="0"/>
    <n v="0"/>
    <n v="0"/>
    <n v="0"/>
    <n v="0"/>
    <n v="0"/>
    <n v="0"/>
    <n v="0"/>
    <n v="0"/>
  </r>
  <r>
    <x v="5"/>
    <x v="1"/>
    <n v="1"/>
    <n v="0"/>
    <x v="2"/>
    <s v="Vestdanmark"/>
    <n v="5558362.6844374826"/>
    <n v="0"/>
    <n v="0"/>
    <m/>
    <m/>
    <n v="0"/>
    <n v="0"/>
    <n v="0"/>
    <n v="5558362.6844374826"/>
    <n v="5558362.6844374826"/>
    <n v="0"/>
    <n v="3.1572949498462015"/>
    <n v="3.1572949498462015"/>
    <n v="0"/>
    <n v="3.1572949498462015"/>
    <n v="237694.41766515101"/>
    <n v="237694.41766515101"/>
    <n v="0"/>
    <n v="237694.41766515101"/>
  </r>
  <r>
    <x v="6"/>
    <x v="2"/>
    <n v="1"/>
    <n v="0"/>
    <x v="2"/>
    <s v="Vestdanmark"/>
    <n v="575834.83314211352"/>
    <n v="0"/>
    <n v="0"/>
    <m/>
    <m/>
    <n v="21799.461540380005"/>
    <n v="0"/>
    <n v="0"/>
    <n v="554035.3716017335"/>
    <n v="554035.3716017335"/>
    <n v="0"/>
    <n v="1.1933921904301339"/>
    <n v="1.1933921904301339"/>
    <n v="0"/>
    <n v="1.1933921904301339"/>
    <n v="166210.61148052005"/>
    <n v="166210.61148052005"/>
    <n v="0"/>
    <n v="166210.61148052005"/>
  </r>
  <r>
    <x v="7"/>
    <x v="10"/>
    <n v="0"/>
    <n v="0"/>
    <x v="2"/>
    <s v="Vestdanmark"/>
    <n v="3914966.8791907234"/>
    <n v="0"/>
    <n v="0"/>
    <m/>
    <m/>
    <n v="0"/>
    <n v="0"/>
    <n v="0"/>
    <n v="3914966.8791907234"/>
    <n v="0"/>
    <n v="0"/>
    <n v="0"/>
    <n v="0"/>
    <n v="0"/>
    <n v="0"/>
    <n v="0"/>
    <n v="0"/>
    <n v="0"/>
    <n v="0"/>
  </r>
  <r>
    <x v="8"/>
    <x v="2"/>
    <n v="1"/>
    <n v="0"/>
    <x v="2"/>
    <s v="Vestdanmark"/>
    <n v="5618.4151705662098"/>
    <n v="0"/>
    <n v="0"/>
    <m/>
    <m/>
    <n v="561.84151705662089"/>
    <n v="0"/>
    <n v="0"/>
    <n v="5056.5736535095893"/>
    <n v="5056.5736535095893"/>
    <n v="0"/>
    <n v="2.3780560235090249E-3"/>
    <n v="2.3780560235090249E-3"/>
    <n v="0"/>
    <n v="2.3780560235090249E-3"/>
    <n v="318.56414017110416"/>
    <n v="318.56414017110416"/>
    <n v="0"/>
    <n v="318.56414017110416"/>
  </r>
  <r>
    <x v="9"/>
    <x v="10"/>
    <n v="0"/>
    <n v="1"/>
    <x v="2"/>
    <s v="Vestdanmark"/>
    <n v="6001.6248923716248"/>
    <n v="0"/>
    <n v="0"/>
    <m/>
    <m/>
    <n v="0"/>
    <n v="0"/>
    <n v="0"/>
    <n v="6001.6248923716248"/>
    <n v="0"/>
    <n v="0"/>
    <n v="0"/>
    <n v="0"/>
    <n v="0"/>
    <n v="0"/>
    <n v="0"/>
    <n v="0"/>
    <n v="0"/>
    <n v="0"/>
  </r>
  <r>
    <x v="10"/>
    <x v="10"/>
    <n v="0"/>
    <n v="0"/>
    <x v="2"/>
    <s v="Vestdanmark"/>
    <n v="63416.052113342856"/>
    <n v="0"/>
    <n v="0"/>
    <m/>
    <m/>
    <n v="0"/>
    <n v="0"/>
    <n v="0"/>
    <n v="63416.052113342856"/>
    <n v="0"/>
    <n v="0"/>
    <n v="0"/>
    <n v="0"/>
    <n v="0"/>
    <n v="0"/>
    <n v="0"/>
    <n v="0"/>
    <n v="0"/>
    <n v="0"/>
  </r>
  <r>
    <x v="11"/>
    <x v="10"/>
    <n v="0"/>
    <n v="1"/>
    <x v="2"/>
    <s v="Vestdanmark"/>
    <n v="782024.94316368026"/>
    <n v="0"/>
    <n v="0"/>
    <m/>
    <m/>
    <n v="0"/>
    <n v="0"/>
    <n v="0"/>
    <n v="782024.94316368026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Vestdanmark"/>
    <n v="28845032.2708226"/>
    <n v="1025176.0247393751"/>
    <n v="0"/>
    <m/>
    <m/>
    <n v="0"/>
    <n v="0"/>
    <n v="11374884.904949415"/>
    <n v="16444971.341133809"/>
    <n v="16444971.341133809"/>
    <n v="0"/>
    <n v="30.256691646268568"/>
    <n v="30.256691646268568"/>
    <n v="0"/>
    <n v="30.256691646268568"/>
    <n v="4604591.9755174667"/>
    <n v="4604591.9755174667"/>
    <n v="0"/>
    <n v="4604591.9755174667"/>
  </r>
  <r>
    <x v="14"/>
    <x v="10"/>
    <n v="0"/>
    <n v="0"/>
    <x v="2"/>
    <s v="Vestdanmark"/>
    <n v="1901555.3413212083"/>
    <n v="1901555.3413212085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304619.14425386849"/>
    <n v="0"/>
    <n v="0"/>
    <m/>
    <m/>
    <n v="0"/>
    <n v="0"/>
    <n v="0"/>
    <n v="304619.14425386849"/>
    <n v="0"/>
    <n v="0"/>
    <n v="0"/>
    <n v="0"/>
    <n v="0"/>
    <n v="0"/>
    <n v="0"/>
    <n v="0"/>
    <n v="0"/>
    <n v="0"/>
  </r>
  <r>
    <x v="16"/>
    <x v="5"/>
    <n v="1"/>
    <n v="0"/>
    <x v="2"/>
    <s v="Vestdanmark"/>
    <n v="712964.91975724418"/>
    <n v="64762.968256356122"/>
    <n v="70290.546378545216"/>
    <m/>
    <m/>
    <n v="0"/>
    <n v="577911.40512234275"/>
    <n v="0"/>
    <n v="0"/>
    <n v="0"/>
    <n v="577911.40512234275"/>
    <n v="0"/>
    <n v="5.9731803645215589"/>
    <n v="0"/>
    <n v="5.9731803645215589"/>
    <n v="0"/>
    <n v="491224.6943539913"/>
    <n v="0"/>
    <n v="491224.6943539913"/>
  </r>
  <r>
    <x v="17"/>
    <x v="1"/>
    <n v="1"/>
    <n v="0"/>
    <x v="2"/>
    <s v="Vestdanmark"/>
    <n v="524881.97503939818"/>
    <n v="0"/>
    <n v="0"/>
    <m/>
    <m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n v="1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Vestdanmark"/>
    <n v="217306.9698136746"/>
    <n v="0"/>
    <n v="0"/>
    <m/>
    <m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</r>
  <r>
    <x v="20"/>
    <x v="10"/>
    <n v="0"/>
    <n v="0"/>
    <x v="2"/>
    <s v="Vestdanmark"/>
    <n v="390434.16444163944"/>
    <n v="0"/>
    <n v="0"/>
    <m/>
    <m/>
    <n v="0"/>
    <n v="0"/>
    <n v="0"/>
    <n v="390434.16444163944"/>
    <n v="0"/>
    <n v="0"/>
    <n v="0"/>
    <n v="0"/>
    <n v="0"/>
    <n v="0"/>
    <n v="0"/>
    <n v="0"/>
    <n v="0"/>
    <n v="0"/>
  </r>
  <r>
    <x v="21"/>
    <x v="10"/>
    <n v="0"/>
    <n v="1"/>
    <x v="2"/>
    <s v="Vestdanmark"/>
    <n v="2359310.5932499878"/>
    <n v="0"/>
    <n v="0"/>
    <m/>
    <m/>
    <n v="0"/>
    <n v="0"/>
    <n v="0"/>
    <n v="2359310.5932499878"/>
    <n v="0"/>
    <n v="0"/>
    <n v="0"/>
    <n v="0"/>
    <n v="0"/>
    <n v="0"/>
    <n v="0"/>
    <n v="0"/>
    <n v="0"/>
    <n v="0"/>
  </r>
  <r>
    <x v="22"/>
    <x v="5"/>
    <n v="1"/>
    <n v="1"/>
    <x v="2"/>
    <s v="Vestdanmark"/>
    <n v="440363.1063619653"/>
    <n v="123145.11430255328"/>
    <n v="0"/>
    <m/>
    <m/>
    <n v="0"/>
    <n v="0"/>
    <n v="0"/>
    <n v="317217.992059412"/>
    <n v="317217.992059412"/>
    <n v="0"/>
    <n v="1.0864272122845979"/>
    <n v="1.0864272122845979"/>
    <n v="0"/>
    <n v="1.0864272122845979"/>
    <n v="98337.577538417725"/>
    <n v="98337.577538417725"/>
    <n v="0"/>
    <n v="98337.577538417725"/>
  </r>
  <r>
    <x v="23"/>
    <x v="10"/>
    <n v="0"/>
    <n v="0"/>
    <x v="2"/>
    <s v="Vestdanmark"/>
    <n v="0"/>
    <n v="0"/>
    <n v="0"/>
    <m/>
    <m/>
    <n v="982391.24658337084"/>
    <n v="0"/>
    <n v="0"/>
    <n v="-982391.24658337084"/>
    <n v="0"/>
    <n v="0"/>
    <n v="0"/>
    <n v="0"/>
    <n v="0"/>
    <n v="0"/>
    <n v="0"/>
    <n v="0"/>
    <n v="0"/>
    <n v="0"/>
  </r>
  <r>
    <x v="24"/>
    <x v="2"/>
    <n v="1"/>
    <n v="0"/>
    <x v="2"/>
    <s v="Vestdanmark"/>
    <n v="68744.822418311582"/>
    <n v="0"/>
    <n v="0"/>
    <m/>
    <m/>
    <n v="6874.4822418311569"/>
    <n v="0"/>
    <n v="0"/>
    <n v="61870.340176480422"/>
    <n v="61870.340176480422"/>
    <n v="0"/>
    <n v="3.1318147493932628E-2"/>
    <n v="3.1318147493932628E-2"/>
    <n v="0"/>
    <n v="3.1318147493932628E-2"/>
    <n v="4702.1458534125122"/>
    <n v="4702.1458534125122"/>
    <n v="0"/>
    <n v="4702.1458534125122"/>
  </r>
  <r>
    <x v="25"/>
    <x v="10"/>
    <n v="0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26"/>
    <x v="4"/>
    <n v="1"/>
    <n v="1"/>
    <x v="2"/>
    <s v="Vestdanmark"/>
    <n v="414732.57617739204"/>
    <n v="472676.57715918368"/>
    <n v="0"/>
    <m/>
    <m/>
    <n v="0"/>
    <n v="0"/>
    <n v="0"/>
    <n v="-57944.000981791643"/>
    <n v="0"/>
    <n v="0"/>
    <n v="0"/>
    <n v="0"/>
    <n v="0"/>
    <n v="0"/>
    <n v="0"/>
    <n v="0"/>
    <n v="0"/>
    <n v="0"/>
  </r>
  <r>
    <x v="27"/>
    <x v="10"/>
    <n v="0"/>
    <n v="1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3915.1017916004403"/>
    <n v="0"/>
    <n v="0"/>
    <m/>
    <m/>
    <n v="0"/>
    <n v="0"/>
    <n v="0"/>
    <n v="3915.1017916004403"/>
    <n v="0"/>
    <n v="0"/>
    <n v="0"/>
    <n v="0"/>
    <n v="0"/>
    <n v="0"/>
    <n v="0"/>
    <n v="0"/>
    <n v="0"/>
    <n v="0"/>
  </r>
  <r>
    <x v="30"/>
    <x v="10"/>
    <n v="0"/>
    <n v="1"/>
    <x v="2"/>
    <s v="Vestdanmark"/>
    <n v="91558.70508823132"/>
    <n v="0"/>
    <n v="0"/>
    <m/>
    <m/>
    <n v="0"/>
    <n v="0"/>
    <n v="0"/>
    <n v="91558.70508823132"/>
    <n v="0"/>
    <n v="0"/>
    <n v="0"/>
    <n v="0"/>
    <n v="0"/>
    <n v="0"/>
    <n v="0"/>
    <n v="0"/>
    <n v="0"/>
    <n v="0"/>
  </r>
  <r>
    <x v="31"/>
    <x v="7"/>
    <n v="1"/>
    <n v="0"/>
    <x v="2"/>
    <s v="Vestdanmark"/>
    <n v="1328394.2479560631"/>
    <n v="0"/>
    <n v="0"/>
    <m/>
    <m/>
    <n v="0"/>
    <n v="1328394.2479560631"/>
    <n v="0"/>
    <n v="0"/>
    <n v="0"/>
    <n v="1328394.2479560631"/>
    <n v="0"/>
    <n v="24.442454162391556"/>
    <n v="0"/>
    <n v="24.442454162391556"/>
    <n v="0"/>
    <n v="551283.6129017662"/>
    <n v="0"/>
    <n v="551283.6129017662"/>
  </r>
  <r>
    <x v="32"/>
    <x v="8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5"/>
    <x v="10"/>
    <n v="0"/>
    <n v="0"/>
    <x v="2"/>
    <s v="Vestdanmark"/>
    <n v="670636.87299018225"/>
    <n v="0"/>
    <n v="0"/>
    <m/>
    <m/>
    <n v="0"/>
    <n v="0"/>
    <n v="670636.87299018225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335318.43649509113"/>
    <n v="17935.514963231879"/>
    <n v="0"/>
    <m/>
    <m/>
    <n v="0"/>
    <n v="0"/>
    <n v="0"/>
    <n v="317382.92153185926"/>
    <n v="0"/>
    <n v="0"/>
    <n v="0"/>
    <n v="0"/>
    <n v="0"/>
    <n v="0"/>
    <n v="0"/>
    <n v="0"/>
    <n v="0"/>
    <n v="0"/>
  </r>
  <r>
    <x v="37"/>
    <x v="9"/>
    <n v="1"/>
    <n v="1"/>
    <x v="2"/>
    <s v="Vestdanmark"/>
    <n v="214603.79935685833"/>
    <n v="0"/>
    <n v="0"/>
    <m/>
    <m/>
    <n v="0"/>
    <n v="214603.79935685833"/>
    <n v="0"/>
    <n v="0"/>
    <n v="0"/>
    <n v="214603.79935685833"/>
    <n v="0"/>
    <n v="7.5111329774900408"/>
    <n v="0"/>
    <n v="7.5111329774900408"/>
    <n v="0"/>
    <n v="0"/>
    <n v="0"/>
    <n v="0"/>
  </r>
  <r>
    <x v="38"/>
    <x v="4"/>
    <n v="1"/>
    <n v="1"/>
    <x v="2"/>
    <s v="Vestdanmark"/>
    <n v="2775969.9581087129"/>
    <n v="1819188.8605265266"/>
    <n v="0"/>
    <m/>
    <m/>
    <n v="0"/>
    <n v="0"/>
    <n v="0"/>
    <n v="956781.09758218634"/>
    <n v="956781.09758218634"/>
    <n v="0"/>
    <n v="2.5967421700819568"/>
    <n v="2.5967421700819568"/>
    <n v="0"/>
    <n v="2.5967421700819568"/>
    <n v="191356.21951643727"/>
    <n v="191356.21951643727"/>
    <n v="0"/>
    <n v="191356.21951643727"/>
  </r>
  <r>
    <x v="39"/>
    <x v="10"/>
    <n v="0"/>
    <n v="0"/>
    <x v="2"/>
    <s v="Vestdanmark"/>
    <n v="6885.6435501498472"/>
    <n v="0"/>
    <n v="0"/>
    <m/>
    <m/>
    <n v="0"/>
    <n v="0"/>
    <n v="0"/>
    <n v="6885.6435501498472"/>
    <n v="0"/>
    <n v="0"/>
    <n v="0"/>
    <n v="0"/>
    <n v="0"/>
    <n v="0"/>
    <n v="0"/>
    <n v="0"/>
    <n v="0"/>
    <n v="0"/>
  </r>
  <r>
    <x v="40"/>
    <x v="10"/>
    <n v="0"/>
    <n v="0"/>
    <x v="2"/>
    <s v="Vestdanmark"/>
    <n v="4618.1462568237339"/>
    <n v="4432.6987357664457"/>
    <n v="0"/>
    <m/>
    <m/>
    <n v="0"/>
    <n v="0"/>
    <n v="0"/>
    <n v="185.44752105728821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02333.5486616795"/>
    <n v="0"/>
    <n v="0"/>
    <m/>
    <m/>
    <n v="0"/>
    <n v="0"/>
    <n v="0"/>
    <n v="4002333.5486616795"/>
    <n v="4002333.5486616795"/>
    <n v="0"/>
    <n v="1.9972044641176649"/>
    <n v="1.9972044641176649"/>
    <n v="0"/>
    <n v="1.9972044641176649"/>
    <n v="240140.01291970076"/>
    <n v="240140.01291970076"/>
    <n v="0"/>
    <n v="240140.01291970076"/>
  </r>
  <r>
    <x v="42"/>
    <x v="2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48971.913359549246"/>
    <n v="0"/>
    <n v="0"/>
    <m/>
    <m/>
    <n v="0"/>
    <n v="0"/>
    <n v="0"/>
    <n v="48971.913359549246"/>
    <n v="0"/>
    <n v="0"/>
    <n v="0"/>
    <n v="0"/>
    <n v="0"/>
    <n v="0"/>
    <n v="0"/>
    <n v="0"/>
    <n v="0"/>
    <n v="0"/>
  </r>
  <r>
    <x v="44"/>
    <x v="6"/>
    <n v="1"/>
    <n v="1"/>
    <x v="2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249732.4484132435"/>
    <n v="0"/>
    <n v="0"/>
    <m/>
    <m/>
    <n v="0"/>
    <n v="2249732.4484132435"/>
    <n v="0"/>
    <n v="0"/>
    <n v="0"/>
    <n v="2249732.4484132435"/>
    <n v="0"/>
    <n v="32.606652249387302"/>
    <n v="0"/>
    <n v="32.606652249387302"/>
    <n v="0"/>
    <n v="1112680.1734443833"/>
    <n v="0"/>
    <n v="1112680.1734443833"/>
  </r>
  <r>
    <x v="47"/>
    <x v="10"/>
    <n v="0"/>
    <n v="0"/>
    <x v="2"/>
    <s v="Vestdanmark"/>
    <n v="697041.55294512468"/>
    <n v="0"/>
    <n v="0"/>
    <m/>
    <m/>
    <n v="0"/>
    <n v="0"/>
    <n v="697041.55294512468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m/>
    <m/>
    <n v="0"/>
    <n v="0"/>
    <n v="0"/>
    <n v="18450.007031483605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m/>
    <m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m/>
    <m/>
    <n v="0"/>
    <n v="0"/>
    <n v="0"/>
    <n v="165083.0224523381"/>
    <n v="0"/>
    <n v="0"/>
    <n v="0"/>
    <n v="0"/>
    <n v="0"/>
    <n v="0"/>
    <n v="0"/>
    <n v="0"/>
    <n v="0"/>
    <n v="0"/>
  </r>
  <r>
    <x v="3"/>
    <x v="0"/>
    <n v="1"/>
    <n v="0"/>
    <x v="0"/>
    <s v="Østdanmark"/>
    <n v="110817068.59908372"/>
    <n v="0"/>
    <n v="0"/>
    <m/>
    <m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m/>
    <m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m/>
    <m/>
    <n v="93457.017927737121"/>
    <n v="0"/>
    <n v="0"/>
    <n v="239302.90504806853"/>
    <n v="239302.90504806853"/>
    <n v="0"/>
    <n v="0.51545845747353958"/>
    <n v="0"/>
    <n v="0"/>
    <n v="0"/>
    <n v="71790.871514420549"/>
    <n v="0"/>
    <n v="0"/>
    <n v="0"/>
  </r>
  <r>
    <x v="7"/>
    <x v="0"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m/>
    <m/>
    <n v="337.693821952441"/>
    <n v="0"/>
    <n v="0"/>
    <n v="337.693821952441"/>
    <n v="337.693821952441"/>
    <n v="0"/>
    <n v="1.5881402752601349E-4"/>
    <n v="0"/>
    <n v="0"/>
    <n v="0"/>
    <n v="21.274710783003783"/>
    <n v="0"/>
    <n v="0"/>
    <n v="0"/>
  </r>
  <r>
    <x v="9"/>
    <x v="0"/>
    <n v="0"/>
    <n v="1"/>
    <x v="0"/>
    <s v="Østdanmark"/>
    <n v="15969.006082579654"/>
    <n v="0"/>
    <n v="0"/>
    <m/>
    <m/>
    <n v="0"/>
    <n v="0"/>
    <n v="0"/>
    <n v="15969.006082579654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m/>
    <m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m/>
    <m/>
    <n v="0"/>
    <n v="0"/>
    <n v="0"/>
    <n v="15780.226177538038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0"/>
    <s v="Østdanmark"/>
    <n v="2148848.2010935447"/>
    <n v="1502068.0760117143"/>
    <n v="0"/>
    <m/>
    <m/>
    <n v="0"/>
    <n v="0"/>
    <n v="0"/>
    <n v="646780.12508183043"/>
    <n v="646780.12508183043"/>
    <n v="0"/>
    <n v="1.1899945826349327"/>
    <n v="0"/>
    <n v="0"/>
    <n v="0"/>
    <n v="181098.43502291254"/>
    <n v="0"/>
    <n v="0"/>
    <n v="0"/>
  </r>
  <r>
    <x v="14"/>
    <x v="0"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m/>
    <m/>
    <n v="0"/>
    <n v="0"/>
    <n v="0"/>
    <n v="95299.46904386401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m/>
    <m/>
    <n v="0"/>
    <n v="732655.58820898295"/>
    <n v="0"/>
    <n v="22739.095393183758"/>
    <n v="22739.095393183758"/>
    <n v="732655.58820898295"/>
    <n v="0.23502688631104973"/>
    <n v="7.5725862730126234"/>
    <n v="0"/>
    <n v="7.5725862730126234"/>
    <n v="19328.231084206192"/>
    <n v="622757.24997763545"/>
    <n v="0"/>
    <n v="622757.24997763545"/>
  </r>
  <r>
    <x v="17"/>
    <x v="1"/>
    <n v="1"/>
    <n v="0"/>
    <x v="0"/>
    <s v="Østdanmark"/>
    <n v="452346.51233766804"/>
    <n v="0"/>
    <n v="0"/>
    <m/>
    <m/>
    <n v="0"/>
    <n v="452310.61214957217"/>
    <n v="0"/>
    <n v="35.900188095867634"/>
    <n v="35.900188095867634"/>
    <n v="452310.61214957217"/>
    <n v="6.4089807462109803E-4"/>
    <n v="8.0747487919351268"/>
    <n v="0"/>
    <n v="8.0747487919351268"/>
    <n v="10.77005642876029"/>
    <n v="135693.18364487163"/>
    <n v="0"/>
    <n v="135693.18364487163"/>
  </r>
  <r>
    <x v="18"/>
    <x v="0"/>
    <n v="0"/>
    <n v="1"/>
    <x v="0"/>
    <s v="Østdanmark"/>
    <n v="0"/>
    <n v="592646.72642582108"/>
    <n v="0"/>
    <m/>
    <m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m/>
    <m/>
    <n v="0"/>
    <n v="0"/>
    <n v="0"/>
    <n v="200279.74928693369"/>
    <n v="0"/>
    <n v="0"/>
    <n v="0"/>
    <n v="0"/>
    <n v="0"/>
    <n v="0"/>
    <n v="0"/>
    <n v="0"/>
    <n v="0"/>
    <n v="0"/>
  </r>
  <r>
    <x v="20"/>
    <x v="0"/>
    <n v="0"/>
    <n v="0"/>
    <x v="0"/>
    <s v="Østdanmark"/>
    <n v="145627.35347864506"/>
    <n v="0"/>
    <n v="0"/>
    <m/>
    <m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m/>
    <m/>
    <n v="0"/>
    <n v="0"/>
    <n v="0"/>
    <n v="116539.79424410909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m/>
    <m/>
    <n v="0"/>
    <n v="0"/>
    <n v="0"/>
    <n v="1547028.977300738"/>
    <n v="1547028.977300738"/>
    <n v="0"/>
    <n v="5.2983576631982068"/>
    <n v="0"/>
    <n v="0"/>
    <n v="0"/>
    <n v="479578.98296322877"/>
    <n v="0"/>
    <n v="0"/>
    <n v="0"/>
  </r>
  <r>
    <x v="23"/>
    <x v="0"/>
    <n v="0"/>
    <n v="0"/>
    <x v="0"/>
    <s v="Østdanmark"/>
    <n v="0"/>
    <n v="0"/>
    <n v="0"/>
    <m/>
    <m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m/>
    <m/>
    <n v="638439.1593791761"/>
    <n v="0"/>
    <n v="0"/>
    <n v="286645.05985025829"/>
    <n v="286645.05985025829"/>
    <n v="0"/>
    <n v="0.14509686284560225"/>
    <n v="0"/>
    <n v="0"/>
    <n v="0"/>
    <n v="21785.024548619629"/>
    <n v="0"/>
    <n v="0"/>
    <n v="0"/>
  </r>
  <r>
    <x v="25"/>
    <x v="0"/>
    <n v="0"/>
    <n v="0"/>
    <x v="0"/>
    <s v="Østdanmark"/>
    <n v="115489.08079619991"/>
    <n v="186040.49371289223"/>
    <n v="0"/>
    <m/>
    <m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m/>
    <m/>
    <n v="0"/>
    <n v="0"/>
    <n v="0"/>
    <n v="-329107.52754100139"/>
    <n v="0"/>
    <n v="0"/>
    <n v="0"/>
    <n v="0"/>
    <n v="0"/>
    <n v="0"/>
    <n v="0"/>
    <n v="0"/>
    <n v="0"/>
    <n v="0"/>
  </r>
  <r>
    <x v="27"/>
    <x v="0"/>
    <n v="0"/>
    <n v="1"/>
    <x v="0"/>
    <s v="Østdanmark"/>
    <n v="222833.98833453824"/>
    <n v="0"/>
    <n v="0"/>
    <m/>
    <m/>
    <n v="0"/>
    <n v="0"/>
    <n v="0"/>
    <n v="222833.98833453824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m/>
    <m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m/>
    <m/>
    <n v="0"/>
    <n v="0"/>
    <n v="0"/>
    <n v="7577.0634215631153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m/>
    <m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m/>
    <m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m/>
    <m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m/>
    <m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m/>
    <m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m/>
    <m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m/>
    <m/>
    <n v="0"/>
    <n v="0"/>
    <n v="0"/>
    <n v="2130070.5886269384"/>
    <n v="1662278.5794471605"/>
    <n v="0"/>
    <n v="4.5114905557627711"/>
    <n v="0"/>
    <n v="0"/>
    <n v="0"/>
    <n v="332455.71588943212"/>
    <n v="0"/>
    <n v="0"/>
    <n v="0"/>
  </r>
  <r>
    <x v="39"/>
    <x v="0"/>
    <n v="0"/>
    <n v="0"/>
    <x v="0"/>
    <s v="Østdanmark"/>
    <n v="23179.475218292017"/>
    <n v="0"/>
    <n v="0"/>
    <m/>
    <m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m/>
    <m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m/>
    <m/>
    <n v="0"/>
    <n v="0"/>
    <n v="0"/>
    <n v="3186961.3614372411"/>
    <n v="3186961.3614372411"/>
    <n v="0"/>
    <n v="1.5903255889707979"/>
    <n v="0"/>
    <n v="0"/>
    <n v="0"/>
    <n v="191217.68168623446"/>
    <n v="0"/>
    <n v="0"/>
    <n v="0"/>
  </r>
  <r>
    <x v="42"/>
    <x v="2"/>
    <n v="1"/>
    <n v="0"/>
    <x v="0"/>
    <s v="Østdanmark"/>
    <n v="2304461.4931079326"/>
    <n v="0"/>
    <n v="0"/>
    <m/>
    <m/>
    <n v="1924034.2327518209"/>
    <n v="0"/>
    <n v="0"/>
    <n v="380427.26035611168"/>
    <n v="380427.26035611168"/>
    <n v="0"/>
    <n v="0.16388806376141293"/>
    <n v="0"/>
    <n v="0"/>
    <n v="0"/>
    <n v="19021.363017805586"/>
    <n v="0"/>
    <n v="0"/>
    <n v="0"/>
  </r>
  <r>
    <x v="43"/>
    <x v="0"/>
    <n v="0"/>
    <n v="1"/>
    <x v="0"/>
    <s v="Østdanmark"/>
    <n v="206750.71206041813"/>
    <n v="0"/>
    <n v="0"/>
    <m/>
    <m/>
    <n v="0"/>
    <n v="0"/>
    <n v="0"/>
    <n v="206750.71206041813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m/>
    <m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m/>
    <m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1522.620478108267"/>
    <n v="0"/>
    <n v="0"/>
    <m/>
    <m/>
    <n v="0"/>
    <n v="0"/>
    <n v="0"/>
    <n v="11522.620478108267"/>
    <n v="0"/>
    <n v="0"/>
    <n v="0"/>
    <n v="0"/>
    <n v="0"/>
    <n v="0"/>
    <n v="0"/>
    <n v="0"/>
    <n v="0"/>
    <n v="0"/>
  </r>
  <r>
    <x v="1"/>
    <x v="10"/>
    <n v="0"/>
    <n v="1"/>
    <x v="1"/>
    <s v="Østdanmark"/>
    <n v="151127.91698478759"/>
    <n v="5130.0675922754817"/>
    <n v="0"/>
    <m/>
    <m/>
    <n v="0"/>
    <n v="0"/>
    <n v="0"/>
    <n v="145997.84939251211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m/>
    <m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46024614.763335347"/>
    <n v="0"/>
    <n v="0"/>
    <m/>
    <m/>
    <n v="0"/>
    <n v="46024614.763335347"/>
    <n v="0"/>
    <n v="0"/>
    <n v="0"/>
    <n v="46024614.763335347"/>
    <n v="0"/>
    <n v="0"/>
    <n v="0"/>
    <n v="0"/>
    <n v="0"/>
    <n v="0"/>
    <n v="0"/>
    <n v="0"/>
  </r>
  <r>
    <x v="4"/>
    <x v="10"/>
    <n v="0"/>
    <n v="0"/>
    <x v="1"/>
    <s v="Østdanmark"/>
    <n v="2336197.3879103642"/>
    <n v="0"/>
    <n v="0"/>
    <m/>
    <m/>
    <n v="1833172.5263920096"/>
    <n v="0"/>
    <n v="0"/>
    <n v="503024.86151835462"/>
    <n v="0"/>
    <n v="0"/>
    <n v="0"/>
    <n v="0"/>
    <n v="0"/>
    <n v="0"/>
    <n v="0"/>
    <n v="0"/>
    <n v="0"/>
    <n v="0"/>
  </r>
  <r>
    <x v="5"/>
    <x v="1"/>
    <n v="1"/>
    <n v="0"/>
    <x v="1"/>
    <s v="Østdanmark"/>
    <n v="1872632.3158058459"/>
    <n v="0"/>
    <n v="0"/>
    <m/>
    <m/>
    <n v="0"/>
    <n v="0"/>
    <n v="0"/>
    <n v="1872632.3158058459"/>
    <n v="1872632.3158058459"/>
    <n v="0"/>
    <n v="1.0637039878967427"/>
    <n v="1.0637039878967427"/>
    <n v="0"/>
    <n v="1.0637039878967427"/>
    <n v="80080.101475325049"/>
    <n v="80080.101475325049"/>
    <n v="0"/>
    <n v="80080.101475325049"/>
  </r>
  <r>
    <x v="6"/>
    <x v="2"/>
    <n v="1"/>
    <n v="0"/>
    <x v="1"/>
    <s v="Østdanmark"/>
    <n v="348347.71555677708"/>
    <n v="0"/>
    <n v="0"/>
    <m/>
    <m/>
    <n v="32968.623079480683"/>
    <n v="0"/>
    <n v="0"/>
    <n v="315379.09247729642"/>
    <n v="315379.09247729642"/>
    <n v="0"/>
    <n v="0.67932656519609647"/>
    <n v="0.67932656519609647"/>
    <n v="0"/>
    <n v="0.67932656519609647"/>
    <n v="94613.727743188923"/>
    <n v="94613.727743188923"/>
    <n v="0"/>
    <n v="94613.727743188923"/>
  </r>
  <r>
    <x v="7"/>
    <x v="10"/>
    <n v="0"/>
    <n v="0"/>
    <x v="1"/>
    <s v="Østdanmark"/>
    <n v="1318966.377240648"/>
    <n v="0"/>
    <n v="0"/>
    <m/>
    <m/>
    <n v="0"/>
    <n v="0"/>
    <n v="0"/>
    <n v="1318966.377240648"/>
    <n v="0"/>
    <n v="0"/>
    <n v="0"/>
    <n v="0"/>
    <n v="0"/>
    <n v="0"/>
    <n v="0"/>
    <n v="0"/>
    <n v="0"/>
    <n v="0"/>
  </r>
  <r>
    <x v="8"/>
    <x v="2"/>
    <n v="1"/>
    <n v="0"/>
    <x v="1"/>
    <s v="Østdanmark"/>
    <n v="678.5291555114477"/>
    <n v="0"/>
    <n v="0"/>
    <m/>
    <m/>
    <n v="169.63228887786195"/>
    <n v="0"/>
    <n v="0"/>
    <n v="508.89686663358577"/>
    <n v="508.89686663358577"/>
    <n v="0"/>
    <n v="2.3932910740910907E-4"/>
    <n v="2.3932910740910907E-4"/>
    <n v="0"/>
    <n v="2.3932910740910907E-4"/>
    <n v="32.060502597915907"/>
    <n v="32.060502597915907"/>
    <n v="0"/>
    <n v="32.060502597915907"/>
  </r>
  <r>
    <x v="9"/>
    <x v="10"/>
    <n v="0"/>
    <n v="1"/>
    <x v="1"/>
    <s v="Østdanmark"/>
    <n v="8276.4182574830029"/>
    <n v="0"/>
    <n v="0"/>
    <m/>
    <m/>
    <n v="0"/>
    <n v="0"/>
    <n v="0"/>
    <n v="8276.4182574830029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19235.46948095749"/>
    <n v="0"/>
    <n v="0"/>
    <m/>
    <m/>
    <n v="0"/>
    <n v="0"/>
    <n v="0"/>
    <n v="219235.46948095749"/>
    <n v="0"/>
    <n v="0"/>
    <n v="0"/>
    <n v="0"/>
    <n v="0"/>
    <n v="0"/>
    <n v="0"/>
    <n v="0"/>
    <n v="0"/>
    <n v="0"/>
  </r>
  <r>
    <x v="11"/>
    <x v="10"/>
    <n v="0"/>
    <n v="1"/>
    <x v="1"/>
    <s v="Østdanmark"/>
    <n v="136756.20304356876"/>
    <n v="0"/>
    <n v="0"/>
    <m/>
    <m/>
    <n v="0"/>
    <n v="0"/>
    <n v="0"/>
    <n v="136756.20304356876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Østdanmark"/>
    <n v="6205031.1249834606"/>
    <n v="973359.07469549077"/>
    <n v="0"/>
    <m/>
    <m/>
    <n v="0"/>
    <n v="0"/>
    <n v="3832239.5048490944"/>
    <n v="1399432.5454388754"/>
    <n v="0"/>
    <n v="0"/>
    <n v="0"/>
    <n v="0"/>
    <n v="0"/>
    <n v="0"/>
    <n v="0"/>
    <n v="0"/>
    <n v="0"/>
    <n v="0"/>
  </r>
  <r>
    <x v="14"/>
    <x v="10"/>
    <n v="0"/>
    <n v="0"/>
    <x v="1"/>
    <s v="Østdanmark"/>
    <n v="640640.81180260039"/>
    <n v="640640.81180260039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89283.287705397597"/>
    <n v="0"/>
    <n v="0"/>
    <m/>
    <m/>
    <n v="0"/>
    <n v="0"/>
    <n v="0"/>
    <n v="89283.287705397597"/>
    <n v="0"/>
    <n v="0"/>
    <n v="0"/>
    <n v="0"/>
    <n v="0"/>
    <n v="0"/>
    <n v="0"/>
    <n v="0"/>
    <n v="0"/>
    <n v="0"/>
  </r>
  <r>
    <x v="16"/>
    <x v="5"/>
    <n v="1"/>
    <n v="0"/>
    <x v="1"/>
    <s v="Østdanmark"/>
    <n v="621799.3098622479"/>
    <n v="61489.560168524171"/>
    <n v="68051.447846356168"/>
    <m/>
    <m/>
    <n v="0"/>
    <n v="492258.30184736766"/>
    <n v="0"/>
    <n v="0"/>
    <n v="0"/>
    <n v="492258.30184736766"/>
    <n v="0"/>
    <n v="5.087886476725541"/>
    <n v="0"/>
    <n v="5.087886476725541"/>
    <n v="0"/>
    <n v="418419.55657026253"/>
    <n v="0"/>
    <n v="418419.55657026253"/>
  </r>
  <r>
    <x v="17"/>
    <x v="1"/>
    <n v="1"/>
    <n v="0"/>
    <x v="1"/>
    <s v="Østdanmark"/>
    <n v="456074.89013160887"/>
    <n v="0"/>
    <n v="0"/>
    <m/>
    <m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n v="1"/>
    <x v="1"/>
    <s v="Østdanmark"/>
    <n v="0"/>
    <n v="247769.39356957746"/>
    <n v="0"/>
    <m/>
    <m/>
    <n v="0"/>
    <n v="0"/>
    <n v="0"/>
    <n v="-247769.39356957746"/>
    <n v="0"/>
    <n v="0"/>
    <n v="0"/>
    <n v="0"/>
    <n v="0"/>
    <n v="0"/>
    <n v="0"/>
    <n v="0"/>
    <n v="0"/>
    <n v="0"/>
  </r>
  <r>
    <x v="19"/>
    <x v="1"/>
    <n v="1"/>
    <n v="0"/>
    <x v="1"/>
    <s v="Østdanmark"/>
    <n v="189662.94061352842"/>
    <n v="0"/>
    <n v="0"/>
    <m/>
    <m/>
    <n v="0"/>
    <n v="0"/>
    <n v="0"/>
    <n v="189662.94061352842"/>
    <n v="189662.94061352842"/>
    <n v="0"/>
    <n v="0.82183417786069846"/>
    <n v="0.82183417786069846"/>
    <n v="0"/>
    <n v="0.82183417786069846"/>
    <n v="79658.435057681942"/>
    <n v="79658.435057681942"/>
    <n v="0"/>
    <n v="79658.435057681942"/>
  </r>
  <r>
    <x v="20"/>
    <x v="10"/>
    <n v="0"/>
    <n v="0"/>
    <x v="1"/>
    <s v="Østdanmark"/>
    <n v="187014.68622961262"/>
    <n v="0"/>
    <n v="0"/>
    <m/>
    <m/>
    <n v="0"/>
    <n v="0"/>
    <n v="0"/>
    <n v="187014.68622961262"/>
    <n v="0"/>
    <n v="0"/>
    <n v="0"/>
    <n v="0"/>
    <n v="0"/>
    <n v="0"/>
    <n v="0"/>
    <n v="0"/>
    <n v="0"/>
    <n v="0"/>
  </r>
  <r>
    <x v="21"/>
    <x v="10"/>
    <n v="0"/>
    <n v="1"/>
    <x v="1"/>
    <s v="Østdanmark"/>
    <n v="689757.40845134575"/>
    <n v="0"/>
    <n v="0"/>
    <m/>
    <m/>
    <n v="0"/>
    <n v="0"/>
    <n v="0"/>
    <n v="689757.40845134575"/>
    <n v="0"/>
    <n v="0"/>
    <n v="0"/>
    <n v="0"/>
    <n v="0"/>
    <n v="0"/>
    <n v="0"/>
    <n v="0"/>
    <n v="0"/>
    <n v="0"/>
  </r>
  <r>
    <x v="22"/>
    <x v="5"/>
    <n v="1"/>
    <n v="1"/>
    <x v="1"/>
    <s v="Østdanmark"/>
    <n v="1320594.9697580421"/>
    <n v="343178.29580461275"/>
    <n v="0"/>
    <m/>
    <m/>
    <n v="0"/>
    <n v="0"/>
    <n v="0"/>
    <n v="977416.67395342933"/>
    <n v="977416.67395342933"/>
    <n v="0"/>
    <n v="3.3475152699561428"/>
    <n v="3.3475152699561428"/>
    <n v="0"/>
    <n v="3.3475152699561428"/>
    <n v="302999.16892556311"/>
    <n v="302999.16892556311"/>
    <n v="0"/>
    <n v="302999.16892556311"/>
  </r>
  <r>
    <x v="23"/>
    <x v="10"/>
    <n v="0"/>
    <n v="0"/>
    <x v="1"/>
    <s v="Østdanmark"/>
    <n v="0"/>
    <n v="0"/>
    <n v="0"/>
    <m/>
    <m/>
    <n v="378703.95707755227"/>
    <n v="0"/>
    <n v="0"/>
    <n v="-378703.95707755227"/>
    <n v="0"/>
    <n v="0"/>
    <n v="0"/>
    <n v="0"/>
    <n v="0"/>
    <n v="0"/>
    <n v="0"/>
    <n v="0"/>
    <n v="0"/>
    <n v="0"/>
  </r>
  <r>
    <x v="24"/>
    <x v="2"/>
    <n v="1"/>
    <n v="0"/>
    <x v="1"/>
    <s v="Østdanmark"/>
    <n v="369812.22772399604"/>
    <n v="0"/>
    <n v="0"/>
    <m/>
    <m/>
    <n v="92453.05693099901"/>
    <n v="0"/>
    <n v="0"/>
    <n v="277359.170792997"/>
    <n v="277359.170792997"/>
    <n v="0"/>
    <n v="0.14039643866370716"/>
    <n v="0.14039643866370716"/>
    <n v="0"/>
    <n v="0.14039643866370716"/>
    <n v="21079.296980267773"/>
    <n v="21079.296980267773"/>
    <n v="0"/>
    <n v="21079.296980267773"/>
  </r>
  <r>
    <x v="25"/>
    <x v="10"/>
    <n v="0"/>
    <n v="0"/>
    <x v="1"/>
    <s v="Østdanmark"/>
    <n v="43261.516357794091"/>
    <n v="77778.444140950844"/>
    <n v="0"/>
    <m/>
    <m/>
    <n v="0"/>
    <n v="0"/>
    <n v="0"/>
    <n v="-34516.927783156752"/>
    <n v="0"/>
    <n v="0"/>
    <n v="0"/>
    <n v="0"/>
    <n v="0"/>
    <n v="0"/>
    <n v="0"/>
    <n v="0"/>
    <n v="0"/>
    <n v="0"/>
  </r>
  <r>
    <x v="26"/>
    <x v="4"/>
    <n v="1"/>
    <n v="1"/>
    <x v="1"/>
    <s v="Østdanmark"/>
    <n v="1159957.6294650177"/>
    <n v="449536.54854955332"/>
    <n v="0"/>
    <m/>
    <m/>
    <n v="0"/>
    <n v="0"/>
    <n v="0"/>
    <n v="710421.08091546432"/>
    <n v="710421.08091546432"/>
    <n v="0"/>
    <n v="2.5504116804865173"/>
    <n v="2.5504116804865173"/>
    <n v="0"/>
    <n v="2.5504116804865173"/>
    <n v="213126.32427463928"/>
    <n v="213126.32427463928"/>
    <n v="0"/>
    <n v="213126.32427463928"/>
  </r>
  <r>
    <x v="27"/>
    <x v="10"/>
    <n v="0"/>
    <n v="1"/>
    <x v="1"/>
    <s v="Østdanmark"/>
    <n v="83472.274304605322"/>
    <n v="0"/>
    <n v="0"/>
    <m/>
    <m/>
    <n v="0"/>
    <n v="0"/>
    <n v="0"/>
    <n v="83472.274304605322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4776.5896909844023"/>
    <n v="0"/>
    <n v="0"/>
    <m/>
    <m/>
    <n v="0"/>
    <n v="0"/>
    <n v="0"/>
    <n v="4776.5896909844023"/>
    <n v="0"/>
    <n v="0"/>
    <n v="0"/>
    <n v="0"/>
    <n v="0"/>
    <n v="0"/>
    <n v="0"/>
    <n v="0"/>
    <n v="0"/>
    <n v="0"/>
  </r>
  <r>
    <x v="30"/>
    <x v="10"/>
    <n v="0"/>
    <n v="1"/>
    <x v="1"/>
    <s v="Østdanmark"/>
    <n v="283776.5909190129"/>
    <n v="0"/>
    <n v="0"/>
    <m/>
    <m/>
    <n v="0"/>
    <n v="0"/>
    <n v="0"/>
    <n v="283776.5909190129"/>
    <n v="0"/>
    <n v="0"/>
    <n v="0"/>
    <n v="0"/>
    <n v="0"/>
    <n v="0"/>
    <n v="0"/>
    <n v="0"/>
    <n v="0"/>
    <n v="0"/>
  </r>
  <r>
    <x v="31"/>
    <x v="7"/>
    <n v="1"/>
    <n v="0"/>
    <x v="1"/>
    <s v="Østdanmark"/>
    <n v="248146.38123349831"/>
    <n v="0"/>
    <n v="0"/>
    <m/>
    <m/>
    <n v="0"/>
    <n v="248146.38123349831"/>
    <n v="0"/>
    <n v="0"/>
    <n v="0"/>
    <n v="248146.38123349831"/>
    <n v="0"/>
    <n v="4.5658934146963679"/>
    <n v="0"/>
    <n v="4.5658934146963679"/>
    <n v="0"/>
    <n v="102980.74821190181"/>
    <n v="0"/>
    <n v="102980.74821190181"/>
  </r>
  <r>
    <x v="32"/>
    <x v="8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129983.37503835837"/>
    <n v="0"/>
    <n v="0"/>
    <m/>
    <m/>
    <n v="0"/>
    <n v="0"/>
    <n v="0"/>
    <n v="129983.37503835837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04963.98280254862"/>
    <n v="0"/>
    <n v="0"/>
    <m/>
    <m/>
    <n v="0"/>
    <n v="0"/>
    <n v="204963.98280254862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02481.99140127431"/>
    <n v="17028.97436880333"/>
    <n v="0"/>
    <m/>
    <m/>
    <n v="0"/>
    <n v="0"/>
    <n v="0"/>
    <n v="85453.017032470976"/>
    <n v="0"/>
    <n v="0"/>
    <n v="0"/>
    <n v="0"/>
    <n v="0"/>
    <n v="0"/>
    <n v="0"/>
    <n v="0"/>
    <n v="0"/>
    <n v="0"/>
  </r>
  <r>
    <x v="37"/>
    <x v="9"/>
    <n v="1"/>
    <n v="1"/>
    <x v="1"/>
    <s v="Østdanmark"/>
    <n v="65588.474496815557"/>
    <n v="0"/>
    <n v="0"/>
    <m/>
    <m/>
    <n v="0"/>
    <n v="65588.474496815557"/>
    <n v="0"/>
    <n v="0"/>
    <n v="0"/>
    <n v="65588.474496815557"/>
    <n v="0"/>
    <n v="2.2955966073885441"/>
    <n v="0"/>
    <n v="2.2955966073885441"/>
    <n v="0"/>
    <n v="0"/>
    <n v="0"/>
    <n v="0"/>
  </r>
  <r>
    <x v="38"/>
    <x v="4"/>
    <n v="1"/>
    <n v="1"/>
    <x v="1"/>
    <s v="Østdanmark"/>
    <n v="818285.05408099853"/>
    <n v="656055.52752620552"/>
    <n v="0"/>
    <m/>
    <m/>
    <n v="0"/>
    <n v="0"/>
    <n v="0"/>
    <n v="162229.526554793"/>
    <n v="0"/>
    <n v="0"/>
    <n v="0"/>
    <n v="0"/>
    <n v="0"/>
    <n v="0"/>
    <n v="0"/>
    <n v="0"/>
    <n v="0"/>
    <n v="0"/>
  </r>
  <r>
    <x v="39"/>
    <x v="10"/>
    <n v="0"/>
    <n v="0"/>
    <x v="1"/>
    <s v="Østdanmark"/>
    <n v="12481.530032817438"/>
    <n v="0"/>
    <n v="0"/>
    <m/>
    <m/>
    <n v="0"/>
    <n v="0"/>
    <n v="0"/>
    <n v="12481.530032817438"/>
    <n v="0"/>
    <n v="0"/>
    <n v="0"/>
    <n v="0"/>
    <n v="0"/>
    <n v="0"/>
    <n v="0"/>
    <n v="0"/>
    <n v="0"/>
    <n v="0"/>
  </r>
  <r>
    <x v="40"/>
    <x v="10"/>
    <n v="0"/>
    <n v="0"/>
    <x v="1"/>
    <s v="Østdanmark"/>
    <n v="9770.0912219432048"/>
    <n v="3515.9993902993874"/>
    <n v="0"/>
    <m/>
    <m/>
    <n v="0"/>
    <n v="0"/>
    <n v="0"/>
    <n v="6254.0918316438174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38649.6476717573"/>
    <n v="0"/>
    <n v="0"/>
    <m/>
    <m/>
    <n v="0"/>
    <n v="0"/>
    <n v="0"/>
    <n v="3338649.6476717573"/>
    <n v="3338649.6476717573"/>
    <n v="0"/>
    <n v="1.6660195606846839"/>
    <n v="1.6660195606846839"/>
    <n v="0"/>
    <n v="1.6660195606846839"/>
    <n v="200318.97886030542"/>
    <n v="200318.97886030542"/>
    <n v="0"/>
    <n v="200318.97886030542"/>
  </r>
  <r>
    <x v="42"/>
    <x v="2"/>
    <n v="1"/>
    <n v="0"/>
    <x v="1"/>
    <s v="Østdanmark"/>
    <n v="981294.25906442513"/>
    <n v="0"/>
    <n v="0"/>
    <m/>
    <m/>
    <n v="245323.56476610628"/>
    <n v="0"/>
    <n v="0"/>
    <n v="735970.69429831882"/>
    <n v="735970.69429831882"/>
    <n v="0"/>
    <n v="0.31705617510371581"/>
    <n v="0.31705617510371581"/>
    <n v="0"/>
    <n v="0.31705617510371581"/>
    <n v="36798.534714915942"/>
    <n v="36798.534714915942"/>
    <n v="0"/>
    <n v="36798.534714915942"/>
  </r>
  <r>
    <x v="43"/>
    <x v="10"/>
    <n v="0"/>
    <n v="1"/>
    <x v="1"/>
    <s v="Østdanmark"/>
    <n v="106121.19758440506"/>
    <n v="0"/>
    <n v="0"/>
    <m/>
    <m/>
    <n v="0"/>
    <n v="0"/>
    <n v="0"/>
    <n v="106121.19758440506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7094.30995983595"/>
    <n v="0"/>
    <n v="0"/>
    <m/>
    <m/>
    <n v="0"/>
    <n v="647094.30995983595"/>
    <n v="0"/>
    <n v="0"/>
    <n v="0"/>
    <n v="647094.30995983595"/>
    <n v="0"/>
    <n v="9.3787059667025439"/>
    <n v="0"/>
    <n v="9.3787059667025439"/>
    <n v="0"/>
    <n v="320042.06080096884"/>
    <n v="0"/>
    <n v="320042.06080096884"/>
  </r>
  <r>
    <x v="47"/>
    <x v="10"/>
    <n v="0"/>
    <n v="0"/>
    <x v="1"/>
    <s v="Østdanmark"/>
    <n v="178637.08828513199"/>
    <n v="0"/>
    <n v="0"/>
    <m/>
    <m/>
    <n v="0"/>
    <n v="0"/>
    <n v="178637.08828513199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3268.9483710154163"/>
    <n v="0"/>
    <n v="0"/>
    <m/>
    <m/>
    <n v="0"/>
    <n v="0"/>
    <n v="0"/>
    <n v="3268.9483710154163"/>
    <n v="0"/>
    <n v="0"/>
    <n v="0"/>
    <n v="0"/>
    <n v="0"/>
    <n v="0"/>
    <n v="0"/>
    <n v="0"/>
    <n v="0"/>
    <n v="0"/>
  </r>
  <r>
    <x v="1"/>
    <x v="10"/>
    <n v="0"/>
    <n v="1"/>
    <x v="2"/>
    <s v="Østdanmark"/>
    <n v="269129.08878493914"/>
    <n v="724.66280069904622"/>
    <n v="0"/>
    <m/>
    <m/>
    <n v="0"/>
    <n v="0"/>
    <n v="0"/>
    <n v="268404.42598424008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m/>
    <m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22893348.20380079"/>
    <n v="0"/>
    <n v="0"/>
    <m/>
    <m/>
    <n v="0"/>
    <n v="22893348.20380079"/>
    <n v="0"/>
    <n v="0"/>
    <n v="0"/>
    <n v="22893348.20380079"/>
    <n v="0"/>
    <n v="0"/>
    <n v="0"/>
    <n v="0"/>
    <n v="0"/>
    <n v="0"/>
    <n v="0"/>
    <n v="0"/>
  </r>
  <r>
    <x v="4"/>
    <x v="10"/>
    <n v="0"/>
    <n v="0"/>
    <x v="2"/>
    <s v="Østdanmark"/>
    <n v="1289522.3825958653"/>
    <n v="0"/>
    <n v="0"/>
    <m/>
    <m/>
    <n v="31751.943156603487"/>
    <n v="0"/>
    <n v="0"/>
    <n v="1257770.4394392618"/>
    <n v="0"/>
    <n v="0"/>
    <n v="0"/>
    <n v="0"/>
    <n v="0"/>
    <n v="0"/>
    <n v="0"/>
    <n v="0"/>
    <n v="0"/>
    <n v="0"/>
  </r>
  <r>
    <x v="5"/>
    <x v="1"/>
    <n v="1"/>
    <n v="0"/>
    <x v="2"/>
    <s v="Østdanmark"/>
    <n v="745477.26501226774"/>
    <n v="0"/>
    <n v="0"/>
    <m/>
    <m/>
    <n v="0"/>
    <n v="0"/>
    <n v="0"/>
    <n v="745477.26501226774"/>
    <n v="745477.26501226774"/>
    <n v="0"/>
    <n v="0.42345052629227442"/>
    <n v="0.42345052629227442"/>
    <n v="0"/>
    <n v="0.42345052629227442"/>
    <n v="31879.133199749631"/>
    <n v="31879.133199749631"/>
    <n v="0"/>
    <n v="31879.133199749631"/>
  </r>
  <r>
    <x v="6"/>
    <x v="2"/>
    <n v="1"/>
    <n v="0"/>
    <x v="2"/>
    <s v="Østdanmark"/>
    <n v="81826.264655313833"/>
    <n v="0"/>
    <n v="0"/>
    <m/>
    <m/>
    <n v="3097.7085905225945"/>
    <n v="0"/>
    <n v="0"/>
    <n v="78728.556064791235"/>
    <n v="78728.556064791235"/>
    <n v="0"/>
    <n v="0.16958130976356031"/>
    <n v="0.16958130976356031"/>
    <n v="0"/>
    <n v="0.16958130976356031"/>
    <n v="23618.566819437368"/>
    <n v="23618.566819437368"/>
    <n v="0"/>
    <n v="23618.566819437368"/>
  </r>
  <r>
    <x v="7"/>
    <x v="10"/>
    <n v="0"/>
    <n v="0"/>
    <x v="2"/>
    <s v="Østdanmark"/>
    <n v="525068.07623117056"/>
    <n v="0"/>
    <n v="0"/>
    <m/>
    <m/>
    <n v="0"/>
    <n v="0"/>
    <n v="0"/>
    <n v="525068.07623117056"/>
    <n v="0"/>
    <n v="0"/>
    <n v="0"/>
    <n v="0"/>
    <n v="0"/>
    <n v="0"/>
    <n v="0"/>
    <n v="0"/>
    <n v="0"/>
    <n v="0"/>
  </r>
  <r>
    <x v="8"/>
    <x v="2"/>
    <n v="1"/>
    <n v="0"/>
    <x v="2"/>
    <s v="Østdanmark"/>
    <n v="471.55151143904124"/>
    <n v="0"/>
    <n v="0"/>
    <m/>
    <m/>
    <n v="47.155151143904114"/>
    <n v="0"/>
    <n v="0"/>
    <n v="424.39636029513713"/>
    <n v="424.39636029513713"/>
    <n v="0"/>
    <n v="1.9958936428320006E-4"/>
    <n v="1.9958936428320006E-4"/>
    <n v="0"/>
    <n v="1.9958936428320006E-4"/>
    <n v="26.736970698593641"/>
    <n v="26.736970698593641"/>
    <n v="0"/>
    <n v="26.736970698593641"/>
  </r>
  <r>
    <x v="9"/>
    <x v="10"/>
    <n v="0"/>
    <n v="1"/>
    <x v="2"/>
    <s v="Østdanmark"/>
    <n v="503.71416194271836"/>
    <n v="0"/>
    <n v="0"/>
    <m/>
    <m/>
    <n v="0"/>
    <n v="0"/>
    <n v="0"/>
    <n v="503.71416194271836"/>
    <n v="0"/>
    <n v="0"/>
    <n v="0"/>
    <n v="0"/>
    <n v="0"/>
    <n v="0"/>
    <n v="0"/>
    <n v="0"/>
    <n v="0"/>
    <n v="0"/>
  </r>
  <r>
    <x v="10"/>
    <x v="10"/>
    <n v="0"/>
    <n v="0"/>
    <x v="2"/>
    <s v="Østdanmark"/>
    <n v="25270.403131175186"/>
    <n v="0"/>
    <n v="0"/>
    <m/>
    <m/>
    <n v="0"/>
    <n v="0"/>
    <n v="0"/>
    <n v="25270.403131175186"/>
    <n v="0"/>
    <n v="0"/>
    <n v="0"/>
    <n v="0"/>
    <n v="0"/>
    <n v="0"/>
    <n v="0"/>
    <n v="0"/>
    <n v="0"/>
    <n v="0"/>
  </r>
  <r>
    <x v="11"/>
    <x v="10"/>
    <n v="0"/>
    <n v="1"/>
    <x v="2"/>
    <s v="Østdanmark"/>
    <n v="311625.91983903368"/>
    <n v="0"/>
    <n v="0"/>
    <m/>
    <m/>
    <n v="0"/>
    <n v="0"/>
    <n v="0"/>
    <n v="311625.91983903368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Østdanmark"/>
    <n v="11411284.658335894"/>
    <n v="137494.70167152316"/>
    <n v="0"/>
    <m/>
    <m/>
    <n v="0"/>
    <n v="0"/>
    <n v="1525578.4068414355"/>
    <n v="9748211.5498229358"/>
    <n v="9748211.5498229358"/>
    <n v="0"/>
    <n v="17.935490725230476"/>
    <n v="17.935490725230476"/>
    <n v="0"/>
    <n v="17.935490725230476"/>
    <n v="2729499.2339504221"/>
    <n v="2729499.2339504221"/>
    <n v="0"/>
    <n v="2729499.2339504221"/>
  </r>
  <r>
    <x v="14"/>
    <x v="10"/>
    <n v="0"/>
    <n v="0"/>
    <x v="2"/>
    <s v="Østdanmark"/>
    <n v="255033.06559799708"/>
    <n v="255033.06559799711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21386.43640273569"/>
    <n v="0"/>
    <n v="0"/>
    <m/>
    <m/>
    <n v="0"/>
    <n v="0"/>
    <n v="0"/>
    <n v="121386.43640273569"/>
    <n v="0"/>
    <n v="0"/>
    <n v="0"/>
    <n v="0"/>
    <n v="0"/>
    <n v="0"/>
    <n v="0"/>
    <n v="0"/>
    <n v="0"/>
    <n v="0"/>
  </r>
  <r>
    <x v="16"/>
    <x v="5"/>
    <n v="1"/>
    <n v="0"/>
    <x v="2"/>
    <s v="Østdanmark"/>
    <n v="284106.47368035599"/>
    <n v="8685.8888472677336"/>
    <n v="9665.8931514547894"/>
    <m/>
    <m/>
    <n v="0"/>
    <n v="265754.69168163347"/>
    <n v="0"/>
    <n v="0"/>
    <n v="0"/>
    <n v="265754.69168163347"/>
    <n v="0"/>
    <n v="2.746789026937726"/>
    <n v="0"/>
    <n v="2.746789026937726"/>
    <n v="0"/>
    <n v="225891.48792938844"/>
    <n v="0"/>
    <n v="225891.48792938844"/>
  </r>
  <r>
    <x v="17"/>
    <x v="1"/>
    <n v="1"/>
    <n v="0"/>
    <x v="2"/>
    <s v="Østdanmark"/>
    <n v="457927.02496060182"/>
    <n v="0"/>
    <n v="0"/>
    <m/>
    <m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Østdanmark"/>
    <n v="168748.58777288889"/>
    <n v="0"/>
    <n v="0"/>
    <m/>
    <m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</r>
  <r>
    <x v="20"/>
    <x v="10"/>
    <n v="0"/>
    <n v="0"/>
    <x v="2"/>
    <s v="Østdanmark"/>
    <n v="155582.5126734412"/>
    <n v="0"/>
    <n v="0"/>
    <m/>
    <m/>
    <n v="0"/>
    <n v="0"/>
    <n v="0"/>
    <n v="155582.5126734412"/>
    <n v="0"/>
    <n v="0"/>
    <n v="0"/>
    <n v="0"/>
    <n v="0"/>
    <n v="0"/>
    <n v="0"/>
    <n v="0"/>
    <n v="0"/>
    <n v="0"/>
  </r>
  <r>
    <x v="21"/>
    <x v="10"/>
    <n v="0"/>
    <n v="1"/>
    <x v="2"/>
    <s v="Østdanmark"/>
    <n v="940152.02486146183"/>
    <n v="0"/>
    <n v="0"/>
    <m/>
    <m/>
    <n v="0"/>
    <n v="0"/>
    <n v="0"/>
    <n v="940152.02486146183"/>
    <n v="0"/>
    <n v="0"/>
    <n v="0"/>
    <n v="0"/>
    <n v="0"/>
    <n v="0"/>
    <n v="0"/>
    <n v="0"/>
    <n v="0"/>
    <n v="0"/>
  </r>
  <r>
    <x v="22"/>
    <x v="5"/>
    <n v="1"/>
    <n v="1"/>
    <x v="2"/>
    <s v="Østdanmark"/>
    <n v="175478.49244816136"/>
    <n v="16515.993687659306"/>
    <n v="0"/>
    <m/>
    <m/>
    <n v="0"/>
    <n v="0"/>
    <n v="0"/>
    <n v="158962.49876050206"/>
    <n v="158962.49876050206"/>
    <n v="0"/>
    <n v="0.54442430350489313"/>
    <n v="0.54442430350489313"/>
    <n v="0"/>
    <n v="0.54442430350489313"/>
    <n v="49278.374615755638"/>
    <n v="49278.374615755638"/>
    <n v="0"/>
    <n v="49278.374615755638"/>
  </r>
  <r>
    <x v="23"/>
    <x v="10"/>
    <n v="0"/>
    <n v="0"/>
    <x v="2"/>
    <s v="Østdanmark"/>
    <n v="0"/>
    <n v="0"/>
    <n v="0"/>
    <m/>
    <m/>
    <n v="390323.36216618225"/>
    <n v="0"/>
    <n v="0"/>
    <n v="-390323.36216618225"/>
    <n v="0"/>
    <n v="0"/>
    <n v="0"/>
    <n v="0"/>
    <n v="0"/>
    <n v="0"/>
    <n v="0"/>
    <n v="0"/>
    <n v="0"/>
    <n v="0"/>
  </r>
  <r>
    <x v="24"/>
    <x v="2"/>
    <n v="1"/>
    <n v="0"/>
    <x v="2"/>
    <s v="Østdanmark"/>
    <n v="4885.9701831397151"/>
    <n v="0"/>
    <n v="0"/>
    <m/>
    <m/>
    <n v="488.59701831397138"/>
    <n v="0"/>
    <n v="0"/>
    <n v="4397.3731648257435"/>
    <n v="4397.3731648257435"/>
    <n v="0"/>
    <n v="2.2259063223031435E-3"/>
    <n v="2.2259063223031435E-3"/>
    <n v="0"/>
    <n v="2.2259063223031435E-3"/>
    <n v="334.20036052675653"/>
    <n v="334.20036052675653"/>
    <n v="0"/>
    <n v="334.20036052675653"/>
  </r>
  <r>
    <x v="25"/>
    <x v="10"/>
    <n v="0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26"/>
    <x v="4"/>
    <n v="1"/>
    <n v="1"/>
    <x v="2"/>
    <s v="Østdanmark"/>
    <n v="165265.0873457386"/>
    <n v="63394.503378227986"/>
    <n v="0"/>
    <m/>
    <m/>
    <n v="0"/>
    <n v="0"/>
    <n v="0"/>
    <n v="101870.58396751061"/>
    <n v="43926.582985718967"/>
    <n v="0"/>
    <n v="0.15769643291873112"/>
    <n v="0.15769643291873112"/>
    <n v="0"/>
    <n v="0.15769643291873112"/>
    <n v="13177.97489571569"/>
    <n v="13177.97489571569"/>
    <n v="0"/>
    <n v="13177.97489571569"/>
  </r>
  <r>
    <x v="27"/>
    <x v="10"/>
    <n v="0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278.2619831544028"/>
    <n v="0"/>
    <n v="0"/>
    <m/>
    <m/>
    <n v="0"/>
    <n v="0"/>
    <n v="0"/>
    <n v="278.2619831544028"/>
    <n v="0"/>
    <n v="0"/>
    <n v="0"/>
    <n v="0"/>
    <n v="0"/>
    <n v="0"/>
    <n v="0"/>
    <n v="0"/>
    <n v="0"/>
    <n v="0"/>
  </r>
  <r>
    <x v="30"/>
    <x v="10"/>
    <n v="0"/>
    <n v="1"/>
    <x v="2"/>
    <s v="Østdanmark"/>
    <n v="36484.853765615815"/>
    <n v="0"/>
    <n v="0"/>
    <m/>
    <m/>
    <n v="0"/>
    <n v="0"/>
    <n v="0"/>
    <n v="36484.853765615815"/>
    <n v="0"/>
    <n v="0"/>
    <n v="0"/>
    <n v="0"/>
    <n v="0"/>
    <n v="0"/>
    <n v="0"/>
    <n v="0"/>
    <n v="0"/>
    <n v="0"/>
  </r>
  <r>
    <x v="31"/>
    <x v="7"/>
    <n v="1"/>
    <n v="0"/>
    <x v="2"/>
    <s v="Østdanmark"/>
    <n v="529346.388560839"/>
    <n v="0"/>
    <n v="0"/>
    <m/>
    <m/>
    <n v="0"/>
    <n v="529346.388560839"/>
    <n v="0"/>
    <n v="0"/>
    <n v="0"/>
    <n v="529346.388560839"/>
    <n v="0"/>
    <n v="9.7399735495194353"/>
    <n v="0"/>
    <n v="9.7399735495194353"/>
    <n v="0"/>
    <n v="219678.75125274819"/>
    <n v="0"/>
    <n v="219678.75125274819"/>
  </r>
  <r>
    <x v="32"/>
    <x v="8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5"/>
    <x v="10"/>
    <n v="0"/>
    <n v="0"/>
    <x v="2"/>
    <s v="Østdanmark"/>
    <n v="267239.34351515555"/>
    <n v="0"/>
    <n v="0"/>
    <m/>
    <m/>
    <n v="0"/>
    <n v="0"/>
    <n v="267239.34351515555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33619.67175757777"/>
    <n v="2405.4779078760002"/>
    <n v="0"/>
    <m/>
    <m/>
    <n v="0"/>
    <n v="0"/>
    <n v="0"/>
    <n v="131214.19384970178"/>
    <n v="0"/>
    <n v="0"/>
    <n v="0"/>
    <n v="0"/>
    <n v="0"/>
    <n v="0"/>
    <n v="0"/>
    <n v="0"/>
    <n v="0"/>
    <n v="0"/>
  </r>
  <r>
    <x v="37"/>
    <x v="9"/>
    <n v="1"/>
    <n v="1"/>
    <x v="2"/>
    <s v="Østdanmark"/>
    <n v="85516.589924849774"/>
    <n v="0"/>
    <n v="0"/>
    <m/>
    <m/>
    <n v="0"/>
    <n v="85516.589924849774"/>
    <n v="0"/>
    <n v="0"/>
    <n v="0"/>
    <n v="85516.589924849774"/>
    <n v="0"/>
    <n v="2.9930806473697418"/>
    <n v="0"/>
    <n v="2.9930806473697418"/>
    <n v="0"/>
    <n v="0"/>
    <n v="0"/>
    <n v="0"/>
  </r>
  <r>
    <x v="38"/>
    <x v="4"/>
    <n v="1"/>
    <n v="1"/>
    <x v="2"/>
    <s v="Østdanmark"/>
    <n v="1106184.910345105"/>
    <n v="243986.22639057698"/>
    <n v="0"/>
    <m/>
    <m/>
    <n v="0"/>
    <n v="0"/>
    <n v="0"/>
    <n v="862198.68395452807"/>
    <n v="862198.68395452807"/>
    <n v="0"/>
    <n v="2.3400417161999472"/>
    <n v="2.3400417161999472"/>
    <n v="0"/>
    <n v="2.3400417161999472"/>
    <n v="172439.73679090562"/>
    <n v="172439.73679090562"/>
    <n v="0"/>
    <n v="172439.73679090562"/>
  </r>
  <r>
    <x v="39"/>
    <x v="10"/>
    <n v="0"/>
    <n v="0"/>
    <x v="2"/>
    <s v="Østdanmark"/>
    <n v="807.52489656472994"/>
    <n v="0"/>
    <n v="0"/>
    <m/>
    <m/>
    <n v="0"/>
    <n v="0"/>
    <n v="0"/>
    <n v="807.52489656472994"/>
    <n v="0"/>
    <n v="0"/>
    <n v="0"/>
    <n v="0"/>
    <n v="0"/>
    <n v="0"/>
    <n v="0"/>
    <n v="0"/>
    <n v="0"/>
    <n v="0"/>
  </r>
  <r>
    <x v="40"/>
    <x v="10"/>
    <n v="0"/>
    <n v="0"/>
    <x v="2"/>
    <s v="Østdanmark"/>
    <n v="650.65285036970454"/>
    <n v="594.50530988460082"/>
    <n v="0"/>
    <m/>
    <m/>
    <n v="0"/>
    <n v="0"/>
    <n v="0"/>
    <n v="56.14754048510371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1788.2152479719"/>
    <n v="0"/>
    <n v="0"/>
    <m/>
    <m/>
    <n v="0"/>
    <n v="0"/>
    <n v="0"/>
    <n v="3491788.2152479719"/>
    <n v="3491788.2152479719"/>
    <n v="0"/>
    <n v="1.7424372372908907"/>
    <n v="1.7424372372908907"/>
    <n v="0"/>
    <n v="1.7424372372908907"/>
    <n v="209507.29291487832"/>
    <n v="209507.29291487832"/>
    <n v="0"/>
    <n v="209507.29291487832"/>
  </r>
  <r>
    <x v="42"/>
    <x v="2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7095.888967518189"/>
    <n v="0"/>
    <n v="0"/>
    <m/>
    <m/>
    <n v="0"/>
    <n v="0"/>
    <n v="0"/>
    <n v="7095.888967518189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26992.95337647933"/>
    <n v="0"/>
    <n v="0"/>
    <m/>
    <m/>
    <n v="0"/>
    <n v="626992.95337647933"/>
    <n v="0"/>
    <n v="0"/>
    <n v="0"/>
    <n v="626992.95337647933"/>
    <n v="0"/>
    <n v="9.0873655700626106"/>
    <n v="0"/>
    <n v="9.0873655700626106"/>
    <n v="0"/>
    <n v="310100.26485745038"/>
    <n v="0"/>
    <n v="310100.26485745038"/>
  </r>
  <r>
    <x v="47"/>
    <x v="10"/>
    <n v="0"/>
    <n v="0"/>
    <x v="2"/>
    <s v="Østdanmark"/>
    <n v="185714.85587464209"/>
    <n v="0"/>
    <n v="0"/>
    <m/>
    <m/>
    <n v="0"/>
    <n v="0"/>
    <n v="185714.85587464209"/>
    <n v="0"/>
    <n v="0"/>
    <n v="0"/>
    <n v="0"/>
    <n v="0"/>
    <n v="0"/>
    <n v="0"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89639.1357645364"/>
    <n v="314874.94627501385"/>
    <n v="4.6298044973946864"/>
    <n v="1.1304010571272998"/>
    <n v="1.1304010571272998"/>
    <n v="0"/>
    <n v="386891.7407293609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137289.06413917695"/>
    <n v="0"/>
    <n v="0"/>
    <m/>
    <m/>
    <n v="0"/>
    <n v="0"/>
    <n v="0"/>
    <n v="137289.06413917695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481659.22850480652"/>
    <n v="40228.873469919861"/>
    <n v="0"/>
    <m/>
    <m/>
    <n v="0"/>
    <n v="0"/>
    <n v="0"/>
    <n v="441430.35503488668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m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249223758.90765765"/>
    <n v="0"/>
    <n v="0"/>
    <m/>
    <m/>
    <n v="0"/>
    <n v="249223758.90765765"/>
    <n v="0"/>
    <n v="0"/>
    <n v="0"/>
    <n v="249223758.90765765"/>
    <n v="0"/>
    <n v="0"/>
    <n v="0"/>
    <n v="0"/>
    <n v="0"/>
    <n v="0"/>
    <n v="0"/>
    <n v="0"/>
    <x v="0"/>
  </r>
  <r>
    <x v="4"/>
    <s v=""/>
    <n v="0"/>
    <n v="0"/>
    <x v="1"/>
    <s v="Vestdanmark"/>
    <n v="11346933.162854034"/>
    <n v="0"/>
    <n v="0"/>
    <m/>
    <m/>
    <n v="8903736.5766237658"/>
    <n v="0"/>
    <n v="0"/>
    <n v="2443196.5862302687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14684775.031360051"/>
    <n v="0"/>
    <n v="0"/>
    <m/>
    <m/>
    <n v="0"/>
    <n v="0"/>
    <n v="0"/>
    <n v="14684775.031360051"/>
    <n v="14684775.031360051"/>
    <n v="0"/>
    <n v="8.3413351517980026"/>
    <n v="8.3413351517980026"/>
    <n v="0"/>
    <n v="8.3413351517980026"/>
    <n v="627970.72587502829"/>
    <n v="627970.72587502829"/>
    <n v="0"/>
    <n v="627970.72587502829"/>
    <x v="0"/>
  </r>
  <r>
    <x v="6"/>
    <s v="Husdyrgødning"/>
    <n v="1"/>
    <n v="0"/>
    <x v="1"/>
    <s v="Vestdanmark"/>
    <n v="2502699.3699625214"/>
    <n v="0"/>
    <n v="0"/>
    <m/>
    <m/>
    <n v="236862.61894288147"/>
    <n v="0"/>
    <n v="0"/>
    <n v="2265836.7510196399"/>
    <n v="2265836.7510196399"/>
    <n v="0"/>
    <n v="4.8806123616963042"/>
    <n v="4.8806123616963042"/>
    <n v="0"/>
    <n v="4.8806123616963042"/>
    <n v="679751.02530589199"/>
    <n v="679751.02530589199"/>
    <n v="0"/>
    <n v="679751.02530589199"/>
    <x v="0"/>
  </r>
  <r>
    <x v="7"/>
    <s v=""/>
    <n v="0"/>
    <n v="0"/>
    <x v="1"/>
    <s v="Vestdanmark"/>
    <n v="10343047.24970635"/>
    <n v="0"/>
    <n v="0"/>
    <m/>
    <m/>
    <n v="0"/>
    <n v="0"/>
    <n v="0"/>
    <n v="10343047.24970635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084.5006505504907"/>
    <n v="0"/>
    <n v="0"/>
    <m/>
    <m/>
    <n v="2021.1251626376227"/>
    <n v="0"/>
    <n v="0"/>
    <n v="6063.3754879128683"/>
    <n v="6063.3754879128683"/>
    <n v="0"/>
    <n v="2.8515448582105427E-3"/>
    <n v="2.8515448582105427E-3"/>
    <n v="0"/>
    <n v="2.8515448582105427E-3"/>
    <n v="381.99265573851068"/>
    <n v="381.99265573851068"/>
    <n v="0"/>
    <n v="381.99265573851068"/>
    <x v="0"/>
  </r>
  <r>
    <x v="9"/>
    <s v=""/>
    <n v="0"/>
    <n v="1"/>
    <x v="1"/>
    <s v="Vestdanmark"/>
    <n v="98611.398262488423"/>
    <n v="0"/>
    <n v="0"/>
    <m/>
    <m/>
    <n v="0"/>
    <n v="0"/>
    <n v="0"/>
    <n v="98611.398262488423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664815.58983177762"/>
    <n v="0"/>
    <n v="0"/>
    <m/>
    <m/>
    <n v="0"/>
    <n v="0"/>
    <n v="0"/>
    <n v="664815.58983177762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430871.84710127779"/>
    <n v="0"/>
    <n v="0"/>
    <m/>
    <m/>
    <n v="0"/>
    <n v="0"/>
    <n v="0"/>
    <n v="430871.84710127779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Vestdanmark"/>
    <n v="21414098.756239291"/>
    <n v="7632870.0065635424"/>
    <n v="0"/>
    <m/>
    <m/>
    <n v="0"/>
    <n v="0"/>
    <n v="30051588.08806663"/>
    <n v="-16270359.338390883"/>
    <n v="0"/>
    <n v="0"/>
    <n v="0"/>
    <n v="0"/>
    <n v="0"/>
    <n v="0"/>
    <n v="0"/>
    <n v="0"/>
    <n v="0"/>
    <n v="0"/>
    <x v="1"/>
  </r>
  <r>
    <x v="14"/>
    <s v=""/>
    <n v="0"/>
    <n v="0"/>
    <x v="1"/>
    <s v="Vestdanmark"/>
    <n v="5023765.8070002273"/>
    <n v="5023765.8070002273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281423.99402613594"/>
    <n v="0"/>
    <n v="0"/>
    <m/>
    <m/>
    <n v="0"/>
    <n v="0"/>
    <n v="0"/>
    <n v="281423.99402613594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1977104.2150518387"/>
    <n v="482187.74728528946"/>
    <n v="479636.33491702302"/>
    <m/>
    <m/>
    <n v="0"/>
    <n v="1015280.1328495261"/>
    <n v="0"/>
    <n v="0"/>
    <n v="0"/>
    <n v="1015280.1328495261"/>
    <n v="0"/>
    <n v="10.493738833103313"/>
    <n v="0"/>
    <n v="10.493738833103313"/>
    <n v="0"/>
    <n v="862988.11292209721"/>
    <n v="0"/>
    <n v="862988.11292209721"/>
    <x v="0"/>
  </r>
  <r>
    <x v="17"/>
    <s v="Bionedbrydeligt affald"/>
    <n v="1"/>
    <n v="0"/>
    <x v="1"/>
    <s v="Vestdanmark"/>
    <n v="526734.10986839118"/>
    <n v="0"/>
    <n v="0"/>
    <m/>
    <m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n v="1"/>
    <x v="1"/>
    <s v="Vestdanmark"/>
    <n v="0"/>
    <n v="1942953.6559396777"/>
    <n v="0"/>
    <m/>
    <m/>
    <n v="0"/>
    <n v="0"/>
    <n v="0"/>
    <n v="-1942953.6559396777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05778.5574192928"/>
    <n v="0"/>
    <n v="0"/>
    <m/>
    <m/>
    <n v="0"/>
    <n v="0"/>
    <n v="0"/>
    <n v="405778.5574192928"/>
    <n v="405778.5574192928"/>
    <n v="0"/>
    <n v="1.7582912405102604"/>
    <n v="1.7582912405102604"/>
    <n v="0"/>
    <n v="1.7582912405102604"/>
    <n v="170426.99411610299"/>
    <n v="170426.99411610299"/>
    <n v="0"/>
    <n v="170426.99411610299"/>
    <x v="0"/>
  </r>
  <r>
    <x v="20"/>
    <s v=""/>
    <n v="0"/>
    <n v="0"/>
    <x v="1"/>
    <s v="Vestdanmark"/>
    <n v="603118.80667157366"/>
    <n v="0"/>
    <n v="0"/>
    <m/>
    <m/>
    <n v="0"/>
    <n v="0"/>
    <n v="0"/>
    <n v="603118.80667157366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242614.2909873207"/>
    <n v="0"/>
    <n v="0"/>
    <m/>
    <m/>
    <n v="0"/>
    <n v="0"/>
    <n v="0"/>
    <n v="2242614.2909873207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220540.2072265251"/>
    <n v="2691129.5009707427"/>
    <n v="0"/>
    <m/>
    <m/>
    <n v="0"/>
    <n v="0"/>
    <n v="0"/>
    <n v="1529410.7062557824"/>
    <n v="1529410.7062557824"/>
    <n v="0"/>
    <n v="5.2380175514271796"/>
    <n v="5.2380175514271796"/>
    <n v="0"/>
    <n v="5.2380175514271796"/>
    <n v="474117.31893929251"/>
    <n v="474117.31893929251"/>
    <n v="0"/>
    <n v="474117.31893929251"/>
    <x v="0"/>
  </r>
  <r>
    <x v="23"/>
    <s v=""/>
    <n v="0"/>
    <n v="0"/>
    <x v="1"/>
    <s v="Vestdanmark"/>
    <n v="0"/>
    <n v="0"/>
    <n v="0"/>
    <m/>
    <m/>
    <n v="995222.8905503545"/>
    <n v="0"/>
    <n v="0"/>
    <n v="-995222.8905503545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5203199.1539231511"/>
    <n v="0"/>
    <n v="0"/>
    <m/>
    <m/>
    <n v="1300799.7884807878"/>
    <n v="0"/>
    <n v="0"/>
    <n v="3902399.3654423635"/>
    <n v="3902399.3654423635"/>
    <n v="0"/>
    <n v="1.9753555347932703"/>
    <n v="1.9753555347932703"/>
    <n v="0"/>
    <n v="1.9753555347932703"/>
    <n v="296582.35177361959"/>
    <n v="296582.35177361959"/>
    <n v="0"/>
    <n v="296582.35177361959"/>
    <x v="0"/>
  </r>
  <r>
    <x v="25"/>
    <s v=""/>
    <n v="0"/>
    <n v="0"/>
    <x v="1"/>
    <s v="Vestdanmark"/>
    <n v="608682.64604356373"/>
    <n v="609921.6300278171"/>
    <n v="0"/>
    <m/>
    <m/>
    <n v="0"/>
    <n v="0"/>
    <n v="0"/>
    <n v="-1238.9839842533693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Vestdanmark"/>
    <n v="3841740.8343041693"/>
    <n v="3525167.7695113979"/>
    <n v="0"/>
    <m/>
    <m/>
    <n v="0"/>
    <n v="0"/>
    <n v="0"/>
    <n v="316573.06479277136"/>
    <n v="316573.06479277136"/>
    <n v="0"/>
    <n v="1.1364973026060492"/>
    <n v="1.1364973026060492"/>
    <n v="0"/>
    <n v="1.1364973026060492"/>
    <n v="94971.919437831399"/>
    <n v="94971.919437831399"/>
    <n v="0"/>
    <n v="94971.919437831399"/>
    <x v="0"/>
  </r>
  <r>
    <x v="27"/>
    <s v=""/>
    <n v="0"/>
    <n v="1"/>
    <x v="1"/>
    <s v="Vestdanmark"/>
    <n v="1174441.6070577153"/>
    <n v="0"/>
    <n v="0"/>
    <m/>
    <m/>
    <n v="0"/>
    <n v="0"/>
    <n v="0"/>
    <n v="1174441.6070577153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67205.8563118069"/>
    <n v="0"/>
    <n v="0"/>
    <m/>
    <m/>
    <n v="0"/>
    <n v="0"/>
    <n v="0"/>
    <n v="67205.8563118069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918139.94844972179"/>
    <n v="0"/>
    <n v="0"/>
    <m/>
    <m/>
    <n v="0"/>
    <n v="0"/>
    <n v="0"/>
    <n v="918139.94844972179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792652.16456581966"/>
    <n v="0"/>
    <n v="0"/>
    <m/>
    <m/>
    <n v="0"/>
    <n v="792652.16456581966"/>
    <n v="0"/>
    <n v="0"/>
    <n v="0"/>
    <n v="792652.16456581966"/>
    <n v="0"/>
    <n v="14.584799828011079"/>
    <n v="0"/>
    <n v="14.584799828011079"/>
    <n v="0"/>
    <n v="328950.64829481521"/>
    <n v="0"/>
    <n v="328950.64829481521"/>
    <x v="0"/>
  </r>
  <r>
    <x v="32"/>
    <s v="Pyrolyseprodukter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1828845.3877961836"/>
    <n v="0"/>
    <n v="0"/>
    <m/>
    <m/>
    <n v="0"/>
    <n v="0"/>
    <n v="0"/>
    <n v="1828845.387796183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647982.39082629455"/>
    <n v="0"/>
    <n v="0"/>
    <m/>
    <m/>
    <n v="0"/>
    <n v="0"/>
    <n v="647982.39082629455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323991.19541314727"/>
    <n v="133537.51054598394"/>
    <n v="0"/>
    <m/>
    <m/>
    <n v="0"/>
    <n v="0"/>
    <n v="0"/>
    <n v="190453.68486716333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07354.36506441425"/>
    <n v="0"/>
    <n v="0"/>
    <m/>
    <m/>
    <n v="0"/>
    <n v="207354.36506441425"/>
    <n v="0"/>
    <n v="0"/>
    <n v="0"/>
    <n v="207354.36506441425"/>
    <n v="0"/>
    <n v="7.257402777254498"/>
    <n v="0"/>
    <n v="7.257402777254498"/>
    <n v="0"/>
    <n v="0"/>
    <n v="0"/>
    <n v="0"/>
    <x v="0"/>
  </r>
  <r>
    <x v="38"/>
    <s v="Græs og urter"/>
    <n v="1"/>
    <n v="1"/>
    <x v="1"/>
    <s v="Vestdanmark"/>
    <n v="2550745.2722111917"/>
    <n v="5144644.6526032425"/>
    <n v="0"/>
    <m/>
    <m/>
    <n v="0"/>
    <n v="0"/>
    <n v="0"/>
    <n v="-2593899.3803920508"/>
    <n v="0"/>
    <n v="0"/>
    <n v="0"/>
    <n v="0"/>
    <n v="0"/>
    <n v="0"/>
    <n v="0"/>
    <n v="0"/>
    <n v="0"/>
    <n v="0"/>
    <x v="1"/>
  </r>
  <r>
    <x v="39"/>
    <s v=""/>
    <n v="0"/>
    <n v="0"/>
    <x v="1"/>
    <s v="Vestdanmark"/>
    <n v="108671.64339484723"/>
    <n v="0"/>
    <n v="0"/>
    <m/>
    <m/>
    <n v="0"/>
    <n v="0"/>
    <n v="0"/>
    <n v="108671.64339484723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69619.838788847192"/>
    <n v="27571.701941246847"/>
    <n v="0"/>
    <m/>
    <m/>
    <n v="0"/>
    <n v="0"/>
    <n v="0"/>
    <n v="42048.136847600341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897871.3438154077"/>
    <n v="0"/>
    <n v="0"/>
    <m/>
    <m/>
    <n v="0"/>
    <n v="0"/>
    <n v="0"/>
    <n v="3897871.3438154077"/>
    <n v="3897871.3438154077"/>
    <n v="0"/>
    <n v="1.9450767792773269"/>
    <n v="1.9450767792773269"/>
    <n v="0"/>
    <n v="1.9450767792773269"/>
    <n v="233872.28062892446"/>
    <n v="233872.28062892446"/>
    <n v="0"/>
    <n v="233872.28062892446"/>
    <x v="0"/>
  </r>
  <r>
    <x v="42"/>
    <s v="Husdyrgødning"/>
    <n v="1"/>
    <n v="0"/>
    <x v="1"/>
    <s v="Vestdanmark"/>
    <n v="6772351.9428086244"/>
    <n v="0"/>
    <n v="0"/>
    <m/>
    <m/>
    <n v="1693087.9857021561"/>
    <n v="0"/>
    <n v="0"/>
    <n v="5079263.9571064683"/>
    <n v="5079263.9571064683"/>
    <n v="0"/>
    <n v="2.188146912721467"/>
    <n v="2.188146912721467"/>
    <n v="0"/>
    <n v="2.188146912721467"/>
    <n v="253963.19785532344"/>
    <n v="253963.19785532344"/>
    <n v="0"/>
    <n v="253963.19785532344"/>
    <x v="0"/>
  </r>
  <r>
    <x v="43"/>
    <s v=""/>
    <n v="0"/>
    <n v="1"/>
    <x v="1"/>
    <s v="Vestdanmark"/>
    <n v="732389.99616601155"/>
    <n v="0"/>
    <n v="0"/>
    <m/>
    <m/>
    <n v="0"/>
    <n v="0"/>
    <n v="0"/>
    <n v="732389.99616601155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5801.6184005174"/>
    <n v="0"/>
    <n v="0"/>
    <m/>
    <m/>
    <n v="0"/>
    <n v="2215801.6184005174"/>
    <n v="0"/>
    <n v="0"/>
    <n v="0"/>
    <n v="2215801.6184005174"/>
    <n v="0"/>
    <n v="32.114873426737361"/>
    <n v="0"/>
    <n v="32.114873426737361"/>
    <n v="0"/>
    <n v="1095898.5504339226"/>
    <n v="0"/>
    <n v="1095898.5504339226"/>
    <x v="0"/>
  </r>
  <r>
    <x v="47"/>
    <s v=""/>
    <n v="0"/>
    <n v="0"/>
    <x v="1"/>
    <s v="Vestdanmark"/>
    <n v="613452.88379897492"/>
    <n v="0"/>
    <n v="0"/>
    <m/>
    <m/>
    <n v="0"/>
    <n v="0"/>
    <n v="613452.88379897492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38948.680417674739"/>
    <n v="0"/>
    <n v="0"/>
    <m/>
    <m/>
    <n v="0"/>
    <n v="0"/>
    <n v="0"/>
    <n v="38948.680417674739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675379.18690925464"/>
    <n v="5403.1676876681813"/>
    <n v="0"/>
    <m/>
    <m/>
    <n v="0"/>
    <n v="0"/>
    <n v="0"/>
    <n v="669976.01922158641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m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53132231.072586313"/>
    <n v="0"/>
    <n v="0"/>
    <m/>
    <m/>
    <n v="0"/>
    <n v="53132231.072586313"/>
    <n v="0"/>
    <n v="0"/>
    <n v="0"/>
    <n v="53132231.072586313"/>
    <n v="0"/>
    <n v="0"/>
    <n v="0"/>
    <n v="0"/>
    <n v="0"/>
    <n v="0"/>
    <n v="0"/>
    <n v="0"/>
    <x v="0"/>
  </r>
  <r>
    <x v="4"/>
    <s v=""/>
    <n v="0"/>
    <n v="0"/>
    <x v="2"/>
    <s v="Vestdanmark"/>
    <n v="1933341.8038107518"/>
    <n v="0"/>
    <n v="0"/>
    <m/>
    <m/>
    <n v="47604.725505662638"/>
    <n v="0"/>
    <n v="0"/>
    <n v="1885737.0783050891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5558362.6844374826"/>
    <n v="0"/>
    <n v="0"/>
    <m/>
    <m/>
    <n v="0"/>
    <n v="0"/>
    <n v="0"/>
    <n v="5558362.6844374826"/>
    <n v="5558362.6844374826"/>
    <n v="0"/>
    <n v="3.1572949498462015"/>
    <n v="3.1572949498462015"/>
    <n v="0"/>
    <n v="3.1572949498462015"/>
    <n v="237694.41766515101"/>
    <n v="237694.41766515101"/>
    <n v="0"/>
    <n v="237694.41766515101"/>
    <x v="0"/>
  </r>
  <r>
    <x v="6"/>
    <s v="Husdyrgødning"/>
    <n v="1"/>
    <n v="0"/>
    <x v="2"/>
    <s v="Vestdanmark"/>
    <n v="575834.83314211352"/>
    <n v="0"/>
    <n v="0"/>
    <m/>
    <m/>
    <n v="21799.461540380005"/>
    <n v="0"/>
    <n v="0"/>
    <n v="554035.3716017335"/>
    <n v="554035.3716017335"/>
    <n v="0"/>
    <n v="1.1933921904301339"/>
    <n v="1.1933921904301339"/>
    <n v="0"/>
    <n v="1.1933921904301339"/>
    <n v="166210.61148052005"/>
    <n v="166210.61148052005"/>
    <n v="0"/>
    <n v="166210.61148052005"/>
    <x v="0"/>
  </r>
  <r>
    <x v="7"/>
    <s v=""/>
    <n v="0"/>
    <n v="0"/>
    <x v="2"/>
    <s v="Vestdanmark"/>
    <n v="3914966.8791907234"/>
    <n v="0"/>
    <n v="0"/>
    <m/>
    <m/>
    <n v="0"/>
    <n v="0"/>
    <n v="0"/>
    <n v="3914966.8791907234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5618.4151705662098"/>
    <n v="0"/>
    <n v="0"/>
    <m/>
    <m/>
    <n v="561.84151705662089"/>
    <n v="0"/>
    <n v="0"/>
    <n v="5056.5736535095893"/>
    <n v="5056.5736535095893"/>
    <n v="0"/>
    <n v="2.3780560235090249E-3"/>
    <n v="2.3780560235090249E-3"/>
    <n v="0"/>
    <n v="2.3780560235090249E-3"/>
    <n v="318.56414017110416"/>
    <n v="318.56414017110416"/>
    <n v="0"/>
    <n v="318.56414017110416"/>
    <x v="0"/>
  </r>
  <r>
    <x v="9"/>
    <s v=""/>
    <n v="0"/>
    <n v="1"/>
    <x v="2"/>
    <s v="Vestdanmark"/>
    <n v="6001.6248923716248"/>
    <n v="0"/>
    <n v="0"/>
    <m/>
    <m/>
    <n v="0"/>
    <n v="0"/>
    <n v="0"/>
    <n v="6001.6248923716248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63416.052113342856"/>
    <n v="0"/>
    <n v="0"/>
    <m/>
    <m/>
    <n v="0"/>
    <n v="0"/>
    <n v="0"/>
    <n v="63416.052113342856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782024.94316368026"/>
    <n v="0"/>
    <n v="0"/>
    <m/>
    <m/>
    <n v="0"/>
    <n v="0"/>
    <n v="0"/>
    <n v="782024.94316368026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Vestdanmark"/>
    <n v="28845032.2708226"/>
    <n v="1025176.0247393751"/>
    <n v="0"/>
    <m/>
    <m/>
    <n v="0"/>
    <n v="0"/>
    <n v="11374884.904949415"/>
    <n v="16444971.341133809"/>
    <n v="16444971.341133809"/>
    <n v="0"/>
    <n v="30.256691646268568"/>
    <n v="30.256691646268568"/>
    <n v="0"/>
    <n v="30.256691646268568"/>
    <n v="4604591.9755174667"/>
    <n v="4604591.9755174667"/>
    <n v="0"/>
    <n v="4604591.9755174667"/>
    <x v="0"/>
  </r>
  <r>
    <x v="14"/>
    <s v=""/>
    <n v="0"/>
    <n v="0"/>
    <x v="2"/>
    <s v="Vestdanmark"/>
    <n v="1901555.3413212083"/>
    <n v="1901555.3413212085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304619.14425386849"/>
    <n v="0"/>
    <n v="0"/>
    <m/>
    <m/>
    <n v="0"/>
    <n v="0"/>
    <n v="0"/>
    <n v="304619.14425386849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712964.91975724418"/>
    <n v="64762.968256356122"/>
    <n v="70290.546378545216"/>
    <m/>
    <m/>
    <n v="0"/>
    <n v="577911.40512234275"/>
    <n v="0"/>
    <n v="0"/>
    <n v="0"/>
    <n v="577911.40512234275"/>
    <n v="0"/>
    <n v="5.9731803645215589"/>
    <n v="0"/>
    <n v="5.9731803645215589"/>
    <n v="0"/>
    <n v="491224.6943539913"/>
    <n v="0"/>
    <n v="491224.6943539913"/>
    <x v="0"/>
  </r>
  <r>
    <x v="17"/>
    <s v="Bionedbrydeligt affald"/>
    <n v="1"/>
    <n v="0"/>
    <x v="2"/>
    <s v="Vestdanmark"/>
    <n v="524881.97503939818"/>
    <n v="0"/>
    <n v="0"/>
    <m/>
    <m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n v="1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Vestdanmark"/>
    <n v="217306.9698136746"/>
    <n v="0"/>
    <n v="0"/>
    <m/>
    <m/>
    <n v="0"/>
    <n v="0"/>
    <n v="0"/>
    <n v="217306.9698136746"/>
    <n v="217306.9698136746"/>
    <n v="0"/>
    <n v="0.94161935010872788"/>
    <n v="0.94161935010872788"/>
    <n v="0"/>
    <n v="0.94161935010872788"/>
    <n v="91268.927321743322"/>
    <n v="91268.927321743322"/>
    <n v="0"/>
    <n v="91268.927321743322"/>
    <x v="0"/>
  </r>
  <r>
    <x v="20"/>
    <s v=""/>
    <n v="0"/>
    <n v="0"/>
    <x v="2"/>
    <s v="Vestdanmark"/>
    <n v="390434.16444163944"/>
    <n v="0"/>
    <n v="0"/>
    <m/>
    <m/>
    <n v="0"/>
    <n v="0"/>
    <n v="0"/>
    <n v="390434.16444163944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359310.5932499878"/>
    <n v="0"/>
    <n v="0"/>
    <m/>
    <m/>
    <n v="0"/>
    <n v="0"/>
    <n v="0"/>
    <n v="2359310.5932499878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440363.1063619653"/>
    <n v="123145.11430255328"/>
    <n v="0"/>
    <m/>
    <m/>
    <n v="0"/>
    <n v="0"/>
    <n v="0"/>
    <n v="317217.992059412"/>
    <n v="317217.992059412"/>
    <n v="0"/>
    <n v="1.0864272122845979"/>
    <n v="1.0864272122845979"/>
    <n v="0"/>
    <n v="1.0864272122845979"/>
    <n v="98337.577538417725"/>
    <n v="98337.577538417725"/>
    <n v="0"/>
    <n v="98337.577538417725"/>
    <x v="0"/>
  </r>
  <r>
    <x v="23"/>
    <s v=""/>
    <n v="0"/>
    <n v="0"/>
    <x v="2"/>
    <s v="Vestdanmark"/>
    <n v="0"/>
    <n v="0"/>
    <n v="0"/>
    <m/>
    <m/>
    <n v="982391.24658337084"/>
    <n v="0"/>
    <n v="0"/>
    <n v="-982391.24658337084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68744.822418311582"/>
    <n v="0"/>
    <n v="0"/>
    <m/>
    <m/>
    <n v="6874.4822418311569"/>
    <n v="0"/>
    <n v="0"/>
    <n v="61870.340176480422"/>
    <n v="61870.340176480422"/>
    <n v="0"/>
    <n v="3.1318147493932628E-2"/>
    <n v="3.1318147493932628E-2"/>
    <n v="0"/>
    <n v="3.1318147493932628E-2"/>
    <n v="4702.1458534125122"/>
    <n v="4702.1458534125122"/>
    <n v="0"/>
    <n v="4702.1458534125122"/>
    <x v="0"/>
  </r>
  <r>
    <x v="25"/>
    <s v=""/>
    <n v="0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414732.57617739204"/>
    <n v="472676.57715918368"/>
    <n v="0"/>
    <m/>
    <m/>
    <n v="0"/>
    <n v="0"/>
    <n v="0"/>
    <n v="-57944.000981791643"/>
    <n v="0"/>
    <n v="0"/>
    <n v="0"/>
    <n v="0"/>
    <n v="0"/>
    <n v="0"/>
    <n v="0"/>
    <n v="0"/>
    <n v="0"/>
    <n v="0"/>
    <x v="0"/>
  </r>
  <r>
    <x v="27"/>
    <s v=""/>
    <n v="0"/>
    <n v="1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3915.1017916004403"/>
    <n v="0"/>
    <n v="0"/>
    <m/>
    <m/>
    <n v="0"/>
    <n v="0"/>
    <n v="0"/>
    <n v="3915.1017916004403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91558.70508823132"/>
    <n v="0"/>
    <n v="0"/>
    <m/>
    <m/>
    <n v="0"/>
    <n v="0"/>
    <n v="0"/>
    <n v="91558.70508823132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328394.2479560631"/>
    <n v="0"/>
    <n v="0"/>
    <m/>
    <m/>
    <n v="0"/>
    <n v="1328394.2479560631"/>
    <n v="0"/>
    <n v="0"/>
    <n v="0"/>
    <n v="1328394.2479560631"/>
    <n v="0"/>
    <n v="24.442454162391556"/>
    <n v="0"/>
    <n v="24.442454162391556"/>
    <n v="0"/>
    <n v="551283.6129017662"/>
    <n v="0"/>
    <n v="551283.6129017662"/>
    <x v="0"/>
  </r>
  <r>
    <x v="32"/>
    <s v="Pyrolyseprodukter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670636.87299018225"/>
    <n v="0"/>
    <n v="0"/>
    <m/>
    <m/>
    <n v="0"/>
    <n v="0"/>
    <n v="670636.87299018225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335318.43649509113"/>
    <n v="17935.514963231879"/>
    <n v="0"/>
    <m/>
    <m/>
    <n v="0"/>
    <n v="0"/>
    <n v="0"/>
    <n v="317382.92153185926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214603.79935685833"/>
    <n v="0"/>
    <n v="0"/>
    <m/>
    <m/>
    <n v="0"/>
    <n v="214603.79935685833"/>
    <n v="0"/>
    <n v="0"/>
    <n v="0"/>
    <n v="214603.79935685833"/>
    <n v="0"/>
    <n v="7.5111329774900408"/>
    <n v="0"/>
    <n v="7.5111329774900408"/>
    <n v="0"/>
    <n v="0"/>
    <n v="0"/>
    <n v="0"/>
    <x v="0"/>
  </r>
  <r>
    <x v="38"/>
    <s v="Græs og urter"/>
    <n v="1"/>
    <n v="1"/>
    <x v="2"/>
    <s v="Vestdanmark"/>
    <n v="2775969.9581087129"/>
    <n v="1819188.8605265266"/>
    <n v="0"/>
    <m/>
    <m/>
    <n v="0"/>
    <n v="0"/>
    <n v="0"/>
    <n v="956781.09758218634"/>
    <n v="956781.09758218634"/>
    <n v="0"/>
    <n v="2.5967421700819568"/>
    <n v="2.5967421700819568"/>
    <n v="0"/>
    <n v="2.5967421700819568"/>
    <n v="191356.21951643727"/>
    <n v="191356.21951643727"/>
    <n v="0"/>
    <n v="191356.21951643727"/>
    <x v="0"/>
  </r>
  <r>
    <x v="39"/>
    <s v=""/>
    <n v="0"/>
    <n v="0"/>
    <x v="2"/>
    <s v="Vestdanmark"/>
    <n v="6885.6435501498472"/>
    <n v="0"/>
    <n v="0"/>
    <m/>
    <m/>
    <n v="0"/>
    <n v="0"/>
    <n v="0"/>
    <n v="6885.6435501498472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4618.1462568237339"/>
    <n v="4432.6987357664457"/>
    <n v="0"/>
    <m/>
    <m/>
    <n v="0"/>
    <n v="0"/>
    <n v="0"/>
    <n v="185.44752105728821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002333.5486616795"/>
    <n v="0"/>
    <n v="0"/>
    <m/>
    <m/>
    <n v="0"/>
    <n v="0"/>
    <n v="0"/>
    <n v="4002333.5486616795"/>
    <n v="4002333.5486616795"/>
    <n v="0"/>
    <n v="1.9972044641176649"/>
    <n v="1.9972044641176649"/>
    <n v="0"/>
    <n v="1.9972044641176649"/>
    <n v="240140.01291970076"/>
    <n v="240140.01291970076"/>
    <n v="0"/>
    <n v="240140.01291970076"/>
    <x v="0"/>
  </r>
  <r>
    <x v="42"/>
    <s v="Husdyrgødning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48971.913359549246"/>
    <n v="0"/>
    <n v="0"/>
    <m/>
    <m/>
    <n v="0"/>
    <n v="0"/>
    <n v="0"/>
    <n v="48971.913359549246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249732.4484132435"/>
    <n v="0"/>
    <n v="0"/>
    <m/>
    <m/>
    <n v="0"/>
    <n v="2249732.4484132435"/>
    <n v="0"/>
    <n v="0"/>
    <n v="0"/>
    <n v="2249732.4484132435"/>
    <n v="0"/>
    <n v="32.606652249387302"/>
    <n v="0"/>
    <n v="32.606652249387302"/>
    <n v="0"/>
    <n v="1112680.1734443833"/>
    <n v="0"/>
    <n v="1112680.1734443833"/>
    <x v="0"/>
  </r>
  <r>
    <x v="47"/>
    <s v=""/>
    <n v="0"/>
    <n v="0"/>
    <x v="2"/>
    <s v="Vestdanmark"/>
    <n v="697041.55294512468"/>
    <n v="0"/>
    <n v="0"/>
    <m/>
    <m/>
    <n v="0"/>
    <n v="0"/>
    <n v="697041.55294512468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m/>
    <m/>
    <n v="0"/>
    <n v="0"/>
    <n v="0"/>
    <n v="18450.007031483605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m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m/>
    <n v="0"/>
    <n v="0"/>
    <n v="0"/>
    <n v="165083.0224523381"/>
    <n v="0"/>
    <n v="0"/>
    <n v="0"/>
    <n v="0"/>
    <n v="0"/>
    <n v="0"/>
    <n v="0"/>
    <n v="0"/>
    <n v="0"/>
    <n v="0"/>
    <x v="1"/>
  </r>
  <r>
    <x v="3"/>
    <m/>
    <n v="1"/>
    <n v="0"/>
    <x v="0"/>
    <s v="Østdanmark"/>
    <n v="110817068.59908372"/>
    <n v="0"/>
    <n v="0"/>
    <m/>
    <m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m/>
    <m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m/>
    <m/>
    <n v="93457.017927737121"/>
    <n v="0"/>
    <n v="0"/>
    <n v="239302.90504806853"/>
    <n v="239302.90504806853"/>
    <n v="0"/>
    <n v="0.51545845747353958"/>
    <n v="0"/>
    <n v="0"/>
    <n v="0"/>
    <n v="71790.871514420549"/>
    <n v="0"/>
    <n v="0"/>
    <n v="0"/>
    <x v="0"/>
  </r>
  <r>
    <x v="7"/>
    <m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m/>
    <m/>
    <n v="337.693821952441"/>
    <n v="0"/>
    <n v="0"/>
    <n v="337.693821952441"/>
    <n v="337.693821952441"/>
    <n v="0"/>
    <n v="1.5881402752601349E-4"/>
    <n v="0"/>
    <n v="0"/>
    <n v="0"/>
    <n v="21.274710783003783"/>
    <n v="0"/>
    <n v="0"/>
    <n v="0"/>
    <x v="0"/>
  </r>
  <r>
    <x v="9"/>
    <m/>
    <n v="0"/>
    <n v="1"/>
    <x v="0"/>
    <s v="Østdanmark"/>
    <n v="15969.006082579654"/>
    <n v="0"/>
    <n v="0"/>
    <m/>
    <m/>
    <n v="0"/>
    <n v="0"/>
    <n v="0"/>
    <n v="15969.006082579654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m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m/>
    <n v="0"/>
    <n v="0"/>
    <n v="0"/>
    <n v="15780.226177538038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0"/>
    <s v="Østdanmark"/>
    <n v="2148848.2010935447"/>
    <n v="1502068.0760117143"/>
    <n v="0"/>
    <m/>
    <m/>
    <n v="0"/>
    <n v="0"/>
    <n v="0"/>
    <n v="646780.12508183043"/>
    <n v="646780.12508183043"/>
    <n v="0"/>
    <n v="1.1899945826349327"/>
    <n v="0"/>
    <n v="0"/>
    <n v="0"/>
    <n v="181098.43502291254"/>
    <n v="0"/>
    <n v="0"/>
    <n v="0"/>
    <x v="0"/>
  </r>
  <r>
    <x v="14"/>
    <m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m/>
    <m/>
    <n v="0"/>
    <n v="0"/>
    <n v="0"/>
    <n v="95299.46904386401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m/>
    <n v="0"/>
    <n v="732655.58820898295"/>
    <n v="0"/>
    <n v="22739.095393183758"/>
    <n v="22739.095393183758"/>
    <n v="732655.58820898295"/>
    <n v="0.23502688631104973"/>
    <n v="7.5725862730126234"/>
    <n v="0"/>
    <n v="7.5725862730126234"/>
    <n v="19328.231084206192"/>
    <n v="622757.24997763545"/>
    <n v="0"/>
    <n v="622757.24997763545"/>
    <x v="0"/>
  </r>
  <r>
    <x v="17"/>
    <s v="Bionedbrydeligt affald"/>
    <n v="1"/>
    <n v="0"/>
    <x v="0"/>
    <s v="Østdanmark"/>
    <n v="452346.51233766804"/>
    <n v="0"/>
    <n v="0"/>
    <m/>
    <m/>
    <n v="0"/>
    <n v="452310.61214957217"/>
    <n v="0"/>
    <n v="35.900188095867634"/>
    <n v="35.900188095867634"/>
    <n v="452310.61214957217"/>
    <n v="6.4089807462109803E-4"/>
    <n v="8.0747487919351268"/>
    <n v="0"/>
    <n v="8.0747487919351268"/>
    <n v="10.77005642876029"/>
    <n v="135693.18364487163"/>
    <n v="0"/>
    <n v="135693.18364487163"/>
    <x v="0"/>
  </r>
  <r>
    <x v="18"/>
    <m/>
    <n v="0"/>
    <n v="1"/>
    <x v="0"/>
    <s v="Østdanmark"/>
    <n v="0"/>
    <n v="592646.72642582108"/>
    <n v="0"/>
    <m/>
    <m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m/>
    <m/>
    <n v="0"/>
    <n v="0"/>
    <n v="0"/>
    <n v="200279.74928693369"/>
    <n v="0"/>
    <n v="0"/>
    <n v="0"/>
    <n v="0"/>
    <n v="0"/>
    <n v="0"/>
    <n v="0"/>
    <n v="0"/>
    <n v="0"/>
    <n v="0"/>
    <x v="1"/>
  </r>
  <r>
    <x v="20"/>
    <m/>
    <n v="0"/>
    <n v="0"/>
    <x v="0"/>
    <s v="Østdanmark"/>
    <n v="145627.35347864506"/>
    <n v="0"/>
    <n v="0"/>
    <m/>
    <m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m/>
    <n v="0"/>
    <n v="0"/>
    <n v="0"/>
    <n v="116539.79424410909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m/>
    <n v="0"/>
    <n v="0"/>
    <n v="0"/>
    <n v="1547028.977300738"/>
    <n v="1547028.977300738"/>
    <n v="0"/>
    <n v="5.2983576631982068"/>
    <n v="0"/>
    <n v="0"/>
    <n v="0"/>
    <n v="479578.98296322877"/>
    <n v="0"/>
    <n v="0"/>
    <n v="0"/>
    <x v="0"/>
  </r>
  <r>
    <x v="23"/>
    <m/>
    <n v="0"/>
    <n v="0"/>
    <x v="0"/>
    <s v="Østdanmark"/>
    <n v="0"/>
    <n v="0"/>
    <n v="0"/>
    <m/>
    <m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m/>
    <m/>
    <n v="638439.1593791761"/>
    <n v="0"/>
    <n v="0"/>
    <n v="286645.05985025829"/>
    <n v="286645.05985025829"/>
    <n v="0"/>
    <n v="0.14509686284560225"/>
    <n v="0"/>
    <n v="0"/>
    <n v="0"/>
    <n v="21785.024548619629"/>
    <n v="0"/>
    <n v="0"/>
    <n v="0"/>
    <x v="0"/>
  </r>
  <r>
    <x v="25"/>
    <m/>
    <n v="0"/>
    <n v="0"/>
    <x v="0"/>
    <s v="Østdanmark"/>
    <n v="115489.08079619991"/>
    <n v="186040.49371289223"/>
    <n v="0"/>
    <m/>
    <m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m/>
    <n v="0"/>
    <n v="0"/>
    <n v="0"/>
    <n v="-329107.52754100139"/>
    <n v="0"/>
    <n v="0"/>
    <n v="0"/>
    <n v="0"/>
    <n v="0"/>
    <n v="0"/>
    <n v="0"/>
    <n v="0"/>
    <n v="0"/>
    <n v="0"/>
    <x v="0"/>
  </r>
  <r>
    <x v="27"/>
    <m/>
    <n v="0"/>
    <n v="1"/>
    <x v="0"/>
    <s v="Østdanmark"/>
    <n v="222833.98833453824"/>
    <n v="0"/>
    <n v="0"/>
    <m/>
    <m/>
    <n v="0"/>
    <n v="0"/>
    <n v="0"/>
    <n v="222833.98833453824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m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m/>
    <m/>
    <n v="0"/>
    <n v="0"/>
    <n v="0"/>
    <n v="7577.0634215631153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m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m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m/>
    <m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m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m/>
    <m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m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m/>
    <m/>
    <n v="0"/>
    <n v="0"/>
    <n v="0"/>
    <n v="2130070.5886269384"/>
    <n v="1662278.5794471605"/>
    <n v="0"/>
    <n v="4.5114905557627711"/>
    <n v="0"/>
    <n v="0"/>
    <n v="0"/>
    <n v="332455.71588943212"/>
    <n v="0"/>
    <n v="0"/>
    <n v="0"/>
    <x v="0"/>
  </r>
  <r>
    <x v="39"/>
    <m/>
    <n v="0"/>
    <n v="0"/>
    <x v="0"/>
    <s v="Østdanmark"/>
    <n v="23179.475218292017"/>
    <n v="0"/>
    <n v="0"/>
    <m/>
    <m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m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m/>
    <n v="0"/>
    <n v="0"/>
    <n v="0"/>
    <n v="3186961.3614372411"/>
    <n v="3186961.3614372411"/>
    <n v="0"/>
    <n v="1.5903255889707979"/>
    <n v="0"/>
    <n v="0"/>
    <n v="0"/>
    <n v="191217.68168623446"/>
    <n v="0"/>
    <n v="0"/>
    <n v="0"/>
    <x v="0"/>
  </r>
  <r>
    <x v="42"/>
    <s v="Husdyrgødning"/>
    <n v="1"/>
    <n v="0"/>
    <x v="0"/>
    <s v="Østdanmark"/>
    <n v="2304461.4931079326"/>
    <n v="0"/>
    <n v="0"/>
    <m/>
    <m/>
    <n v="1924034.2327518209"/>
    <n v="0"/>
    <n v="0"/>
    <n v="380427.26035611168"/>
    <n v="380427.26035611168"/>
    <n v="0"/>
    <n v="0.16388806376141293"/>
    <n v="0"/>
    <n v="0"/>
    <n v="0"/>
    <n v="19021.363017805586"/>
    <n v="0"/>
    <n v="0"/>
    <n v="0"/>
    <x v="0"/>
  </r>
  <r>
    <x v="43"/>
    <m/>
    <n v="0"/>
    <n v="1"/>
    <x v="0"/>
    <s v="Østdanmark"/>
    <n v="206750.71206041813"/>
    <n v="0"/>
    <n v="0"/>
    <m/>
    <m/>
    <n v="0"/>
    <n v="0"/>
    <n v="0"/>
    <n v="206750.71206041813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m/>
    <m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m/>
    <m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1522.620478108267"/>
    <n v="0"/>
    <n v="0"/>
    <m/>
    <m/>
    <n v="0"/>
    <n v="0"/>
    <n v="0"/>
    <n v="11522.620478108267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51127.91698478759"/>
    <n v="5130.0675922754817"/>
    <n v="0"/>
    <m/>
    <m/>
    <n v="0"/>
    <n v="0"/>
    <n v="0"/>
    <n v="145997.84939251211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m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46024614.763335347"/>
    <n v="0"/>
    <n v="0"/>
    <m/>
    <m/>
    <n v="0"/>
    <n v="46024614.763335347"/>
    <n v="0"/>
    <n v="0"/>
    <n v="0"/>
    <n v="46024614.763335347"/>
    <n v="0"/>
    <n v="0"/>
    <n v="0"/>
    <n v="0"/>
    <n v="0"/>
    <n v="0"/>
    <n v="0"/>
    <n v="0"/>
    <x v="0"/>
  </r>
  <r>
    <x v="4"/>
    <s v=""/>
    <n v="0"/>
    <n v="0"/>
    <x v="1"/>
    <s v="Østdanmark"/>
    <n v="2336197.3879103642"/>
    <n v="0"/>
    <n v="0"/>
    <m/>
    <m/>
    <n v="1833172.5263920096"/>
    <n v="0"/>
    <n v="0"/>
    <n v="503024.86151835462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1872632.3158058459"/>
    <n v="0"/>
    <n v="0"/>
    <m/>
    <m/>
    <n v="0"/>
    <n v="0"/>
    <n v="0"/>
    <n v="1872632.3158058459"/>
    <n v="1872632.3158058459"/>
    <n v="0"/>
    <n v="1.0637039878967427"/>
    <n v="1.0637039878967427"/>
    <n v="0"/>
    <n v="1.0637039878967427"/>
    <n v="80080.101475325049"/>
    <n v="80080.101475325049"/>
    <n v="0"/>
    <n v="80080.101475325049"/>
    <x v="0"/>
  </r>
  <r>
    <x v="6"/>
    <s v="Husdyrgødning"/>
    <n v="1"/>
    <n v="0"/>
    <x v="1"/>
    <s v="Østdanmark"/>
    <n v="348347.71555677708"/>
    <n v="0"/>
    <n v="0"/>
    <m/>
    <m/>
    <n v="32968.623079480683"/>
    <n v="0"/>
    <n v="0"/>
    <n v="315379.09247729642"/>
    <n v="315379.09247729642"/>
    <n v="0"/>
    <n v="0.67932656519609647"/>
    <n v="0.67932656519609647"/>
    <n v="0"/>
    <n v="0.67932656519609647"/>
    <n v="94613.727743188923"/>
    <n v="94613.727743188923"/>
    <n v="0"/>
    <n v="94613.727743188923"/>
    <x v="0"/>
  </r>
  <r>
    <x v="7"/>
    <s v=""/>
    <n v="0"/>
    <n v="0"/>
    <x v="1"/>
    <s v="Østdanmark"/>
    <n v="1318966.377240648"/>
    <n v="0"/>
    <n v="0"/>
    <m/>
    <m/>
    <n v="0"/>
    <n v="0"/>
    <n v="0"/>
    <n v="1318966.377240648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78.5291555114477"/>
    <n v="0"/>
    <n v="0"/>
    <m/>
    <m/>
    <n v="169.63228887786195"/>
    <n v="0"/>
    <n v="0"/>
    <n v="508.89686663358577"/>
    <n v="508.89686663358577"/>
    <n v="0"/>
    <n v="2.3932910740910907E-4"/>
    <n v="2.3932910740910907E-4"/>
    <n v="0"/>
    <n v="2.3932910740910907E-4"/>
    <n v="32.060502597915907"/>
    <n v="32.060502597915907"/>
    <n v="0"/>
    <n v="32.060502597915907"/>
    <x v="0"/>
  </r>
  <r>
    <x v="9"/>
    <s v=""/>
    <n v="0"/>
    <n v="1"/>
    <x v="1"/>
    <s v="Østdanmark"/>
    <n v="8276.4182574830029"/>
    <n v="0"/>
    <n v="0"/>
    <m/>
    <m/>
    <n v="0"/>
    <n v="0"/>
    <n v="0"/>
    <n v="8276.4182574830029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19235.46948095749"/>
    <n v="0"/>
    <n v="0"/>
    <m/>
    <m/>
    <n v="0"/>
    <n v="0"/>
    <n v="0"/>
    <n v="219235.46948095749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36756.20304356876"/>
    <n v="0"/>
    <n v="0"/>
    <m/>
    <m/>
    <n v="0"/>
    <n v="0"/>
    <n v="0"/>
    <n v="136756.20304356876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Østdanmark"/>
    <n v="6205031.1249834606"/>
    <n v="973359.07469549077"/>
    <n v="0"/>
    <m/>
    <m/>
    <n v="0"/>
    <n v="0"/>
    <n v="3832239.5048490944"/>
    <n v="1399432.5454388754"/>
    <n v="0"/>
    <n v="0"/>
    <n v="0"/>
    <n v="0"/>
    <n v="0"/>
    <n v="0"/>
    <n v="0"/>
    <n v="0"/>
    <n v="0"/>
    <n v="0"/>
    <x v="1"/>
  </r>
  <r>
    <x v="14"/>
    <s v=""/>
    <n v="0"/>
    <n v="0"/>
    <x v="1"/>
    <s v="Østdanmark"/>
    <n v="640640.81180260039"/>
    <n v="640640.81180260039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89283.287705397597"/>
    <n v="0"/>
    <n v="0"/>
    <m/>
    <m/>
    <n v="0"/>
    <n v="0"/>
    <n v="0"/>
    <n v="89283.287705397597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21799.3098622479"/>
    <n v="61489.560168524171"/>
    <n v="68051.447846356168"/>
    <m/>
    <m/>
    <n v="0"/>
    <n v="492258.30184736766"/>
    <n v="0"/>
    <n v="0"/>
    <n v="0"/>
    <n v="492258.30184736766"/>
    <n v="0"/>
    <n v="5.087886476725541"/>
    <n v="0"/>
    <n v="5.087886476725541"/>
    <n v="0"/>
    <n v="418419.55657026253"/>
    <n v="0"/>
    <n v="418419.55657026253"/>
    <x v="0"/>
  </r>
  <r>
    <x v="17"/>
    <s v="Bionedbrydeligt affald"/>
    <n v="1"/>
    <n v="0"/>
    <x v="1"/>
    <s v="Østdanmark"/>
    <n v="456074.89013160887"/>
    <n v="0"/>
    <n v="0"/>
    <m/>
    <m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n v="1"/>
    <x v="1"/>
    <s v="Østdanmark"/>
    <n v="0"/>
    <n v="247769.39356957746"/>
    <n v="0"/>
    <m/>
    <m/>
    <n v="0"/>
    <n v="0"/>
    <n v="0"/>
    <n v="-247769.39356957746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89662.94061352842"/>
    <n v="0"/>
    <n v="0"/>
    <m/>
    <m/>
    <n v="0"/>
    <n v="0"/>
    <n v="0"/>
    <n v="189662.94061352842"/>
    <n v="189662.94061352842"/>
    <n v="0"/>
    <n v="0.82183417786069846"/>
    <n v="0.82183417786069846"/>
    <n v="0"/>
    <n v="0.82183417786069846"/>
    <n v="79658.435057681942"/>
    <n v="79658.435057681942"/>
    <n v="0"/>
    <n v="79658.435057681942"/>
    <x v="0"/>
  </r>
  <r>
    <x v="20"/>
    <s v=""/>
    <n v="0"/>
    <n v="0"/>
    <x v="1"/>
    <s v="Østdanmark"/>
    <n v="187014.68622961262"/>
    <n v="0"/>
    <n v="0"/>
    <m/>
    <m/>
    <n v="0"/>
    <n v="0"/>
    <n v="0"/>
    <n v="187014.68622961262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689757.40845134575"/>
    <n v="0"/>
    <n v="0"/>
    <m/>
    <m/>
    <n v="0"/>
    <n v="0"/>
    <n v="0"/>
    <n v="689757.40845134575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320594.9697580421"/>
    <n v="343178.29580461275"/>
    <n v="0"/>
    <m/>
    <m/>
    <n v="0"/>
    <n v="0"/>
    <n v="0"/>
    <n v="977416.67395342933"/>
    <n v="977416.67395342933"/>
    <n v="0"/>
    <n v="3.3475152699561428"/>
    <n v="3.3475152699561428"/>
    <n v="0"/>
    <n v="3.3475152699561428"/>
    <n v="302999.16892556311"/>
    <n v="302999.16892556311"/>
    <n v="0"/>
    <n v="302999.16892556311"/>
    <x v="0"/>
  </r>
  <r>
    <x v="23"/>
    <s v=""/>
    <n v="0"/>
    <n v="0"/>
    <x v="1"/>
    <s v="Østdanmark"/>
    <n v="0"/>
    <n v="0"/>
    <n v="0"/>
    <m/>
    <m/>
    <n v="378703.95707755227"/>
    <n v="0"/>
    <n v="0"/>
    <n v="-378703.95707755227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369812.22772399604"/>
    <n v="0"/>
    <n v="0"/>
    <m/>
    <m/>
    <n v="92453.05693099901"/>
    <n v="0"/>
    <n v="0"/>
    <n v="277359.170792997"/>
    <n v="277359.170792997"/>
    <n v="0"/>
    <n v="0.14039643866370716"/>
    <n v="0.14039643866370716"/>
    <n v="0"/>
    <n v="0.14039643866370716"/>
    <n v="21079.296980267773"/>
    <n v="21079.296980267773"/>
    <n v="0"/>
    <n v="21079.296980267773"/>
    <x v="0"/>
  </r>
  <r>
    <x v="25"/>
    <s v=""/>
    <n v="0"/>
    <n v="0"/>
    <x v="1"/>
    <s v="Østdanmark"/>
    <n v="43261.516357794091"/>
    <n v="77778.444140950844"/>
    <n v="0"/>
    <m/>
    <m/>
    <n v="0"/>
    <n v="0"/>
    <n v="0"/>
    <n v="-34516.927783156752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Østdanmark"/>
    <n v="1159957.6294650177"/>
    <n v="449536.54854955332"/>
    <n v="0"/>
    <m/>
    <m/>
    <n v="0"/>
    <n v="0"/>
    <n v="0"/>
    <n v="710421.08091546432"/>
    <n v="710421.08091546432"/>
    <n v="0"/>
    <n v="2.5504116804865173"/>
    <n v="2.5504116804865173"/>
    <n v="0"/>
    <n v="2.5504116804865173"/>
    <n v="213126.32427463928"/>
    <n v="213126.32427463928"/>
    <n v="0"/>
    <n v="213126.32427463928"/>
    <x v="0"/>
  </r>
  <r>
    <x v="27"/>
    <s v=""/>
    <n v="0"/>
    <n v="1"/>
    <x v="1"/>
    <s v="Østdanmark"/>
    <n v="83472.274304605322"/>
    <n v="0"/>
    <n v="0"/>
    <m/>
    <m/>
    <n v="0"/>
    <n v="0"/>
    <n v="0"/>
    <n v="83472.274304605322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4776.5896909844023"/>
    <n v="0"/>
    <n v="0"/>
    <m/>
    <m/>
    <n v="0"/>
    <n v="0"/>
    <n v="0"/>
    <n v="4776.5896909844023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283776.5909190129"/>
    <n v="0"/>
    <n v="0"/>
    <m/>
    <m/>
    <n v="0"/>
    <n v="0"/>
    <n v="0"/>
    <n v="283776.5909190129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248146.38123349831"/>
    <n v="0"/>
    <n v="0"/>
    <m/>
    <m/>
    <n v="0"/>
    <n v="248146.38123349831"/>
    <n v="0"/>
    <n v="0"/>
    <n v="0"/>
    <n v="248146.38123349831"/>
    <n v="0"/>
    <n v="4.5658934146963679"/>
    <n v="0"/>
    <n v="4.5658934146963679"/>
    <n v="0"/>
    <n v="102980.74821190181"/>
    <n v="0"/>
    <n v="102980.74821190181"/>
    <x v="0"/>
  </r>
  <r>
    <x v="32"/>
    <s v="Pyrolyseprodukter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129983.37503835837"/>
    <n v="0"/>
    <n v="0"/>
    <m/>
    <m/>
    <n v="0"/>
    <n v="0"/>
    <n v="0"/>
    <n v="129983.37503835837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04963.98280254862"/>
    <n v="0"/>
    <n v="0"/>
    <m/>
    <m/>
    <n v="0"/>
    <n v="0"/>
    <n v="204963.98280254862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02481.99140127431"/>
    <n v="17028.97436880333"/>
    <n v="0"/>
    <m/>
    <m/>
    <n v="0"/>
    <n v="0"/>
    <n v="0"/>
    <n v="85453.017032470976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65588.474496815557"/>
    <n v="0"/>
    <n v="0"/>
    <m/>
    <m/>
    <n v="0"/>
    <n v="65588.474496815557"/>
    <n v="0"/>
    <n v="0"/>
    <n v="0"/>
    <n v="65588.474496815557"/>
    <n v="0"/>
    <n v="2.2955966073885441"/>
    <n v="0"/>
    <n v="2.2955966073885441"/>
    <n v="0"/>
    <n v="0"/>
    <n v="0"/>
    <n v="0"/>
    <x v="0"/>
  </r>
  <r>
    <x v="38"/>
    <s v="Græs og urter"/>
    <n v="1"/>
    <n v="1"/>
    <x v="1"/>
    <s v="Østdanmark"/>
    <n v="818285.05408099853"/>
    <n v="656055.52752620552"/>
    <n v="0"/>
    <m/>
    <m/>
    <n v="0"/>
    <n v="0"/>
    <n v="0"/>
    <n v="162229.526554793"/>
    <n v="0"/>
    <n v="0"/>
    <n v="0"/>
    <n v="0"/>
    <n v="0"/>
    <n v="0"/>
    <n v="0"/>
    <n v="0"/>
    <n v="0"/>
    <n v="0"/>
    <x v="1"/>
  </r>
  <r>
    <x v="39"/>
    <s v=""/>
    <n v="0"/>
    <n v="0"/>
    <x v="1"/>
    <s v="Østdanmark"/>
    <n v="12481.530032817438"/>
    <n v="0"/>
    <n v="0"/>
    <m/>
    <m/>
    <n v="0"/>
    <n v="0"/>
    <n v="0"/>
    <n v="12481.530032817438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9770.0912219432048"/>
    <n v="3515.9993902993874"/>
    <n v="0"/>
    <m/>
    <m/>
    <n v="0"/>
    <n v="0"/>
    <n v="0"/>
    <n v="6254.0918316438174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38649.6476717573"/>
    <n v="0"/>
    <n v="0"/>
    <m/>
    <m/>
    <n v="0"/>
    <n v="0"/>
    <n v="0"/>
    <n v="3338649.6476717573"/>
    <n v="3338649.6476717573"/>
    <n v="0"/>
    <n v="1.6660195606846839"/>
    <n v="1.6660195606846839"/>
    <n v="0"/>
    <n v="1.6660195606846839"/>
    <n v="200318.97886030542"/>
    <n v="200318.97886030542"/>
    <n v="0"/>
    <n v="200318.97886030542"/>
    <x v="0"/>
  </r>
  <r>
    <x v="42"/>
    <s v="Husdyrgødning"/>
    <n v="1"/>
    <n v="0"/>
    <x v="1"/>
    <s v="Østdanmark"/>
    <n v="981294.25906442513"/>
    <n v="0"/>
    <n v="0"/>
    <m/>
    <m/>
    <n v="245323.56476610628"/>
    <n v="0"/>
    <n v="0"/>
    <n v="735970.69429831882"/>
    <n v="735970.69429831882"/>
    <n v="0"/>
    <n v="0.31705617510371581"/>
    <n v="0.31705617510371581"/>
    <n v="0"/>
    <n v="0.31705617510371581"/>
    <n v="36798.534714915942"/>
    <n v="36798.534714915942"/>
    <n v="0"/>
    <n v="36798.534714915942"/>
    <x v="0"/>
  </r>
  <r>
    <x v="43"/>
    <s v=""/>
    <n v="0"/>
    <n v="1"/>
    <x v="1"/>
    <s v="Østdanmark"/>
    <n v="106121.19758440506"/>
    <n v="0"/>
    <n v="0"/>
    <m/>
    <m/>
    <n v="0"/>
    <n v="0"/>
    <n v="0"/>
    <n v="106121.19758440506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7094.30995983595"/>
    <n v="0"/>
    <n v="0"/>
    <m/>
    <m/>
    <n v="0"/>
    <n v="647094.30995983595"/>
    <n v="0"/>
    <n v="0"/>
    <n v="0"/>
    <n v="647094.30995983595"/>
    <n v="0"/>
    <n v="9.3787059667025439"/>
    <n v="0"/>
    <n v="9.3787059667025439"/>
    <n v="0"/>
    <n v="320042.06080096884"/>
    <n v="0"/>
    <n v="320042.06080096884"/>
    <x v="0"/>
  </r>
  <r>
    <x v="47"/>
    <s v=""/>
    <n v="0"/>
    <n v="0"/>
    <x v="1"/>
    <s v="Østdanmark"/>
    <n v="178637.08828513199"/>
    <n v="0"/>
    <n v="0"/>
    <m/>
    <m/>
    <n v="0"/>
    <n v="0"/>
    <n v="178637.08828513199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3268.9483710154163"/>
    <n v="0"/>
    <n v="0"/>
    <m/>
    <m/>
    <n v="0"/>
    <n v="0"/>
    <n v="0"/>
    <n v="3268.9483710154163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69129.08878493914"/>
    <n v="724.66280069904622"/>
    <n v="0"/>
    <m/>
    <m/>
    <n v="0"/>
    <n v="0"/>
    <n v="0"/>
    <n v="268404.42598424008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m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22893348.20380079"/>
    <n v="0"/>
    <n v="0"/>
    <m/>
    <m/>
    <n v="0"/>
    <n v="22893348.20380079"/>
    <n v="0"/>
    <n v="0"/>
    <n v="0"/>
    <n v="22893348.20380079"/>
    <n v="0"/>
    <n v="0"/>
    <n v="0"/>
    <n v="0"/>
    <n v="0"/>
    <n v="0"/>
    <n v="0"/>
    <n v="0"/>
    <x v="0"/>
  </r>
  <r>
    <x v="4"/>
    <s v=""/>
    <n v="0"/>
    <n v="0"/>
    <x v="2"/>
    <s v="Østdanmark"/>
    <n v="1289522.3825958653"/>
    <n v="0"/>
    <n v="0"/>
    <m/>
    <m/>
    <n v="31751.943156603487"/>
    <n v="0"/>
    <n v="0"/>
    <n v="1257770.4394392618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745477.26501226774"/>
    <n v="0"/>
    <n v="0"/>
    <m/>
    <m/>
    <n v="0"/>
    <n v="0"/>
    <n v="0"/>
    <n v="745477.26501226774"/>
    <n v="745477.26501226774"/>
    <n v="0"/>
    <n v="0.42345052629227442"/>
    <n v="0.42345052629227442"/>
    <n v="0"/>
    <n v="0.42345052629227442"/>
    <n v="31879.133199749631"/>
    <n v="31879.133199749631"/>
    <n v="0"/>
    <n v="31879.133199749631"/>
    <x v="0"/>
  </r>
  <r>
    <x v="6"/>
    <s v="Husdyrgødning"/>
    <n v="1"/>
    <n v="0"/>
    <x v="2"/>
    <s v="Østdanmark"/>
    <n v="81826.264655313833"/>
    <n v="0"/>
    <n v="0"/>
    <m/>
    <m/>
    <n v="3097.7085905225945"/>
    <n v="0"/>
    <n v="0"/>
    <n v="78728.556064791235"/>
    <n v="78728.556064791235"/>
    <n v="0"/>
    <n v="0.16958130976356031"/>
    <n v="0.16958130976356031"/>
    <n v="0"/>
    <n v="0.16958130976356031"/>
    <n v="23618.566819437368"/>
    <n v="23618.566819437368"/>
    <n v="0"/>
    <n v="23618.566819437368"/>
    <x v="0"/>
  </r>
  <r>
    <x v="7"/>
    <s v=""/>
    <n v="0"/>
    <n v="0"/>
    <x v="2"/>
    <s v="Østdanmark"/>
    <n v="525068.07623117056"/>
    <n v="0"/>
    <n v="0"/>
    <m/>
    <m/>
    <n v="0"/>
    <n v="0"/>
    <n v="0"/>
    <n v="525068.07623117056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471.55151143904124"/>
    <n v="0"/>
    <n v="0"/>
    <m/>
    <m/>
    <n v="47.155151143904114"/>
    <n v="0"/>
    <n v="0"/>
    <n v="424.39636029513713"/>
    <n v="424.39636029513713"/>
    <n v="0"/>
    <n v="1.9958936428320006E-4"/>
    <n v="1.9958936428320006E-4"/>
    <n v="0"/>
    <n v="1.9958936428320006E-4"/>
    <n v="26.736970698593641"/>
    <n v="26.736970698593641"/>
    <n v="0"/>
    <n v="26.736970698593641"/>
    <x v="0"/>
  </r>
  <r>
    <x v="9"/>
    <s v=""/>
    <n v="0"/>
    <n v="1"/>
    <x v="2"/>
    <s v="Østdanmark"/>
    <n v="503.71416194271836"/>
    <n v="0"/>
    <n v="0"/>
    <m/>
    <m/>
    <n v="0"/>
    <n v="0"/>
    <n v="0"/>
    <n v="503.71416194271836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25270.403131175186"/>
    <n v="0"/>
    <n v="0"/>
    <m/>
    <m/>
    <n v="0"/>
    <n v="0"/>
    <n v="0"/>
    <n v="25270.403131175186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311625.91983903368"/>
    <n v="0"/>
    <n v="0"/>
    <m/>
    <m/>
    <n v="0"/>
    <n v="0"/>
    <n v="0"/>
    <n v="311625.91983903368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Østdanmark"/>
    <n v="11411284.658335894"/>
    <n v="137494.70167152316"/>
    <n v="0"/>
    <m/>
    <m/>
    <n v="0"/>
    <n v="0"/>
    <n v="1525578.4068414355"/>
    <n v="9748211.5498229358"/>
    <n v="9748211.5498229358"/>
    <n v="0"/>
    <n v="17.935490725230476"/>
    <n v="17.935490725230476"/>
    <n v="0"/>
    <n v="17.935490725230476"/>
    <n v="2729499.2339504221"/>
    <n v="2729499.2339504221"/>
    <n v="0"/>
    <n v="2729499.2339504221"/>
    <x v="0"/>
  </r>
  <r>
    <x v="14"/>
    <s v=""/>
    <n v="0"/>
    <n v="0"/>
    <x v="2"/>
    <s v="Østdanmark"/>
    <n v="255033.06559799708"/>
    <n v="255033.06559799711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21386.43640273569"/>
    <n v="0"/>
    <n v="0"/>
    <m/>
    <m/>
    <n v="0"/>
    <n v="0"/>
    <n v="0"/>
    <n v="121386.43640273569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284106.47368035599"/>
    <n v="8685.8888472677336"/>
    <n v="9665.8931514547894"/>
    <m/>
    <m/>
    <n v="0"/>
    <n v="265754.69168163347"/>
    <n v="0"/>
    <n v="0"/>
    <n v="0"/>
    <n v="265754.69168163347"/>
    <n v="0"/>
    <n v="2.746789026937726"/>
    <n v="0"/>
    <n v="2.746789026937726"/>
    <n v="0"/>
    <n v="225891.48792938844"/>
    <n v="0"/>
    <n v="225891.48792938844"/>
    <x v="0"/>
  </r>
  <r>
    <x v="17"/>
    <s v="Bionedbrydeligt affald"/>
    <n v="1"/>
    <n v="0"/>
    <x v="2"/>
    <s v="Østdanmark"/>
    <n v="457927.02496060182"/>
    <n v="0"/>
    <n v="0"/>
    <m/>
    <m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Østdanmark"/>
    <n v="168748.58777288889"/>
    <n v="0"/>
    <n v="0"/>
    <m/>
    <m/>
    <n v="0"/>
    <n v="0"/>
    <n v="0"/>
    <n v="168748.58777288889"/>
    <n v="168748.58777288889"/>
    <n v="0"/>
    <n v="0.73120956813633808"/>
    <n v="0.73120956813633808"/>
    <n v="0"/>
    <n v="0.73120956813633808"/>
    <n v="70874.406864613324"/>
    <n v="70874.406864613324"/>
    <n v="0"/>
    <n v="70874.406864613324"/>
    <x v="0"/>
  </r>
  <r>
    <x v="20"/>
    <s v=""/>
    <n v="0"/>
    <n v="0"/>
    <x v="2"/>
    <s v="Østdanmark"/>
    <n v="155582.5126734412"/>
    <n v="0"/>
    <n v="0"/>
    <m/>
    <m/>
    <n v="0"/>
    <n v="0"/>
    <n v="0"/>
    <n v="155582.5126734412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940152.02486146183"/>
    <n v="0"/>
    <n v="0"/>
    <m/>
    <m/>
    <n v="0"/>
    <n v="0"/>
    <n v="0"/>
    <n v="940152.02486146183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75478.49244816136"/>
    <n v="16515.993687659306"/>
    <n v="0"/>
    <m/>
    <m/>
    <n v="0"/>
    <n v="0"/>
    <n v="0"/>
    <n v="158962.49876050206"/>
    <n v="158962.49876050206"/>
    <n v="0"/>
    <n v="0.54442430350489313"/>
    <n v="0.54442430350489313"/>
    <n v="0"/>
    <n v="0.54442430350489313"/>
    <n v="49278.374615755638"/>
    <n v="49278.374615755638"/>
    <n v="0"/>
    <n v="49278.374615755638"/>
    <x v="0"/>
  </r>
  <r>
    <x v="23"/>
    <s v=""/>
    <n v="0"/>
    <n v="0"/>
    <x v="2"/>
    <s v="Østdanmark"/>
    <n v="0"/>
    <n v="0"/>
    <n v="0"/>
    <m/>
    <m/>
    <n v="390323.36216618225"/>
    <n v="0"/>
    <n v="0"/>
    <n v="-390323.36216618225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4885.9701831397151"/>
    <n v="0"/>
    <n v="0"/>
    <m/>
    <m/>
    <n v="488.59701831397138"/>
    <n v="0"/>
    <n v="0"/>
    <n v="4397.3731648257435"/>
    <n v="4397.3731648257435"/>
    <n v="0"/>
    <n v="2.2259063223031435E-3"/>
    <n v="2.2259063223031435E-3"/>
    <n v="0"/>
    <n v="2.2259063223031435E-3"/>
    <n v="334.20036052675653"/>
    <n v="334.20036052675653"/>
    <n v="0"/>
    <n v="334.20036052675653"/>
    <x v="0"/>
  </r>
  <r>
    <x v="25"/>
    <s v=""/>
    <n v="0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165265.0873457386"/>
    <n v="63394.503378227986"/>
    <n v="0"/>
    <m/>
    <m/>
    <n v="0"/>
    <n v="0"/>
    <n v="0"/>
    <n v="101870.58396751061"/>
    <n v="43926.582985718967"/>
    <n v="0"/>
    <n v="0.15769643291873112"/>
    <n v="0.15769643291873112"/>
    <n v="0"/>
    <n v="0.15769643291873112"/>
    <n v="13177.97489571569"/>
    <n v="13177.97489571569"/>
    <n v="0"/>
    <n v="13177.97489571569"/>
    <x v="0"/>
  </r>
  <r>
    <x v="27"/>
    <s v=""/>
    <n v="0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278.2619831544028"/>
    <n v="0"/>
    <n v="0"/>
    <m/>
    <m/>
    <n v="0"/>
    <n v="0"/>
    <n v="0"/>
    <n v="278.2619831544028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36484.853765615815"/>
    <n v="0"/>
    <n v="0"/>
    <m/>
    <m/>
    <n v="0"/>
    <n v="0"/>
    <n v="0"/>
    <n v="36484.853765615815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529346.388560839"/>
    <n v="0"/>
    <n v="0"/>
    <m/>
    <m/>
    <n v="0"/>
    <n v="529346.388560839"/>
    <n v="0"/>
    <n v="0"/>
    <n v="0"/>
    <n v="529346.388560839"/>
    <n v="0"/>
    <n v="9.7399735495194353"/>
    <n v="0"/>
    <n v="9.7399735495194353"/>
    <n v="0"/>
    <n v="219678.75125274819"/>
    <n v="0"/>
    <n v="219678.75125274819"/>
    <x v="0"/>
  </r>
  <r>
    <x v="32"/>
    <s v="Pyrolyseprodukter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67239.34351515555"/>
    <n v="0"/>
    <n v="0"/>
    <m/>
    <m/>
    <n v="0"/>
    <n v="0"/>
    <n v="267239.34351515555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33619.67175757777"/>
    <n v="2405.4779078760002"/>
    <n v="0"/>
    <m/>
    <m/>
    <n v="0"/>
    <n v="0"/>
    <n v="0"/>
    <n v="131214.19384970178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85516.589924849774"/>
    <n v="0"/>
    <n v="0"/>
    <m/>
    <m/>
    <n v="0"/>
    <n v="85516.589924849774"/>
    <n v="0"/>
    <n v="0"/>
    <n v="0"/>
    <n v="85516.589924849774"/>
    <n v="0"/>
    <n v="2.9930806473697418"/>
    <n v="0"/>
    <n v="2.9930806473697418"/>
    <n v="0"/>
    <n v="0"/>
    <n v="0"/>
    <n v="0"/>
    <x v="0"/>
  </r>
  <r>
    <x v="38"/>
    <s v="Græs og urter"/>
    <n v="1"/>
    <n v="1"/>
    <x v="2"/>
    <s v="Østdanmark"/>
    <n v="1106184.910345105"/>
    <n v="243986.22639057698"/>
    <n v="0"/>
    <m/>
    <m/>
    <n v="0"/>
    <n v="0"/>
    <n v="0"/>
    <n v="862198.68395452807"/>
    <n v="862198.68395452807"/>
    <n v="0"/>
    <n v="2.3400417161999472"/>
    <n v="2.3400417161999472"/>
    <n v="0"/>
    <n v="2.3400417161999472"/>
    <n v="172439.73679090562"/>
    <n v="172439.73679090562"/>
    <n v="0"/>
    <n v="172439.73679090562"/>
    <x v="0"/>
  </r>
  <r>
    <x v="39"/>
    <s v=""/>
    <n v="0"/>
    <n v="0"/>
    <x v="2"/>
    <s v="Østdanmark"/>
    <n v="807.52489656472994"/>
    <n v="0"/>
    <n v="0"/>
    <m/>
    <m/>
    <n v="0"/>
    <n v="0"/>
    <n v="0"/>
    <n v="807.52489656472994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650.65285036970454"/>
    <n v="594.50530988460082"/>
    <n v="0"/>
    <m/>
    <m/>
    <n v="0"/>
    <n v="0"/>
    <n v="0"/>
    <n v="56.14754048510371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491788.2152479719"/>
    <n v="0"/>
    <n v="0"/>
    <m/>
    <m/>
    <n v="0"/>
    <n v="0"/>
    <n v="0"/>
    <n v="3491788.2152479719"/>
    <n v="3491788.2152479719"/>
    <n v="0"/>
    <n v="1.7424372372908907"/>
    <n v="1.7424372372908907"/>
    <n v="0"/>
    <n v="1.7424372372908907"/>
    <n v="209507.29291487832"/>
    <n v="209507.29291487832"/>
    <n v="0"/>
    <n v="209507.29291487832"/>
    <x v="0"/>
  </r>
  <r>
    <x v="42"/>
    <s v="Husdyrgødning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7095.888967518189"/>
    <n v="0"/>
    <n v="0"/>
    <m/>
    <m/>
    <n v="0"/>
    <n v="0"/>
    <n v="0"/>
    <n v="7095.888967518189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26992.95337647933"/>
    <n v="0"/>
    <n v="0"/>
    <m/>
    <m/>
    <n v="0"/>
    <n v="626992.95337647933"/>
    <n v="0"/>
    <n v="0"/>
    <n v="0"/>
    <n v="626992.95337647933"/>
    <n v="0"/>
    <n v="9.0873655700626106"/>
    <n v="0"/>
    <n v="9.0873655700626106"/>
    <n v="0"/>
    <n v="310100.26485745038"/>
    <n v="0"/>
    <n v="310100.26485745038"/>
    <x v="0"/>
  </r>
  <r>
    <x v="47"/>
    <s v=""/>
    <n v="0"/>
    <n v="0"/>
    <x v="2"/>
    <s v="Østdanmark"/>
    <n v="185714.85587464209"/>
    <n v="0"/>
    <n v="0"/>
    <m/>
    <m/>
    <n v="0"/>
    <n v="0"/>
    <n v="185714.85587464209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440000.4707175892"/>
    <n v="3084403.2997303004"/>
    <n v="1081109.1778339073"/>
    <n v="1081109.1778339073"/>
  </r>
  <r>
    <x v="0"/>
    <x v="1"/>
    <x v="1"/>
    <s v="Konventionel"/>
    <x v="0"/>
    <s v="Halm"/>
    <n v="96240.251864570237"/>
    <n v="371487.37219724117"/>
    <n v="118433.5453756557"/>
    <n v="118433.5453756557"/>
  </r>
  <r>
    <x v="0"/>
    <x v="2"/>
    <x v="1"/>
    <s v="Konventionel"/>
    <x v="0"/>
    <s v="Halm"/>
    <n v="114296.21103509518"/>
    <n v="502903.32855441881"/>
    <n v="288444.80740177777"/>
    <n v="288444.80740177777"/>
  </r>
  <r>
    <x v="0"/>
    <x v="3"/>
    <x v="1"/>
    <s v="Konventionel"/>
    <x v="0"/>
    <s v="Græs"/>
    <n v="227046.32891431812"/>
    <n v="11266038.840728465"/>
    <n v="0"/>
    <n v="11266038.840728465"/>
  </r>
  <r>
    <x v="0"/>
    <x v="4"/>
    <x v="1"/>
    <s v="Konventionel"/>
    <x v="0"/>
    <s v="Grøntsager"/>
    <n v="9481.9223145863507"/>
    <n v="196749.88802766681"/>
    <n v="0"/>
    <n v="196749.88802766681"/>
  </r>
  <r>
    <x v="0"/>
    <x v="5"/>
    <x v="1"/>
    <s v="Konventionel"/>
    <x v="0"/>
    <s v="Kartofler"/>
    <n v="39881.846198414576"/>
    <n v="1693817.8806067398"/>
    <n v="0"/>
    <n v="1693817.8806067398"/>
  </r>
  <r>
    <x v="0"/>
    <x v="6"/>
    <x v="1"/>
    <s v="Konventionel"/>
    <x v="0"/>
    <s v="Roer"/>
    <n v="24527.48639267926"/>
    <n v="1992949.7898768042"/>
    <n v="0"/>
    <n v="1992949.7898768042"/>
  </r>
  <r>
    <x v="0"/>
    <x v="7"/>
    <x v="1"/>
    <s v="Konventionel"/>
    <x v="0"/>
    <s v="Majs"/>
    <n v="59557.460174493739"/>
    <n v="2650902.5523667168"/>
    <n v="0"/>
    <n v="2650902.5523667168"/>
  </r>
  <r>
    <x v="0"/>
    <x v="8"/>
    <x v="1"/>
    <s v="Konventionel"/>
    <x v="0"/>
    <s v="Frugt"/>
    <n v="39626.646276650128"/>
    <n v="336430.22688875964"/>
    <n v="0"/>
    <n v="336430.22688875964"/>
  </r>
  <r>
    <x v="0"/>
    <x v="9"/>
    <x v="1"/>
    <s v="Konventionel"/>
    <x v="0"/>
    <s v="Øvrige"/>
    <n v="22893.887839858267"/>
    <n v="682144.98875917029"/>
    <n v="0"/>
    <n v="682144.98875917029"/>
  </r>
  <r>
    <x v="0"/>
    <x v="10"/>
    <x v="1"/>
    <s v="Konventionel"/>
    <x v="0"/>
    <s v="Halm"/>
    <n v="33065.770650056205"/>
    <n v="472472.19272400561"/>
    <n v="84289.668545797569"/>
    <n v="84289.668545797569"/>
  </r>
  <r>
    <x v="0"/>
    <x v="11"/>
    <x v="1"/>
    <s v="Konventionel"/>
    <x v="0"/>
    <s v="Juletræer"/>
    <n v="9092.1843258992376"/>
    <n v="454609.21629496192"/>
    <n v="0"/>
    <n v="454609.21629496192"/>
  </r>
  <r>
    <x v="0"/>
    <x v="12"/>
    <x v="1"/>
    <s v="Konventionel"/>
    <x v="0"/>
    <s v="Pil &amp; poppel"/>
    <n v="24758.282800161851"/>
    <n v="603860.55610150856"/>
    <n v="0"/>
    <n v="603860.55610150856"/>
  </r>
  <r>
    <x v="0"/>
    <x v="13"/>
    <x v="1"/>
    <s v="Konventionel"/>
    <x v="0"/>
    <s v="Græs"/>
    <n v="57931.441956188719"/>
    <n v="798874.5845758426"/>
    <n v="0"/>
    <n v="798874.5845758426"/>
  </r>
  <r>
    <x v="0"/>
    <x v="0"/>
    <x v="2"/>
    <s v="Konventionel"/>
    <x v="0"/>
    <s v="Halm"/>
    <n v="30771.543538260554"/>
    <n v="215708.52020320646"/>
    <n v="86067.914376514731"/>
    <n v="86067.914376514731"/>
  </r>
  <r>
    <x v="0"/>
    <x v="1"/>
    <x v="2"/>
    <s v="Konventionel"/>
    <x v="0"/>
    <s v="Halm"/>
    <n v="91166.13849133953"/>
    <n v="351901.29457657062"/>
    <n v="127710.65249134925"/>
    <n v="127710.65249134925"/>
  </r>
  <r>
    <x v="0"/>
    <x v="2"/>
    <x v="2"/>
    <s v="Konventionel"/>
    <x v="0"/>
    <s v="Halm"/>
    <n v="80440.71043353487"/>
    <n v="353939.12590755348"/>
    <n v="231090.64970865892"/>
    <n v="231090.64970865892"/>
  </r>
  <r>
    <x v="0"/>
    <x v="3"/>
    <x v="2"/>
    <s v="Konventionel"/>
    <x v="0"/>
    <s v="Græs"/>
    <n v="187694.99101158135"/>
    <n v="9313425.4539946672"/>
    <n v="0"/>
    <n v="9313425.4539946672"/>
  </r>
  <r>
    <x v="0"/>
    <x v="4"/>
    <x v="2"/>
    <s v="Konventionel"/>
    <x v="0"/>
    <s v="Grøntsager"/>
    <n v="6881.5772424356765"/>
    <n v="142792.7277805403"/>
    <n v="0"/>
    <n v="142792.7277805403"/>
  </r>
  <r>
    <x v="0"/>
    <x v="5"/>
    <x v="2"/>
    <s v="Konventionel"/>
    <x v="0"/>
    <s v="Kartofler"/>
    <n v="28944.553232959333"/>
    <n v="1229301.2105871141"/>
    <n v="0"/>
    <n v="1229301.2105871141"/>
  </r>
  <r>
    <x v="0"/>
    <x v="6"/>
    <x v="2"/>
    <s v="Konventionel"/>
    <x v="0"/>
    <s v="Roer"/>
    <n v="17801.00981362825"/>
    <n v="1446398.4690357044"/>
    <n v="0"/>
    <n v="1446398.4690357044"/>
  </r>
  <r>
    <x v="0"/>
    <x v="7"/>
    <x v="2"/>
    <s v="Konventionel"/>
    <x v="0"/>
    <s v="Majs"/>
    <n v="4165.1659503881319"/>
    <n v="185391.53645177578"/>
    <n v="0"/>
    <n v="185391.53645177578"/>
  </r>
  <r>
    <x v="0"/>
    <x v="8"/>
    <x v="2"/>
    <s v="Konventionel"/>
    <x v="0"/>
    <s v="Frugt"/>
    <n v="47993.907124893325"/>
    <n v="407468.27149034437"/>
    <n v="0"/>
    <n v="407468.27149034437"/>
  </r>
  <r>
    <x v="0"/>
    <x v="9"/>
    <x v="2"/>
    <s v="Konventionel"/>
    <x v="0"/>
    <s v="Øvrige"/>
    <n v="1601.0898017343659"/>
    <n v="47705.981284010377"/>
    <n v="0"/>
    <n v="47705.981284010377"/>
  </r>
  <r>
    <x v="0"/>
    <x v="10"/>
    <x v="2"/>
    <s v="Konventionel"/>
    <x v="0"/>
    <s v="Halm"/>
    <n v="2312.4629833348681"/>
    <n v="33042.461580355266"/>
    <n v="6710.3638781050613"/>
    <n v="6710.3638781050613"/>
  </r>
  <r>
    <x v="0"/>
    <x v="11"/>
    <x v="2"/>
    <s v="Konventionel"/>
    <x v="0"/>
    <s v="Juletræer"/>
    <n v="4068.6562623492623"/>
    <n v="203432.81311746314"/>
    <n v="0"/>
    <n v="203432.81311746314"/>
  </r>
  <r>
    <x v="0"/>
    <x v="12"/>
    <x v="2"/>
    <s v="Konventionel"/>
    <x v="0"/>
    <s v="Pil &amp; poppel"/>
    <n v="28378.147046292288"/>
    <n v="692149.92795834853"/>
    <n v="0"/>
    <n v="692149.92795834853"/>
  </r>
  <r>
    <x v="0"/>
    <x v="13"/>
    <x v="2"/>
    <s v="Konventionel"/>
    <x v="0"/>
    <s v="Græs"/>
    <n v="4051.4499575007239"/>
    <n v="55869.494913934992"/>
    <n v="0"/>
    <n v="55869.494913934992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47104.34892199337"/>
    <n v="690904.99558192631"/>
    <n v="242167.9849065874"/>
    <n v="242167.9849065874"/>
  </r>
  <r>
    <x v="0"/>
    <x v="1"/>
    <x v="1"/>
    <s v="Økologisk"/>
    <x v="0"/>
    <s v="Halm"/>
    <n v="32175.782829362139"/>
    <n v="70793.157381162571"/>
    <n v="22569.500996486684"/>
    <n v="22569.500996486684"/>
  </r>
  <r>
    <x v="0"/>
    <x v="2"/>
    <x v="1"/>
    <s v="Økologisk"/>
    <x v="0"/>
    <s v="Halm"/>
    <n v="38212.390275736827"/>
    <n v="92473.984467283124"/>
    <n v="53039.300248843225"/>
    <n v="53039.300248843225"/>
  </r>
  <r>
    <x v="0"/>
    <x v="3"/>
    <x v="1"/>
    <s v="Økologisk"/>
    <x v="0"/>
    <s v="Græs"/>
    <n v="75907.878770217794"/>
    <n v="2937908.1767710014"/>
    <n v="0"/>
    <n v="2937908.1767710014"/>
  </r>
  <r>
    <x v="0"/>
    <x v="4"/>
    <x v="1"/>
    <s v="Økologisk"/>
    <x v="0"/>
    <s v="Grøntsager"/>
    <n v="3170.0693554744112"/>
    <n v="37493.995301873598"/>
    <n v="0"/>
    <n v="37493.995301873598"/>
  </r>
  <r>
    <x v="0"/>
    <x v="5"/>
    <x v="1"/>
    <s v="Økologisk"/>
    <x v="0"/>
    <s v="Kartofler"/>
    <n v="13333.606232867891"/>
    <n v="322785.44244339369"/>
    <n v="0"/>
    <n v="322785.44244339369"/>
  </r>
  <r>
    <x v="0"/>
    <x v="6"/>
    <x v="1"/>
    <s v="Økologisk"/>
    <x v="0"/>
    <s v="Roer"/>
    <n v="8200.2183102298641"/>
    <n v="379790.05125534453"/>
    <n v="0"/>
    <n v="379790.05125534453"/>
  </r>
  <r>
    <x v="0"/>
    <x v="7"/>
    <x v="1"/>
    <s v="Økologisk"/>
    <x v="0"/>
    <s v="Majs"/>
    <n v="19911.709158237998"/>
    <n v="735604.24494553381"/>
    <n v="0"/>
    <n v="735604.24494553381"/>
  </r>
  <r>
    <x v="0"/>
    <x v="8"/>
    <x v="1"/>
    <s v="Økologisk"/>
    <x v="0"/>
    <s v="Frugt"/>
    <n v="13248.285827926327"/>
    <n v="64112.429607083875"/>
    <n v="0"/>
    <n v="64112.429607083875"/>
  </r>
  <r>
    <x v="0"/>
    <x v="9"/>
    <x v="1"/>
    <s v="Økologisk"/>
    <x v="0"/>
    <s v="Øvrige"/>
    <n v="7654.0610501689234"/>
    <n v="129994.18327565416"/>
    <n v="0"/>
    <n v="129994.18327565416"/>
  </r>
  <r>
    <x v="0"/>
    <x v="10"/>
    <x v="1"/>
    <s v="Økologisk"/>
    <x v="0"/>
    <s v="Halm"/>
    <n v="11054.803316795702"/>
    <n v="90037.510830851068"/>
    <n v="16062.811868071865"/>
    <n v="16062.811868071865"/>
  </r>
  <r>
    <x v="0"/>
    <x v="11"/>
    <x v="1"/>
    <s v="Økologisk"/>
    <x v="0"/>
    <s v="Juletræer"/>
    <n v="3039.7691469712631"/>
    <n v="86633.420688680999"/>
    <n v="0"/>
    <n v="86633.420688680999"/>
  </r>
  <r>
    <x v="0"/>
    <x v="12"/>
    <x v="1"/>
    <s v="Økologisk"/>
    <x v="0"/>
    <s v="Pil &amp; poppel"/>
    <n v="8277.3799441728734"/>
    <n v="115075.7699555741"/>
    <n v="0"/>
    <n v="115075.7699555741"/>
  </r>
  <r>
    <x v="0"/>
    <x v="13"/>
    <x v="1"/>
    <s v="Økologisk"/>
    <x v="0"/>
    <s v="Græs"/>
    <n v="19368.086214042141"/>
    <n v="267085.90889164119"/>
    <n v="0"/>
    <n v="267085.90889164119"/>
  </r>
  <r>
    <x v="0"/>
    <x v="0"/>
    <x v="2"/>
    <s v="Økologisk"/>
    <x v="0"/>
    <s v="Halm"/>
    <n v="30771.543538260554"/>
    <n v="144524.70853614833"/>
    <n v="57665.502632264863"/>
    <n v="57665.502632264863"/>
  </r>
  <r>
    <x v="0"/>
    <x v="1"/>
    <x v="2"/>
    <s v="Økologisk"/>
    <x v="0"/>
    <s v="Halm"/>
    <n v="91166.13849133953"/>
    <n v="200583.73790864521"/>
    <n v="72795.07192006908"/>
    <n v="72795.07192006908"/>
  </r>
  <r>
    <x v="0"/>
    <x v="2"/>
    <x v="2"/>
    <s v="Økologisk"/>
    <x v="0"/>
    <s v="Halm"/>
    <n v="80440.71043353487"/>
    <n v="194666.51924915443"/>
    <n v="127099.85733976241"/>
    <n v="127099.85733976241"/>
  </r>
  <r>
    <x v="0"/>
    <x v="3"/>
    <x v="2"/>
    <s v="Økologisk"/>
    <x v="0"/>
    <s v="Græs"/>
    <n v="187694.99101158135"/>
    <n v="7264471.85411584"/>
    <n v="0"/>
    <n v="7264471.85411584"/>
  </r>
  <r>
    <x v="0"/>
    <x v="4"/>
    <x v="2"/>
    <s v="Økologisk"/>
    <x v="0"/>
    <s v="Grøntsager"/>
    <n v="6881.5772424356765"/>
    <n v="81391.854834907965"/>
    <n v="0"/>
    <n v="81391.854834907965"/>
  </r>
  <r>
    <x v="0"/>
    <x v="5"/>
    <x v="2"/>
    <s v="Økologisk"/>
    <x v="0"/>
    <s v="Kartofler"/>
    <n v="28944.553232959333"/>
    <n v="700701.69003465504"/>
    <n v="0"/>
    <n v="700701.69003465504"/>
  </r>
  <r>
    <x v="0"/>
    <x v="6"/>
    <x v="2"/>
    <s v="Økologisk"/>
    <x v="0"/>
    <s v="Roer"/>
    <n v="17801.00981362825"/>
    <n v="824447.12735035131"/>
    <n v="0"/>
    <n v="824447.12735035131"/>
  </r>
  <r>
    <x v="0"/>
    <x v="7"/>
    <x v="2"/>
    <s v="Økologisk"/>
    <x v="0"/>
    <s v="Majs"/>
    <n v="4165.1659503881319"/>
    <n v="153874.97525497389"/>
    <n v="0"/>
    <n v="153874.97525497389"/>
  </r>
  <r>
    <x v="0"/>
    <x v="8"/>
    <x v="2"/>
    <s v="Økologisk"/>
    <x v="0"/>
    <s v="Frugt"/>
    <n v="47993.907124893325"/>
    <n v="232256.91474949627"/>
    <n v="0"/>
    <n v="232256.91474949627"/>
  </r>
  <r>
    <x v="0"/>
    <x v="9"/>
    <x v="2"/>
    <s v="Økologisk"/>
    <x v="0"/>
    <s v="Øvrige"/>
    <n v="1601.0898017343659"/>
    <n v="27192.409331885912"/>
    <n v="0"/>
    <n v="27192.409331885912"/>
  </r>
  <r>
    <x v="0"/>
    <x v="10"/>
    <x v="2"/>
    <s v="Økologisk"/>
    <x v="0"/>
    <s v="Halm"/>
    <n v="2312.4629833348681"/>
    <n v="18834.203100802497"/>
    <n v="3824.9074105198847"/>
    <n v="3824.9074105198847"/>
  </r>
  <r>
    <x v="0"/>
    <x v="11"/>
    <x v="2"/>
    <s v="Økologisk"/>
    <x v="0"/>
    <s v="Juletræer"/>
    <n v="4068.6562623492623"/>
    <n v="115956.70347695398"/>
    <n v="0"/>
    <n v="115956.70347695398"/>
  </r>
  <r>
    <x v="0"/>
    <x v="12"/>
    <x v="2"/>
    <s v="Økologisk"/>
    <x v="0"/>
    <s v="Pil &amp; poppel"/>
    <n v="28378.147046292288"/>
    <n v="394525.45893625863"/>
    <n v="0"/>
    <n v="394525.45893625863"/>
  </r>
  <r>
    <x v="0"/>
    <x v="13"/>
    <x v="2"/>
    <s v="Økologisk"/>
    <x v="0"/>
    <s v="Græs"/>
    <n v="4051.4499575007239"/>
    <n v="55869.494913934992"/>
    <n v="0"/>
    <n v="55869.49491393499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9463.8157203712435"/>
    <n v="79609.617839762897"/>
    <n v="27903.837509816985"/>
    <n v="27903.837509816985"/>
  </r>
  <r>
    <x v="0"/>
    <x v="1"/>
    <x v="1"/>
    <s v="Konventionel"/>
    <x v="1"/>
    <s v="Halm"/>
    <n v="811.27805994298762"/>
    <n v="3757.8399736559186"/>
    <n v="1198.0334846971043"/>
    <n v="1198.0334846971043"/>
  </r>
  <r>
    <x v="0"/>
    <x v="2"/>
    <x v="1"/>
    <s v="Konventionel"/>
    <x v="1"/>
    <s v="Halm"/>
    <n v="868.70275369028457"/>
    <n v="4586.7505394847021"/>
    <n v="2630.7727565945142"/>
    <n v="2630.7727565945142"/>
  </r>
  <r>
    <x v="0"/>
    <x v="3"/>
    <x v="1"/>
    <s v="Konventionel"/>
    <x v="1"/>
    <s v="Græs"/>
    <n v="8016.6956445237793"/>
    <n v="477346.12545752386"/>
    <n v="0"/>
    <n v="477346.12545752386"/>
  </r>
  <r>
    <x v="0"/>
    <x v="4"/>
    <x v="1"/>
    <s v="Konventionel"/>
    <x v="1"/>
    <s v="Grøntsager"/>
    <n v="37.494387069399458"/>
    <n v="933.61023802804652"/>
    <n v="0"/>
    <n v="933.61023802804652"/>
  </r>
  <r>
    <x v="0"/>
    <x v="5"/>
    <x v="1"/>
    <s v="Konventionel"/>
    <x v="1"/>
    <s v="Kartofler"/>
    <n v="591.93918991521116"/>
    <n v="30168.227793329526"/>
    <n v="0"/>
    <n v="30168.227793329526"/>
  </r>
  <r>
    <x v="0"/>
    <x v="6"/>
    <x v="1"/>
    <s v="Konventionel"/>
    <x v="1"/>
    <s v="Roer"/>
    <n v="15.529713724807898"/>
    <n v="1514.2166242003736"/>
    <n v="0"/>
    <n v="1514.2166242003736"/>
  </r>
  <r>
    <x v="0"/>
    <x v="7"/>
    <x v="1"/>
    <s v="Konventionel"/>
    <x v="1"/>
    <s v="Majs"/>
    <n v="2004.6526689192153"/>
    <n v="107072.50835231313"/>
    <n v="0"/>
    <n v="107072.50835231313"/>
  </r>
  <r>
    <x v="0"/>
    <x v="8"/>
    <x v="1"/>
    <s v="Konventionel"/>
    <x v="1"/>
    <s v="Frugt"/>
    <n v="34.150981524689662"/>
    <n v="347.93019977353833"/>
    <n v="0"/>
    <n v="347.93019977353833"/>
  </r>
  <r>
    <x v="0"/>
    <x v="9"/>
    <x v="1"/>
    <s v="Konventionel"/>
    <x v="1"/>
    <s v="Øvrige"/>
    <n v="603.99089174013625"/>
    <n v="21595.774187697807"/>
    <n v="0"/>
    <n v="21595.774187697807"/>
  </r>
  <r>
    <x v="0"/>
    <x v="10"/>
    <x v="1"/>
    <s v="Konventionel"/>
    <x v="1"/>
    <s v="Halm"/>
    <n v="1490.8276372254238"/>
    <n v="25562.674229662829"/>
    <n v="4560.4151337243457"/>
    <n v="4560.4151337243457"/>
  </r>
  <r>
    <x v="0"/>
    <x v="11"/>
    <x v="1"/>
    <s v="Konventionel"/>
    <x v="1"/>
    <s v="Juletræer"/>
    <n v="171.2857518958528"/>
    <n v="10277.145113751169"/>
    <n v="0"/>
    <n v="10277.145113751169"/>
  </r>
  <r>
    <x v="0"/>
    <x v="12"/>
    <x v="1"/>
    <s v="Konventionel"/>
    <x v="1"/>
    <s v="Pil &amp; poppel"/>
    <n v="281.31436481905746"/>
    <n v="8233.5911654358279"/>
    <n v="0"/>
    <n v="8233.5911654358279"/>
  </r>
  <r>
    <x v="0"/>
    <x v="13"/>
    <x v="1"/>
    <s v="Konventionel"/>
    <x v="1"/>
    <s v="Græs"/>
    <n v="25740.044427812609"/>
    <n v="425946.25519144302"/>
    <n v="0"/>
    <n v="425946.25519144302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4362.53125925926"/>
    <n v="72191.16727822223"/>
    <n v="0"/>
    <n v="72191.16727822223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64.0158193296338"/>
    <n v="17832.519718374588"/>
    <n v="6250.4474473635264"/>
    <n v="6250.4474473635264"/>
  </r>
  <r>
    <x v="0"/>
    <x v="1"/>
    <x v="1"/>
    <s v="Økologisk"/>
    <x v="1"/>
    <s v="Halm"/>
    <n v="271.23273438316426"/>
    <n v="716.11951462780564"/>
    <n v="228.30539979979059"/>
    <n v="228.30539979979059"/>
  </r>
  <r>
    <x v="0"/>
    <x v="2"/>
    <x v="1"/>
    <s v="Økologisk"/>
    <x v="1"/>
    <s v="Halm"/>
    <n v="290.43140062996218"/>
    <n v="843.4127874294104"/>
    <n v="483.74712438187373"/>
    <n v="483.74712438187373"/>
  </r>
  <r>
    <x v="0"/>
    <x v="3"/>
    <x v="1"/>
    <s v="Økologisk"/>
    <x v="1"/>
    <s v="Græs"/>
    <n v="2680.2034810784762"/>
    <n v="124480.22814032271"/>
    <n v="0"/>
    <n v="124480.22814032271"/>
  </r>
  <r>
    <x v="0"/>
    <x v="4"/>
    <x v="1"/>
    <s v="Økologisk"/>
    <x v="1"/>
    <s v="Grøntsager"/>
    <n v="12.53541249416833"/>
    <n v="177.91510952973113"/>
    <n v="0"/>
    <n v="177.91510952973113"/>
  </r>
  <r>
    <x v="0"/>
    <x v="5"/>
    <x v="1"/>
    <s v="Økologisk"/>
    <x v="1"/>
    <s v="Kartofler"/>
    <n v="197.90167267747967"/>
    <n v="5749.0624390591338"/>
    <n v="0"/>
    <n v="5749.0624390591338"/>
  </r>
  <r>
    <x v="0"/>
    <x v="6"/>
    <x v="1"/>
    <s v="Økologisk"/>
    <x v="1"/>
    <s v="Roer"/>
    <n v="5.1920135965015621"/>
    <n v="288.55940688415637"/>
    <n v="0"/>
    <n v="288.55940688415637"/>
  </r>
  <r>
    <x v="0"/>
    <x v="7"/>
    <x v="1"/>
    <s v="Økologisk"/>
    <x v="1"/>
    <s v="Majs"/>
    <n v="670.21093226368919"/>
    <n v="29711.764240676581"/>
    <n v="0"/>
    <n v="29711.764240676581"/>
  </r>
  <r>
    <x v="0"/>
    <x v="8"/>
    <x v="1"/>
    <s v="Økologisk"/>
    <x v="1"/>
    <s v="Frugt"/>
    <n v="11.417619381277788"/>
    <n v="66.303942566181121"/>
    <n v="0"/>
    <n v="66.303942566181121"/>
  </r>
  <r>
    <x v="0"/>
    <x v="9"/>
    <x v="1"/>
    <s v="Økologisk"/>
    <x v="1"/>
    <s v="Øvrige"/>
    <n v="201.93089052687492"/>
    <n v="4115.4374421804177"/>
    <n v="0"/>
    <n v="4115.4374421804177"/>
  </r>
  <r>
    <x v="0"/>
    <x v="10"/>
    <x v="1"/>
    <s v="Økologisk"/>
    <x v="1"/>
    <s v="Halm"/>
    <n v="498.42498707170773"/>
    <n v="4871.3968636949239"/>
    <n v="869.06368950212425"/>
    <n v="869.06368950212425"/>
  </r>
  <r>
    <x v="0"/>
    <x v="11"/>
    <x v="1"/>
    <s v="Økologisk"/>
    <x v="1"/>
    <s v="Juletræer"/>
    <n v="57.265572855320727"/>
    <n v="1958.4825916519687"/>
    <n v="0"/>
    <n v="1958.4825916519687"/>
  </r>
  <r>
    <x v="0"/>
    <x v="12"/>
    <x v="1"/>
    <s v="Økologisk"/>
    <x v="1"/>
    <s v="Pil &amp; poppel"/>
    <n v="94.051186835371922"/>
    <n v="1569.049068180351"/>
    <n v="0"/>
    <n v="1569.049068180351"/>
  </r>
  <r>
    <x v="0"/>
    <x v="13"/>
    <x v="1"/>
    <s v="Økologisk"/>
    <x v="1"/>
    <s v="Græs"/>
    <n v="8605.6100590103106"/>
    <n v="142405.63525650263"/>
    <n v="0"/>
    <n v="142405.63525650263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4362.53125925926"/>
    <n v="72191.16727822223"/>
    <n v="0"/>
    <n v="72191.16727822223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4783.9196669834782"/>
    <n v="46949.387611775855"/>
    <n v="16456.1533977125"/>
    <n v="16456.1533977125"/>
  </r>
  <r>
    <x v="0"/>
    <x v="1"/>
    <x v="1"/>
    <s v="Konventionel"/>
    <x v="2"/>
    <s v="Halm"/>
    <n v="275.45437396803328"/>
    <n v="1488.555436923252"/>
    <n v="474.56498141590987"/>
    <n v="474.56498141590987"/>
  </r>
  <r>
    <x v="0"/>
    <x v="2"/>
    <x v="1"/>
    <s v="Konventionel"/>
    <x v="2"/>
    <s v="Halm"/>
    <n v="356.70094108511353"/>
    <n v="2197.2777970842994"/>
    <n v="1260.2687932291165"/>
    <n v="1260.2687932291165"/>
  </r>
  <r>
    <x v="0"/>
    <x v="3"/>
    <x v="1"/>
    <s v="Konventionel"/>
    <x v="2"/>
    <s v="Græs"/>
    <n v="8226.6497090955108"/>
    <n v="571488.90199144685"/>
    <n v="0"/>
    <n v="571488.90199144685"/>
  </r>
  <r>
    <x v="0"/>
    <x v="4"/>
    <x v="1"/>
    <s v="Konventionel"/>
    <x v="2"/>
    <s v="Grøntsager"/>
    <n v="9.5619378520505975"/>
    <n v="277.7742946020698"/>
    <n v="0"/>
    <n v="277.7742946020698"/>
  </r>
  <r>
    <x v="0"/>
    <x v="5"/>
    <x v="1"/>
    <s v="Konventionel"/>
    <x v="2"/>
    <s v="Kartofler"/>
    <n v="506.11617449253043"/>
    <n v="30093.292834455864"/>
    <n v="0"/>
    <n v="30093.292834455864"/>
  </r>
  <r>
    <x v="0"/>
    <x v="6"/>
    <x v="1"/>
    <s v="Konventionel"/>
    <x v="2"/>
    <s v="Roer"/>
    <n v="5.4731720415014316"/>
    <n v="622.60191091801948"/>
    <n v="0"/>
    <n v="622.60191091801948"/>
  </r>
  <r>
    <x v="0"/>
    <x v="7"/>
    <x v="1"/>
    <s v="Konventionel"/>
    <x v="2"/>
    <s v="Majs"/>
    <n v="680.64252345157081"/>
    <n v="42413.558206361187"/>
    <n v="0"/>
    <n v="42413.558206361187"/>
  </r>
  <r>
    <x v="0"/>
    <x v="8"/>
    <x v="1"/>
    <s v="Konventionel"/>
    <x v="2"/>
    <s v="Frugt"/>
    <n v="19.505146385739103"/>
    <n v="231.838169940895"/>
    <n v="0"/>
    <n v="231.838169940895"/>
  </r>
  <r>
    <x v="0"/>
    <x v="9"/>
    <x v="1"/>
    <s v="Konventionel"/>
    <x v="2"/>
    <s v="Øvrige"/>
    <n v="344.96609564581217"/>
    <n v="14390.026417343099"/>
    <n v="0"/>
    <n v="14390.026417343099"/>
  </r>
  <r>
    <x v="0"/>
    <x v="10"/>
    <x v="1"/>
    <s v="Konventionel"/>
    <x v="2"/>
    <s v="Halm"/>
    <n v="1097.5667816533621"/>
    <n v="21956.170484206676"/>
    <n v="3917.0100614363082"/>
    <n v="3917.0100614363082"/>
  </r>
  <r>
    <x v="0"/>
    <x v="11"/>
    <x v="1"/>
    <s v="Konventionel"/>
    <x v="2"/>
    <s v="Juletræer"/>
    <n v="97.828920732618897"/>
    <n v="6848.0244512833224"/>
    <n v="0"/>
    <n v="6848.0244512833224"/>
  </r>
  <r>
    <x v="0"/>
    <x v="12"/>
    <x v="1"/>
    <s v="Konventionel"/>
    <x v="2"/>
    <s v="Pil &amp; poppel"/>
    <n v="230.9275001580348"/>
    <n v="7885.3292736889925"/>
    <n v="0"/>
    <n v="7885.3292736889925"/>
  </r>
  <r>
    <x v="0"/>
    <x v="13"/>
    <x v="1"/>
    <s v="Konventionel"/>
    <x v="2"/>
    <s v="Græs"/>
    <n v="22387.839736166919"/>
    <n v="432219.63394643855"/>
    <n v="0"/>
    <n v="432219.63394643855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3395.8482962962953"/>
    <n v="65560.247208296278"/>
    <n v="0"/>
    <n v="65560.247208296278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99.3968978237997"/>
    <n v="10516.642374012656"/>
    <n v="3686.1711928320833"/>
    <n v="3686.1711928320833"/>
  </r>
  <r>
    <x v="0"/>
    <x v="1"/>
    <x v="1"/>
    <s v="Økologisk"/>
    <x v="2"/>
    <s v="Halm"/>
    <n v="92.09202952487432"/>
    <n v="283.66923670487984"/>
    <n v="90.436326861541971"/>
    <n v="90.436326861541971"/>
  </r>
  <r>
    <x v="0"/>
    <x v="2"/>
    <x v="1"/>
    <s v="Økologisk"/>
    <x v="2"/>
    <s v="Halm"/>
    <n v="119.25500809717734"/>
    <n v="404.03596743323692"/>
    <n v="231.73852745152391"/>
    <n v="231.73852745152391"/>
  </r>
  <r>
    <x v="0"/>
    <x v="3"/>
    <x v="1"/>
    <s v="Økologisk"/>
    <x v="2"/>
    <s v="Græs"/>
    <n v="2750.3969422854166"/>
    <n v="149030.36833361301"/>
    <n v="0"/>
    <n v="149030.36833361301"/>
  </r>
  <r>
    <x v="0"/>
    <x v="4"/>
    <x v="1"/>
    <s v="Økologisk"/>
    <x v="2"/>
    <s v="Grøntsager"/>
    <n v="3.1968207667243238"/>
    <n v="52.934556665804713"/>
    <n v="0"/>
    <n v="52.934556665804713"/>
  </r>
  <r>
    <x v="0"/>
    <x v="5"/>
    <x v="1"/>
    <s v="Økologisk"/>
    <x v="2"/>
    <s v="Kartofler"/>
    <n v="169.20866063209289"/>
    <n v="5734.7823242183067"/>
    <n v="0"/>
    <n v="5734.7823242183067"/>
  </r>
  <r>
    <x v="0"/>
    <x v="6"/>
    <x v="1"/>
    <s v="Økologisk"/>
    <x v="2"/>
    <s v="Roer"/>
    <n v="1.8298330644739016"/>
    <n v="118.64724985060809"/>
    <n v="0"/>
    <n v="118.64724985060809"/>
  </r>
  <r>
    <x v="0"/>
    <x v="7"/>
    <x v="1"/>
    <s v="Økologisk"/>
    <x v="2"/>
    <s v="Majs"/>
    <n v="227.55765487630734"/>
    <n v="11769.422995948638"/>
    <n v="0"/>
    <n v="11769.422995948638"/>
  </r>
  <r>
    <x v="0"/>
    <x v="8"/>
    <x v="1"/>
    <s v="Økologisk"/>
    <x v="2"/>
    <s v="Frugt"/>
    <n v="6.5211108865925631"/>
    <n v="44.18065667888235"/>
    <n v="0"/>
    <n v="44.18065667888235"/>
  </r>
  <r>
    <x v="0"/>
    <x v="9"/>
    <x v="1"/>
    <s v="Økologisk"/>
    <x v="2"/>
    <s v="Øvrige"/>
    <n v="115.33172411697309"/>
    <n v="2742.2611941198643"/>
    <n v="0"/>
    <n v="2742.2611941198643"/>
  </r>
  <r>
    <x v="0"/>
    <x v="10"/>
    <x v="1"/>
    <s v="Økologisk"/>
    <x v="2"/>
    <s v="Halm"/>
    <n v="366.94698655710141"/>
    <n v="4184.1170088301133"/>
    <n v="746.45204789256411"/>
    <n v="746.45204789256411"/>
  </r>
  <r>
    <x v="0"/>
    <x v="11"/>
    <x v="1"/>
    <s v="Økologisk"/>
    <x v="2"/>
    <s v="Juletræer"/>
    <n v="32.706918850889117"/>
    <n v="1305.0060621504758"/>
    <n v="0"/>
    <n v="1305.0060621504758"/>
  </r>
  <r>
    <x v="0"/>
    <x v="12"/>
    <x v="1"/>
    <s v="Økologisk"/>
    <x v="2"/>
    <s v="Pil &amp; poppel"/>
    <n v="77.205461856732612"/>
    <n v="1502.6819161383567"/>
    <n v="0"/>
    <n v="1502.6819161383567"/>
  </r>
  <r>
    <x v="0"/>
    <x v="13"/>
    <x v="1"/>
    <s v="Økologisk"/>
    <x v="2"/>
    <s v="Græs"/>
    <n v="7484.8751474917772"/>
    <n v="144502.99959747624"/>
    <n v="0"/>
    <n v="144502.9995974762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3395.8482962962953"/>
    <n v="65560.247208296278"/>
    <n v="0"/>
    <n v="65560.247208296278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39605.98929550874"/>
    <n v="978637.98496151622"/>
    <n v="343020.80645915837"/>
    <n v="343020.80645915837"/>
  </r>
  <r>
    <x v="1"/>
    <x v="1"/>
    <x v="1"/>
    <s v="Konventionel"/>
    <x v="0"/>
    <s v="Halm"/>
    <n v="30535.684540723742"/>
    <n v="117867.74232719364"/>
    <n v="37577.305862827532"/>
    <n v="37577.305862827532"/>
  </r>
  <r>
    <x v="1"/>
    <x v="2"/>
    <x v="1"/>
    <s v="Konventionel"/>
    <x v="0"/>
    <s v="Halm"/>
    <n v="36264.587599780585"/>
    <n v="159564.1854390346"/>
    <n v="91519.499124181064"/>
    <n v="91519.499124181064"/>
  </r>
  <r>
    <x v="1"/>
    <x v="3"/>
    <x v="1"/>
    <s v="Konventionel"/>
    <x v="0"/>
    <s v="Græs"/>
    <n v="72038.621486705946"/>
    <n v="3574556.3981703492"/>
    <n v="0"/>
    <n v="3574556.3981703492"/>
  </r>
  <r>
    <x v="1"/>
    <x v="4"/>
    <x v="1"/>
    <s v="Konventionel"/>
    <x v="0"/>
    <s v="Grøntsager"/>
    <n v="3008.481202286293"/>
    <n v="62425.984947440578"/>
    <n v="0"/>
    <n v="62425.984947440578"/>
  </r>
  <r>
    <x v="1"/>
    <x v="5"/>
    <x v="1"/>
    <s v="Konventionel"/>
    <x v="0"/>
    <s v="Kartofler"/>
    <n v="12653.951447780619"/>
    <n v="537424.69984833349"/>
    <n v="0"/>
    <n v="537424.69984833349"/>
  </r>
  <r>
    <x v="1"/>
    <x v="6"/>
    <x v="1"/>
    <s v="Konventionel"/>
    <x v="0"/>
    <s v="Roer"/>
    <n v="7782.2280444329399"/>
    <n v="632335.06677452126"/>
    <n v="0"/>
    <n v="632335.06677452126"/>
  </r>
  <r>
    <x v="1"/>
    <x v="7"/>
    <x v="1"/>
    <s v="Konventionel"/>
    <x v="0"/>
    <s v="Majs"/>
    <n v="18896.748301264219"/>
    <n v="841094.2668892704"/>
    <n v="0"/>
    <n v="841094.2668892704"/>
  </r>
  <r>
    <x v="1"/>
    <x v="8"/>
    <x v="1"/>
    <s v="Konventionel"/>
    <x v="0"/>
    <s v="Frugt"/>
    <n v="12572.980085436488"/>
    <n v="106744.60092535579"/>
    <n v="0"/>
    <n v="106744.60092535579"/>
  </r>
  <r>
    <x v="1"/>
    <x v="9"/>
    <x v="1"/>
    <s v="Konventionel"/>
    <x v="0"/>
    <s v="Øvrige"/>
    <n v="7263.9100942126888"/>
    <n v="216435.05481570555"/>
    <n v="0"/>
    <n v="216435.05481570555"/>
  </r>
  <r>
    <x v="1"/>
    <x v="10"/>
    <x v="1"/>
    <s v="Konventionel"/>
    <x v="0"/>
    <s v="Halm"/>
    <n v="10491.306102220859"/>
    <n v="149908.8120798601"/>
    <n v="26743.931763380704"/>
    <n v="26743.931763380704"/>
  </r>
  <r>
    <x v="1"/>
    <x v="11"/>
    <x v="1"/>
    <s v="Konventionel"/>
    <x v="0"/>
    <s v="Juletræer"/>
    <n v="2884.822794857841"/>
    <n v="144241.13974289206"/>
    <n v="0"/>
    <n v="144241.13974289206"/>
  </r>
  <r>
    <x v="1"/>
    <x v="12"/>
    <x v="1"/>
    <s v="Konventionel"/>
    <x v="0"/>
    <s v="Pil &amp; poppel"/>
    <n v="7855.4565133477763"/>
    <n v="191596.50032555553"/>
    <n v="0"/>
    <n v="191596.50032555553"/>
  </r>
  <r>
    <x v="1"/>
    <x v="13"/>
    <x v="1"/>
    <s v="Konventionel"/>
    <x v="0"/>
    <s v="Græs"/>
    <n v="18380.83548506023"/>
    <n v="253471.7213389806"/>
    <n v="0"/>
    <n v="253471.7213389806"/>
  </r>
  <r>
    <x v="1"/>
    <x v="0"/>
    <x v="2"/>
    <s v="Konventionel"/>
    <x v="0"/>
    <s v="Halm"/>
    <n v="12262.026478572649"/>
    <n v="85956.805614794255"/>
    <n v="34296.851041226786"/>
    <n v="34296.851041226786"/>
  </r>
  <r>
    <x v="1"/>
    <x v="1"/>
    <x v="2"/>
    <s v="Konventionel"/>
    <x v="0"/>
    <s v="Halm"/>
    <n v="36328.42150866046"/>
    <n v="140227.70702342939"/>
    <n v="50890.895365635486"/>
    <n v="50890.895365635486"/>
  </r>
  <r>
    <x v="1"/>
    <x v="2"/>
    <x v="2"/>
    <s v="Konventionel"/>
    <x v="0"/>
    <s v="Halm"/>
    <n v="32054.489566465109"/>
    <n v="141039.7540924465"/>
    <n v="92086.367463330418"/>
    <n v="92086.367463330418"/>
  </r>
  <r>
    <x v="1"/>
    <x v="3"/>
    <x v="2"/>
    <s v="Konventionel"/>
    <x v="0"/>
    <s v="Græs"/>
    <n v="74793.80898841859"/>
    <n v="3711268.8020053306"/>
    <n v="0"/>
    <n v="3711268.8020053306"/>
  </r>
  <r>
    <x v="1"/>
    <x v="4"/>
    <x v="2"/>
    <s v="Konventionel"/>
    <x v="0"/>
    <s v="Grøntsager"/>
    <n v="2742.211558421523"/>
    <n v="56900.889837246599"/>
    <n v="0"/>
    <n v="56900.889837246599"/>
  </r>
  <r>
    <x v="1"/>
    <x v="5"/>
    <x v="2"/>
    <s v="Konventionel"/>
    <x v="0"/>
    <s v="Kartofler"/>
    <n v="11533.996587194459"/>
    <n v="489859.20955243346"/>
    <n v="0"/>
    <n v="489859.20955243346"/>
  </r>
  <r>
    <x v="1"/>
    <x v="6"/>
    <x v="2"/>
    <s v="Konventionel"/>
    <x v="0"/>
    <s v="Roer"/>
    <n v="7093.4515653607632"/>
    <n v="576369.40778841777"/>
    <n v="0"/>
    <n v="576369.40778841777"/>
  </r>
  <r>
    <x v="1"/>
    <x v="7"/>
    <x v="2"/>
    <s v="Konventionel"/>
    <x v="0"/>
    <s v="Majs"/>
    <n v="1659.7599372226859"/>
    <n v="73875.914805781766"/>
    <n v="0"/>
    <n v="73875.914805781766"/>
  </r>
  <r>
    <x v="1"/>
    <x v="8"/>
    <x v="2"/>
    <s v="Konventionel"/>
    <x v="0"/>
    <s v="Frugt"/>
    <n v="19124.895676548345"/>
    <n v="162370.36429389546"/>
    <n v="0"/>
    <n v="162370.36429389546"/>
  </r>
  <r>
    <x v="1"/>
    <x v="9"/>
    <x v="2"/>
    <s v="Konventionel"/>
    <x v="0"/>
    <s v="Øvrige"/>
    <n v="638.01172401471331"/>
    <n v="19010.161286302951"/>
    <n v="0"/>
    <n v="19010.161286302951"/>
  </r>
  <r>
    <x v="1"/>
    <x v="10"/>
    <x v="2"/>
    <s v="Konventionel"/>
    <x v="0"/>
    <s v="Halm"/>
    <n v="921.48391246980407"/>
    <n v="13166.955317394482"/>
    <n v="2673.9854454123674"/>
    <n v="2673.9854454123674"/>
  </r>
  <r>
    <x v="1"/>
    <x v="11"/>
    <x v="2"/>
    <s v="Konventionel"/>
    <x v="0"/>
    <s v="Juletræer"/>
    <n v="1621.3021865186959"/>
    <n v="81065.109325934798"/>
    <n v="0"/>
    <n v="81065.109325934798"/>
  </r>
  <r>
    <x v="1"/>
    <x v="12"/>
    <x v="2"/>
    <s v="Konventionel"/>
    <x v="0"/>
    <s v="Pil &amp; poppel"/>
    <n v="11308.291703398067"/>
    <n v="275811.99276580656"/>
    <n v="0"/>
    <n v="275811.99276580656"/>
  </r>
  <r>
    <x v="1"/>
    <x v="13"/>
    <x v="2"/>
    <s v="Konventionel"/>
    <x v="0"/>
    <s v="Græs"/>
    <n v="1614.4457165015567"/>
    <n v="22263.206430556471"/>
    <n v="0"/>
    <n v="22263.206430556471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6674.150433143222"/>
    <n v="219214.48233934375"/>
    <n v="76836.511227924158"/>
    <n v="76836.511227924158"/>
  </r>
  <r>
    <x v="1"/>
    <x v="1"/>
    <x v="1"/>
    <s v="Økologisk"/>
    <x v="0"/>
    <s v="Halm"/>
    <n v="10208.92542665859"/>
    <n v="22461.677723734232"/>
    <n v="7160.9866902684143"/>
    <n v="7160.9866902684143"/>
  </r>
  <r>
    <x v="1"/>
    <x v="2"/>
    <x v="1"/>
    <s v="Økologisk"/>
    <x v="0"/>
    <s v="Halm"/>
    <n v="12124.256456112609"/>
    <n v="29340.700623792516"/>
    <n v="16828.627411932626"/>
    <n v="16828.627411932626"/>
  </r>
  <r>
    <x v="1"/>
    <x v="3"/>
    <x v="1"/>
    <s v="Økologisk"/>
    <x v="0"/>
    <s v="Græs"/>
    <n v="24084.507213724151"/>
    <n v="932157.13339709421"/>
    <n v="0"/>
    <n v="932157.13339709421"/>
  </r>
  <r>
    <x v="1"/>
    <x v="4"/>
    <x v="1"/>
    <s v="Økologisk"/>
    <x v="0"/>
    <s v="Grøntsager"/>
    <n v="1005.8186251133239"/>
    <n v="11896.319788527839"/>
    <n v="0"/>
    <n v="11896.319788527839"/>
  </r>
  <r>
    <x v="1"/>
    <x v="5"/>
    <x v="1"/>
    <s v="Økologisk"/>
    <x v="0"/>
    <s v="Kartofler"/>
    <n v="4230.5665854867711"/>
    <n v="102415.30184957839"/>
    <n v="0"/>
    <n v="102415.30184957839"/>
  </r>
  <r>
    <x v="1"/>
    <x v="6"/>
    <x v="1"/>
    <s v="Økologisk"/>
    <x v="0"/>
    <s v="Roer"/>
    <n v="2601.8144657248918"/>
    <n v="120502.06615375516"/>
    <n v="0"/>
    <n v="120502.06615375516"/>
  </r>
  <r>
    <x v="1"/>
    <x v="7"/>
    <x v="1"/>
    <s v="Økologisk"/>
    <x v="0"/>
    <s v="Majs"/>
    <n v="6317.7065494196841"/>
    <n v="233396.92836717624"/>
    <n v="0"/>
    <n v="233396.92836717624"/>
  </r>
  <r>
    <x v="1"/>
    <x v="8"/>
    <x v="1"/>
    <s v="Økologisk"/>
    <x v="0"/>
    <s v="Frugt"/>
    <n v="4203.4956154954561"/>
    <n v="20341.976332067163"/>
    <n v="0"/>
    <n v="20341.976332067163"/>
  </r>
  <r>
    <x v="1"/>
    <x v="9"/>
    <x v="1"/>
    <s v="Økologisk"/>
    <x v="0"/>
    <s v="Øvrige"/>
    <n v="2428.5264133794421"/>
    <n v="41245.334418079525"/>
    <n v="0"/>
    <n v="41245.334418079525"/>
  </r>
  <r>
    <x v="1"/>
    <x v="10"/>
    <x v="1"/>
    <s v="Økologisk"/>
    <x v="0"/>
    <s v="Halm"/>
    <n v="3507.5343237509874"/>
    <n v="28567.641649896908"/>
    <n v="5096.5053243070724"/>
    <n v="5096.5053243070724"/>
  </r>
  <r>
    <x v="1"/>
    <x v="11"/>
    <x v="1"/>
    <s v="Økologisk"/>
    <x v="0"/>
    <s v="Juletræer"/>
    <n v="964.47619317495321"/>
    <n v="27487.571505486165"/>
    <n v="0"/>
    <n v="27487.571505486165"/>
  </r>
  <r>
    <x v="1"/>
    <x v="12"/>
    <x v="1"/>
    <s v="Økologisk"/>
    <x v="0"/>
    <s v="Pil &amp; poppel"/>
    <n v="2626.2967719022085"/>
    <n v="36511.930731323388"/>
    <n v="0"/>
    <n v="36511.930731323388"/>
  </r>
  <r>
    <x v="1"/>
    <x v="13"/>
    <x v="1"/>
    <s v="Økologisk"/>
    <x v="0"/>
    <s v="Græs"/>
    <n v="6145.2226000174778"/>
    <n v="84742.619654241018"/>
    <n v="0"/>
    <n v="84742.619654241018"/>
  </r>
  <r>
    <x v="1"/>
    <x v="0"/>
    <x v="2"/>
    <s v="Økologisk"/>
    <x v="0"/>
    <s v="Halm"/>
    <n v="12262.026478572649"/>
    <n v="57591.059761912154"/>
    <n v="22978.890197621953"/>
    <n v="22978.890197621953"/>
  </r>
  <r>
    <x v="1"/>
    <x v="1"/>
    <x v="2"/>
    <s v="Økologisk"/>
    <x v="0"/>
    <s v="Halm"/>
    <n v="36328.42150866046"/>
    <n v="79929.793003354745"/>
    <n v="29007.810358412222"/>
    <n v="29007.810358412222"/>
  </r>
  <r>
    <x v="1"/>
    <x v="2"/>
    <x v="2"/>
    <s v="Økologisk"/>
    <x v="0"/>
    <s v="Halm"/>
    <n v="32054.489566465109"/>
    <n v="77571.864750845576"/>
    <n v="50647.502104831729"/>
    <n v="50647.502104831729"/>
  </r>
  <r>
    <x v="1"/>
    <x v="3"/>
    <x v="2"/>
    <s v="Økologisk"/>
    <x v="0"/>
    <s v="Græs"/>
    <n v="74793.80898841859"/>
    <n v="2894789.665564158"/>
    <n v="0"/>
    <n v="2894789.665564158"/>
  </r>
  <r>
    <x v="1"/>
    <x v="4"/>
    <x v="2"/>
    <s v="Økologisk"/>
    <x v="0"/>
    <s v="Grøntsager"/>
    <n v="2742.211558421523"/>
    <n v="32433.507207230563"/>
    <n v="0"/>
    <n v="32433.507207230563"/>
  </r>
  <r>
    <x v="1"/>
    <x v="5"/>
    <x v="2"/>
    <s v="Økologisk"/>
    <x v="0"/>
    <s v="Kartofler"/>
    <n v="11533.996587194459"/>
    <n v="279219.74944488704"/>
    <n v="0"/>
    <n v="279219.74944488704"/>
  </r>
  <r>
    <x v="1"/>
    <x v="6"/>
    <x v="2"/>
    <s v="Økologisk"/>
    <x v="0"/>
    <s v="Roer"/>
    <n v="7093.4515653607632"/>
    <n v="328530.56243939814"/>
    <n v="0"/>
    <n v="328530.56243939814"/>
  </r>
  <r>
    <x v="1"/>
    <x v="7"/>
    <x v="2"/>
    <s v="Økologisk"/>
    <x v="0"/>
    <s v="Majs"/>
    <n v="1659.7599372226859"/>
    <n v="61317.009288798858"/>
    <n v="0"/>
    <n v="61317.009288798858"/>
  </r>
  <r>
    <x v="1"/>
    <x v="8"/>
    <x v="2"/>
    <s v="Økologisk"/>
    <x v="0"/>
    <s v="Frugt"/>
    <n v="19124.895676548345"/>
    <n v="92551.107647520403"/>
    <n v="0"/>
    <n v="92551.107647520403"/>
  </r>
  <r>
    <x v="1"/>
    <x v="9"/>
    <x v="2"/>
    <s v="Økologisk"/>
    <x v="0"/>
    <s v="Øvrige"/>
    <n v="638.01172401471331"/>
    <n v="10835.791933192682"/>
    <n v="0"/>
    <n v="10835.791933192682"/>
  </r>
  <r>
    <x v="1"/>
    <x v="10"/>
    <x v="2"/>
    <s v="Økologisk"/>
    <x v="0"/>
    <s v="Halm"/>
    <n v="921.48391246980407"/>
    <n v="7505.1645309148553"/>
    <n v="1524.1717038850493"/>
    <n v="1524.1717038850493"/>
  </r>
  <r>
    <x v="1"/>
    <x v="11"/>
    <x v="2"/>
    <s v="Økologisk"/>
    <x v="0"/>
    <s v="Juletræer"/>
    <n v="1621.3021865186959"/>
    <n v="46207.112315782833"/>
    <n v="0"/>
    <n v="46207.112315782833"/>
  </r>
  <r>
    <x v="1"/>
    <x v="12"/>
    <x v="2"/>
    <s v="Økologisk"/>
    <x v="0"/>
    <s v="Pil &amp; poppel"/>
    <n v="11308.291703398067"/>
    <n v="157212.83587650972"/>
    <n v="0"/>
    <n v="157212.83587650972"/>
  </r>
  <r>
    <x v="1"/>
    <x v="13"/>
    <x v="2"/>
    <s v="Økologisk"/>
    <x v="0"/>
    <s v="Græs"/>
    <n v="1614.4457165015567"/>
    <n v="22263.206430556471"/>
    <n v="0"/>
    <n v="22263.206430556471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1885.6446303801165"/>
    <n v="15862.04263075754"/>
    <n v="5559.7787321794603"/>
    <n v="5559.7787321794603"/>
  </r>
  <r>
    <x v="1"/>
    <x v="1"/>
    <x v="1"/>
    <s v="Konventionel"/>
    <x v="1"/>
    <s v="Halm"/>
    <n v="50.990844974029841"/>
    <n v="236.18959391970625"/>
    <n v="75.299385880322959"/>
    <n v="75.299385880322959"/>
  </r>
  <r>
    <x v="1"/>
    <x v="2"/>
    <x v="1"/>
    <s v="Konventionel"/>
    <x v="1"/>
    <s v="Halm"/>
    <n v="205.95998830023743"/>
    <n v="1087.4687382252537"/>
    <n v="623.72764891910037"/>
    <n v="623.72764891910037"/>
  </r>
  <r>
    <x v="1"/>
    <x v="3"/>
    <x v="1"/>
    <s v="Konventionel"/>
    <x v="1"/>
    <s v="Græs"/>
    <n v="605.60866356368342"/>
    <n v="36060.362263235969"/>
    <n v="0"/>
    <n v="36060.362263235969"/>
  </r>
  <r>
    <x v="1"/>
    <x v="4"/>
    <x v="1"/>
    <s v="Konventionel"/>
    <x v="1"/>
    <s v="Grøntsager"/>
    <n v="11.46957223200376"/>
    <n v="285.59234857689358"/>
    <n v="0"/>
    <n v="285.59234857689358"/>
  </r>
  <r>
    <x v="1"/>
    <x v="5"/>
    <x v="1"/>
    <s v="Konventionel"/>
    <x v="1"/>
    <s v="Kartofler"/>
    <n v="19.499322517256413"/>
    <n v="993.78451965725219"/>
    <n v="0"/>
    <n v="993.78451965725219"/>
  </r>
  <r>
    <x v="1"/>
    <x v="6"/>
    <x v="1"/>
    <s v="Konventionel"/>
    <x v="1"/>
    <s v="Roer"/>
    <n v="54.477004659634666"/>
    <n v="5311.7518812009148"/>
    <n v="0"/>
    <n v="5311.7518812009148"/>
  </r>
  <r>
    <x v="1"/>
    <x v="7"/>
    <x v="1"/>
    <s v="Konventionel"/>
    <x v="1"/>
    <s v="Majs"/>
    <n v="58.080893697554018"/>
    <n v="3102.2166941737555"/>
    <n v="0"/>
    <n v="3102.2166941737555"/>
  </r>
  <r>
    <x v="1"/>
    <x v="8"/>
    <x v="1"/>
    <s v="Konventionel"/>
    <x v="1"/>
    <s v="Frugt"/>
    <n v="12.529242712581604"/>
    <n v="127.6479247557814"/>
    <n v="0"/>
    <n v="127.6479247557814"/>
  </r>
  <r>
    <x v="1"/>
    <x v="9"/>
    <x v="1"/>
    <s v="Konventionel"/>
    <x v="1"/>
    <s v="Øvrige"/>
    <n v="89.464869797138064"/>
    <n v="3198.8282477313228"/>
    <n v="0"/>
    <n v="3198.8282477313228"/>
  </r>
  <r>
    <x v="1"/>
    <x v="10"/>
    <x v="1"/>
    <s v="Konventionel"/>
    <x v="1"/>
    <s v="Halm"/>
    <n v="649.51071214656338"/>
    <n v="11136.921753194183"/>
    <n v="1986.8416758773726"/>
    <n v="1986.8416758773726"/>
  </r>
  <r>
    <x v="1"/>
    <x v="11"/>
    <x v="1"/>
    <s v="Konventionel"/>
    <x v="1"/>
    <s v="Juletræer"/>
    <n v="19.633252031251775"/>
    <n v="1177.9951218751064"/>
    <n v="0"/>
    <n v="1177.9951218751064"/>
  </r>
  <r>
    <x v="1"/>
    <x v="12"/>
    <x v="1"/>
    <s v="Konventionel"/>
    <x v="1"/>
    <s v="Pil &amp; poppel"/>
    <n v="41.669093631679907"/>
    <n v="1219.58322824429"/>
    <n v="0"/>
    <n v="1219.58322824429"/>
  </r>
  <r>
    <x v="1"/>
    <x v="13"/>
    <x v="1"/>
    <s v="Konventionel"/>
    <x v="1"/>
    <s v="Græs"/>
    <n v="3909.3241537121544"/>
    <n v="64691.49609562874"/>
    <n v="0"/>
    <n v="64691.49609562874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662.5687407407404"/>
    <n v="10964.187521777772"/>
    <n v="0"/>
    <n v="10964.187521777772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0.42324749774684"/>
    <n v="3553.0906398272014"/>
    <n v="1245.3880141837544"/>
    <n v="1245.3880141837544"/>
  </r>
  <r>
    <x v="1"/>
    <x v="1"/>
    <x v="1"/>
    <s v="Økologisk"/>
    <x v="1"/>
    <s v="Halm"/>
    <n v="17.047652332402613"/>
    <n v="45.009893594102671"/>
    <n v="14.349562526987507"/>
    <n v="14.349562526987507"/>
  </r>
  <r>
    <x v="1"/>
    <x v="2"/>
    <x v="1"/>
    <s v="Økologisk"/>
    <x v="1"/>
    <s v="Halm"/>
    <n v="68.858130841260106"/>
    <n v="199.96401196301935"/>
    <n v="114.69118942552105"/>
    <n v="114.69118942552105"/>
  </r>
  <r>
    <x v="1"/>
    <x v="3"/>
    <x v="1"/>
    <s v="Økologisk"/>
    <x v="1"/>
    <s v="Græs"/>
    <n v="202.47175647281159"/>
    <n v="9403.6630485853348"/>
    <n v="0"/>
    <n v="9403.6630485853348"/>
  </r>
  <r>
    <x v="1"/>
    <x v="4"/>
    <x v="1"/>
    <s v="Økologisk"/>
    <x v="1"/>
    <s v="Grøntsager"/>
    <n v="3.8345957967977244"/>
    <n v="54.424418143950099"/>
    <n v="0"/>
    <n v="54.424418143950099"/>
  </r>
  <r>
    <x v="1"/>
    <x v="5"/>
    <x v="1"/>
    <s v="Økologisk"/>
    <x v="1"/>
    <s v="Kartofler"/>
    <n v="6.5191638059906802"/>
    <n v="189.38232943677266"/>
    <n v="0"/>
    <n v="189.38232943677266"/>
  </r>
  <r>
    <x v="1"/>
    <x v="6"/>
    <x v="1"/>
    <s v="Økologisk"/>
    <x v="1"/>
    <s v="Roer"/>
    <n v="18.213172110035202"/>
    <n v="1012.2435243798453"/>
    <n v="0"/>
    <n v="1012.2435243798453"/>
  </r>
  <r>
    <x v="1"/>
    <x v="7"/>
    <x v="1"/>
    <s v="Økologisk"/>
    <x v="1"/>
    <s v="Majs"/>
    <n v="19.418052072198943"/>
    <n v="860.84030774264068"/>
    <n v="0"/>
    <n v="860.84030774264068"/>
  </r>
  <r>
    <x v="1"/>
    <x v="8"/>
    <x v="1"/>
    <s v="Økologisk"/>
    <x v="1"/>
    <s v="Frugt"/>
    <n v="4.188872999872153"/>
    <n v="24.325455729937573"/>
    <n v="0"/>
    <n v="24.325455729937573"/>
  </r>
  <r>
    <x v="1"/>
    <x v="9"/>
    <x v="1"/>
    <s v="Økologisk"/>
    <x v="1"/>
    <s v="Øvrige"/>
    <n v="29.910584871501143"/>
    <n v="609.59044243559299"/>
    <n v="0"/>
    <n v="609.59044243559299"/>
  </r>
  <r>
    <x v="1"/>
    <x v="10"/>
    <x v="1"/>
    <s v="Økologisk"/>
    <x v="1"/>
    <s v="Halm"/>
    <n v="217.14942775483027"/>
    <n v="2122.3274690396697"/>
    <n v="378.62604755555191"/>
    <n v="378.62604755555191"/>
  </r>
  <r>
    <x v="1"/>
    <x v="11"/>
    <x v="1"/>
    <s v="Økologisk"/>
    <x v="1"/>
    <s v="Juletræer"/>
    <n v="6.5639401534468442"/>
    <n v="224.48675324788206"/>
    <n v="0"/>
    <n v="224.48675324788206"/>
  </r>
  <r>
    <x v="1"/>
    <x v="12"/>
    <x v="1"/>
    <s v="Økologisk"/>
    <x v="1"/>
    <s v="Pil &amp; poppel"/>
    <n v="13.93113257097435"/>
    <n v="232.41206533040136"/>
    <n v="0"/>
    <n v="232.41206533040136"/>
  </r>
  <r>
    <x v="1"/>
    <x v="13"/>
    <x v="1"/>
    <s v="Økologisk"/>
    <x v="1"/>
    <s v="Græs"/>
    <n v="1306.995384388938"/>
    <n v="21628.159620868148"/>
    <n v="0"/>
    <n v="21628.159620868148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662.5687407407404"/>
    <n v="10964.187521777772"/>
    <n v="0"/>
    <n v="10964.18752177777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039.4234458542505"/>
    <n v="10200.901697613614"/>
    <n v="3575.5014425110603"/>
    <n v="3575.5014425110603"/>
  </r>
  <r>
    <x v="1"/>
    <x v="1"/>
    <x v="1"/>
    <s v="Konventionel"/>
    <x v="2"/>
    <s v="Halm"/>
    <n v="18.879357376435923"/>
    <n v="102.02404726225973"/>
    <n v="32.526192100084025"/>
    <n v="32.526192100084025"/>
  </r>
  <r>
    <x v="1"/>
    <x v="2"/>
    <x v="1"/>
    <s v="Konventionel"/>
    <x v="2"/>
    <s v="Halm"/>
    <n v="92.221243178496934"/>
    <n v="568.08285797954102"/>
    <n v="325.82912312227609"/>
    <n v="325.82912312227609"/>
  </r>
  <r>
    <x v="1"/>
    <x v="3"/>
    <x v="1"/>
    <s v="Konventionel"/>
    <x v="2"/>
    <s v="Græs"/>
    <n v="677.69572474534289"/>
    <n v="47078.166606609477"/>
    <n v="0"/>
    <n v="47078.166606609477"/>
  </r>
  <r>
    <x v="1"/>
    <x v="4"/>
    <x v="1"/>
    <s v="Konventionel"/>
    <x v="2"/>
    <s v="Grøntsager"/>
    <n v="3.1896419604766248"/>
    <n v="92.659098951845948"/>
    <n v="0"/>
    <n v="92.659098951845948"/>
  </r>
  <r>
    <x v="1"/>
    <x v="5"/>
    <x v="1"/>
    <s v="Konventionel"/>
    <x v="2"/>
    <s v="Kartofler"/>
    <n v="18.180578675197953"/>
    <n v="1081.0037409319552"/>
    <n v="0"/>
    <n v="1081.0037409319552"/>
  </r>
  <r>
    <x v="1"/>
    <x v="6"/>
    <x v="1"/>
    <s v="Konventionel"/>
    <x v="2"/>
    <s v="Roer"/>
    <n v="20.936492564620558"/>
    <n v="2381.6353989628656"/>
    <n v="0"/>
    <n v="2381.6353989628656"/>
  </r>
  <r>
    <x v="1"/>
    <x v="7"/>
    <x v="1"/>
    <s v="Konventionel"/>
    <x v="2"/>
    <s v="Majs"/>
    <n v="21.50444750263269"/>
    <n v="1340.0281416790535"/>
    <n v="0"/>
    <n v="1340.0281416790535"/>
  </r>
  <r>
    <x v="1"/>
    <x v="8"/>
    <x v="1"/>
    <s v="Konventionel"/>
    <x v="2"/>
    <s v="Frugt"/>
    <n v="7.8034365445890632"/>
    <n v="92.751646768985609"/>
    <n v="0"/>
    <n v="92.751646768985609"/>
  </r>
  <r>
    <x v="1"/>
    <x v="9"/>
    <x v="1"/>
    <s v="Konventionel"/>
    <x v="2"/>
    <s v="Øvrige"/>
    <n v="55.720321686388786"/>
    <n v="2324.3353801158519"/>
    <n v="0"/>
    <n v="2324.3353801158519"/>
  </r>
  <r>
    <x v="1"/>
    <x v="10"/>
    <x v="1"/>
    <s v="Konventionel"/>
    <x v="2"/>
    <s v="Halm"/>
    <n v="521.44066181544724"/>
    <n v="10431.110215426816"/>
    <n v="1860.923957352584"/>
    <n v="1860.923957352584"/>
  </r>
  <r>
    <x v="1"/>
    <x v="11"/>
    <x v="1"/>
    <s v="Konventionel"/>
    <x v="2"/>
    <s v="Juletræer"/>
    <n v="12.227940658851667"/>
    <n v="855.95584611961658"/>
    <n v="0"/>
    <n v="855.95584611961658"/>
  </r>
  <r>
    <x v="1"/>
    <x v="12"/>
    <x v="1"/>
    <s v="Konventionel"/>
    <x v="2"/>
    <s v="Pil &amp; poppel"/>
    <n v="37.300345620778415"/>
    <n v="1273.6703382704825"/>
    <n v="0"/>
    <n v="1273.6703382704825"/>
  </r>
  <r>
    <x v="1"/>
    <x v="13"/>
    <x v="1"/>
    <s v="Konventionel"/>
    <x v="2"/>
    <s v="Græs"/>
    <n v="3400.2009155611872"/>
    <n v="65644.278875824282"/>
    <n v="0"/>
    <n v="65644.278875824282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515.75170370370324"/>
    <n v="9957.1023917036946"/>
    <n v="0"/>
    <n v="9957.1023917036946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7.50805836020203"/>
    <n v="2284.997536780505"/>
    <n v="800.9107656438058"/>
    <n v="800.9107656438058"/>
  </r>
  <r>
    <x v="1"/>
    <x v="1"/>
    <x v="1"/>
    <s v="Økologisk"/>
    <x v="2"/>
    <s v="Halm"/>
    <n v="6.3118922813807306"/>
    <n v="19.442395556491434"/>
    <n v="6.1984121364119842"/>
    <n v="6.1984121364119842"/>
  </r>
  <r>
    <x v="1"/>
    <x v="2"/>
    <x v="1"/>
    <s v="Økologisk"/>
    <x v="2"/>
    <s v="Halm"/>
    <n v="30.832116866658851"/>
    <n v="104.45921194424018"/>
    <n v="59.913537174644922"/>
    <n v="59.913537174644922"/>
  </r>
  <r>
    <x v="1"/>
    <x v="3"/>
    <x v="1"/>
    <s v="Økologisk"/>
    <x v="2"/>
    <s v="Græs"/>
    <n v="226.57245841872887"/>
    <n v="12276.837722317161"/>
    <n v="0"/>
    <n v="12276.837722317161"/>
  </r>
  <r>
    <x v="1"/>
    <x v="4"/>
    <x v="1"/>
    <s v="Økologisk"/>
    <x v="2"/>
    <s v="Grøntsager"/>
    <n v="1.0663856861901932"/>
    <n v="17.657747384780315"/>
    <n v="0"/>
    <n v="17.657747384780315"/>
  </r>
  <r>
    <x v="1"/>
    <x v="5"/>
    <x v="1"/>
    <s v="Økologisk"/>
    <x v="2"/>
    <s v="Kartofler"/>
    <n v="6.0782711997520584"/>
    <n v="206.00341677506344"/>
    <n v="0"/>
    <n v="206.00341677506344"/>
  </r>
  <r>
    <x v="1"/>
    <x v="6"/>
    <x v="1"/>
    <s v="Økologisk"/>
    <x v="2"/>
    <s v="Roer"/>
    <n v="6.9996495740238407"/>
    <n v="453.86062149592021"/>
    <n v="0"/>
    <n v="453.86062149592021"/>
  </r>
  <r>
    <x v="1"/>
    <x v="7"/>
    <x v="1"/>
    <s v="Økologisk"/>
    <x v="2"/>
    <s v="Majs"/>
    <n v="7.1895326467329399"/>
    <n v="371.84708599926864"/>
    <n v="0"/>
    <n v="371.84708599926864"/>
  </r>
  <r>
    <x v="1"/>
    <x v="8"/>
    <x v="1"/>
    <s v="Økologisk"/>
    <x v="2"/>
    <s v="Frugt"/>
    <n v="2.6089050549735591"/>
    <n v="17.675383925546964"/>
    <n v="0"/>
    <n v="17.675383925546964"/>
  </r>
  <r>
    <x v="1"/>
    <x v="9"/>
    <x v="1"/>
    <s v="Økologisk"/>
    <x v="2"/>
    <s v="Øvrige"/>
    <n v="18.628847441986572"/>
    <n v="442.94114063123419"/>
    <n v="0"/>
    <n v="442.94114063123419"/>
  </r>
  <r>
    <x v="1"/>
    <x v="10"/>
    <x v="1"/>
    <s v="Økologisk"/>
    <x v="2"/>
    <s v="Halm"/>
    <n v="174.33206135601603"/>
    <n v="1987.8232274040327"/>
    <n v="354.63031167931513"/>
    <n v="354.63031167931513"/>
  </r>
  <r>
    <x v="1"/>
    <x v="11"/>
    <x v="1"/>
    <s v="Økologisk"/>
    <x v="2"/>
    <s v="Juletræer"/>
    <n v="4.0881393748137143"/>
    <n v="163.1167610550672"/>
    <n v="0"/>
    <n v="163.1167610550672"/>
  </r>
  <r>
    <x v="1"/>
    <x v="12"/>
    <x v="1"/>
    <s v="Økologisk"/>
    <x v="2"/>
    <s v="Pil &amp; poppel"/>
    <n v="12.470539061381483"/>
    <n v="242.71927246298594"/>
    <n v="0"/>
    <n v="242.71927246298594"/>
  </r>
  <r>
    <x v="1"/>
    <x v="13"/>
    <x v="1"/>
    <s v="Økologisk"/>
    <x v="2"/>
    <s v="Græs"/>
    <n v="1136.7813790559183"/>
    <n v="21946.70130405356"/>
    <n v="0"/>
    <n v="21946.70130405356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515.75170370370324"/>
    <n v="9957.1023917036946"/>
    <n v="0"/>
    <n v="9957.102391703694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4220540.2072265251"/>
  </r>
  <r>
    <x v="1"/>
    <x v="0"/>
    <x v="1"/>
    <n v="481659.22850480652"/>
  </r>
  <r>
    <x v="2"/>
    <x v="0"/>
    <x v="1"/>
    <n v="647982.39082629455"/>
  </r>
  <r>
    <x v="3"/>
    <x v="0"/>
    <x v="1"/>
    <n v="21414098.756239291"/>
  </r>
  <r>
    <x v="4"/>
    <x v="0"/>
    <x v="1"/>
    <n v="281423.99402613594"/>
  </r>
  <r>
    <x v="5"/>
    <x v="0"/>
    <x v="1"/>
    <n v="2242614.2909873207"/>
  </r>
  <r>
    <x v="6"/>
    <x v="0"/>
    <x v="1"/>
    <n v="2550745.2722111917"/>
  </r>
  <r>
    <x v="7"/>
    <x v="0"/>
    <x v="1"/>
    <n v="3841740.8343041693"/>
  </r>
  <r>
    <x v="8"/>
    <x v="0"/>
    <x v="1"/>
    <n v="430871.84710127779"/>
  </r>
  <r>
    <x v="9"/>
    <x v="0"/>
    <x v="1"/>
    <n v="918139.94844972179"/>
  </r>
  <r>
    <x v="10"/>
    <x v="0"/>
    <x v="1"/>
    <n v="664815.58983177762"/>
  </r>
  <r>
    <x v="11"/>
    <x v="0"/>
    <x v="1"/>
    <n v="603118.80667157366"/>
  </r>
  <r>
    <x v="12"/>
    <x v="0"/>
    <x v="1"/>
    <n v="792652.16456581966"/>
  </r>
  <r>
    <x v="0"/>
    <x v="0"/>
    <x v="2"/>
    <n v="440363.1063619653"/>
  </r>
  <r>
    <x v="1"/>
    <x v="0"/>
    <x v="2"/>
    <n v="675379.18690925464"/>
  </r>
  <r>
    <x v="2"/>
    <x v="0"/>
    <x v="2"/>
    <n v="670636.87299018225"/>
  </r>
  <r>
    <x v="3"/>
    <x v="0"/>
    <x v="2"/>
    <n v="28845032.2708226"/>
  </r>
  <r>
    <x v="4"/>
    <x v="0"/>
    <x v="2"/>
    <n v="304619.14425386849"/>
  </r>
  <r>
    <x v="5"/>
    <x v="0"/>
    <x v="2"/>
    <n v="2359310.5932499878"/>
  </r>
  <r>
    <x v="6"/>
    <x v="0"/>
    <x v="2"/>
    <n v="2775969.9581087129"/>
  </r>
  <r>
    <x v="7"/>
    <x v="0"/>
    <x v="2"/>
    <n v="414732.57617739204"/>
  </r>
  <r>
    <x v="8"/>
    <x v="0"/>
    <x v="2"/>
    <n v="782024.94316368026"/>
  </r>
  <r>
    <x v="9"/>
    <x v="0"/>
    <x v="2"/>
    <n v="91558.70508823132"/>
  </r>
  <r>
    <x v="10"/>
    <x v="0"/>
    <x v="2"/>
    <n v="63416.052113342856"/>
  </r>
  <r>
    <x v="11"/>
    <x v="0"/>
    <x v="2"/>
    <n v="390434.16444163944"/>
  </r>
  <r>
    <x v="12"/>
    <x v="0"/>
    <x v="2"/>
    <n v="1328394.2479560631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320594.9697580421"/>
  </r>
  <r>
    <x v="1"/>
    <x v="1"/>
    <x v="1"/>
    <n v="151127.91698478759"/>
  </r>
  <r>
    <x v="2"/>
    <x v="1"/>
    <x v="1"/>
    <n v="204963.98280254862"/>
  </r>
  <r>
    <x v="3"/>
    <x v="1"/>
    <x v="1"/>
    <n v="6205031.1249834606"/>
  </r>
  <r>
    <x v="4"/>
    <x v="1"/>
    <x v="1"/>
    <n v="89283.287705397597"/>
  </r>
  <r>
    <x v="5"/>
    <x v="1"/>
    <x v="1"/>
    <n v="689757.40845134575"/>
  </r>
  <r>
    <x v="6"/>
    <x v="1"/>
    <x v="1"/>
    <n v="818285.05408099853"/>
  </r>
  <r>
    <x v="7"/>
    <x v="1"/>
    <x v="1"/>
    <n v="1159957.6294650177"/>
  </r>
  <r>
    <x v="8"/>
    <x v="1"/>
    <x v="1"/>
    <n v="136756.20304356876"/>
  </r>
  <r>
    <x v="9"/>
    <x v="1"/>
    <x v="1"/>
    <n v="283776.5909190129"/>
  </r>
  <r>
    <x v="10"/>
    <x v="1"/>
    <x v="1"/>
    <n v="219235.46948095749"/>
  </r>
  <r>
    <x v="11"/>
    <x v="1"/>
    <x v="1"/>
    <n v="187014.68622961262"/>
  </r>
  <r>
    <x v="12"/>
    <x v="1"/>
    <x v="1"/>
    <n v="248146.38123349831"/>
  </r>
  <r>
    <x v="0"/>
    <x v="1"/>
    <x v="2"/>
    <n v="175478.49244816136"/>
  </r>
  <r>
    <x v="1"/>
    <x v="1"/>
    <x v="2"/>
    <n v="269129.08878493914"/>
  </r>
  <r>
    <x v="2"/>
    <x v="1"/>
    <x v="2"/>
    <n v="267239.34351515555"/>
  </r>
  <r>
    <x v="3"/>
    <x v="1"/>
    <x v="2"/>
    <n v="11411284.658335894"/>
  </r>
  <r>
    <x v="4"/>
    <x v="1"/>
    <x v="2"/>
    <n v="121386.43640273569"/>
  </r>
  <r>
    <x v="5"/>
    <x v="1"/>
    <x v="2"/>
    <n v="940152.02486146183"/>
  </r>
  <r>
    <x v="6"/>
    <x v="1"/>
    <x v="2"/>
    <n v="1106184.910345105"/>
  </r>
  <r>
    <x v="7"/>
    <x v="1"/>
    <x v="2"/>
    <n v="165265.0873457386"/>
  </r>
  <r>
    <x v="8"/>
    <x v="1"/>
    <x v="2"/>
    <n v="311625.91983903368"/>
  </r>
  <r>
    <x v="9"/>
    <x v="1"/>
    <x v="2"/>
    <n v="36484.853765615815"/>
  </r>
  <r>
    <x v="10"/>
    <x v="1"/>
    <x v="2"/>
    <n v="25270.403131175186"/>
  </r>
  <r>
    <x v="11"/>
    <x v="1"/>
    <x v="2"/>
    <n v="155582.5126734412"/>
  </r>
  <r>
    <x v="12"/>
    <x v="1"/>
    <x v="2"/>
    <n v="529346.38856083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599058.5808147585"/>
  </r>
  <r>
    <x v="0"/>
    <x v="2"/>
    <x v="1"/>
    <s v="JB1-10"/>
    <n v="599851.90159562975"/>
  </r>
  <r>
    <x v="0"/>
    <x v="3"/>
    <x v="1"/>
    <s v="JB1-10"/>
    <n v="407865.76083685132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892.145975308638"/>
  </r>
  <r>
    <x v="0"/>
    <x v="2"/>
    <x v="1"/>
    <s v="OC6"/>
    <n v="0"/>
  </r>
  <r>
    <x v="0"/>
    <x v="3"/>
    <x v="1"/>
    <s v="OC6"/>
    <n v="73747.854024691362"/>
  </r>
  <r>
    <x v="0"/>
    <x v="4"/>
    <x v="1"/>
    <s v="OC6"/>
    <n v="0"/>
  </r>
  <r>
    <x v="0"/>
    <x v="0"/>
    <x v="1"/>
    <s v="OC12"/>
    <n v="0"/>
  </r>
  <r>
    <x v="0"/>
    <x v="1"/>
    <x v="1"/>
    <s v="OC12"/>
    <n v="52069.673876543202"/>
  </r>
  <r>
    <x v="0"/>
    <x v="2"/>
    <x v="1"/>
    <s v="OC12"/>
    <n v="0"/>
  </r>
  <r>
    <x v="0"/>
    <x v="3"/>
    <x v="1"/>
    <s v="OC12"/>
    <n v="59921.4372345679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072542.805780465"/>
  </r>
  <r>
    <x v="0"/>
    <x v="2"/>
    <x v="2"/>
    <s v="JB1-10"/>
    <n v="869138.59569713869"/>
  </r>
  <r>
    <x v="0"/>
    <x v="3"/>
    <x v="2"/>
    <s v="JB1-10"/>
    <n v="665094.84176963591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725.0625185185199"/>
  </r>
  <r>
    <x v="0"/>
    <x v="2"/>
    <x v="2"/>
    <s v="OC6"/>
    <n v="0"/>
  </r>
  <r>
    <x v="0"/>
    <x v="3"/>
    <x v="2"/>
    <s v="OC6"/>
    <n v="131914.93748148147"/>
  </r>
  <r>
    <x v="0"/>
    <x v="4"/>
    <x v="2"/>
    <s v="OC6"/>
    <n v="0"/>
  </r>
  <r>
    <x v="0"/>
    <x v="0"/>
    <x v="2"/>
    <s v="OC12"/>
    <n v="0"/>
  </r>
  <r>
    <x v="0"/>
    <x v="1"/>
    <x v="2"/>
    <s v="OC12"/>
    <n v="6791.6965925925906"/>
  </r>
  <r>
    <x v="0"/>
    <x v="2"/>
    <x v="2"/>
    <s v="OC12"/>
    <n v="0"/>
  </r>
  <r>
    <x v="0"/>
    <x v="3"/>
    <x v="2"/>
    <s v="OC12"/>
    <n v="105199.41451851852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07358.90066672274"/>
  </r>
  <r>
    <x v="1"/>
    <x v="2"/>
    <x v="1"/>
    <s v="JB1-10"/>
    <n v="152372.91321918505"/>
  </r>
  <r>
    <x v="1"/>
    <x v="3"/>
    <x v="1"/>
    <s v="JB1-10"/>
    <n v="89161.94286685242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59.387358024691"/>
  </r>
  <r>
    <x v="1"/>
    <x v="2"/>
    <x v="1"/>
    <s v="OC6"/>
    <n v="0"/>
  </r>
  <r>
    <x v="1"/>
    <x v="3"/>
    <x v="1"/>
    <s v="OC6"/>
    <n v="11200.612641975309"/>
  </r>
  <r>
    <x v="1"/>
    <x v="4"/>
    <x v="1"/>
    <s v="OC6"/>
    <n v="0"/>
  </r>
  <r>
    <x v="1"/>
    <x v="0"/>
    <x v="1"/>
    <s v="OC12"/>
    <n v="0"/>
  </r>
  <r>
    <x v="1"/>
    <x v="1"/>
    <x v="1"/>
    <s v="OC12"/>
    <n v="7908.1927901234558"/>
  </r>
  <r>
    <x v="1"/>
    <x v="2"/>
    <x v="1"/>
    <s v="OC12"/>
    <n v="0"/>
  </r>
  <r>
    <x v="1"/>
    <x v="3"/>
    <x v="1"/>
    <s v="OC12"/>
    <n v="9100.69609876543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27393.19421953481"/>
  </r>
  <r>
    <x v="1"/>
    <x v="2"/>
    <x v="2"/>
    <s v="JB1-10"/>
    <n v="193271.40430286131"/>
  </r>
  <r>
    <x v="1"/>
    <x v="3"/>
    <x v="2"/>
    <s v="JB1-10"/>
    <n v="128229.15823036409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325.1374814814808"/>
  </r>
  <r>
    <x v="1"/>
    <x v="2"/>
    <x v="2"/>
    <s v="OC6"/>
    <n v="0"/>
  </r>
  <r>
    <x v="1"/>
    <x v="3"/>
    <x v="2"/>
    <s v="OC6"/>
    <n v="20034.862518518519"/>
  </r>
  <r>
    <x v="1"/>
    <x v="4"/>
    <x v="2"/>
    <s v="OC6"/>
    <n v="0"/>
  </r>
  <r>
    <x v="1"/>
    <x v="0"/>
    <x v="2"/>
    <s v="OC12"/>
    <n v="0"/>
  </r>
  <r>
    <x v="1"/>
    <x v="1"/>
    <x v="2"/>
    <s v="OC12"/>
    <n v="1031.5034074074065"/>
  </r>
  <r>
    <x v="1"/>
    <x v="2"/>
    <x v="2"/>
    <s v="OC12"/>
    <n v="0"/>
  </r>
  <r>
    <x v="1"/>
    <x v="3"/>
    <x v="2"/>
    <s v="OC12"/>
    <n v="15977.385481481482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5079263.9571064683"/>
  </r>
  <r>
    <x v="1"/>
    <s v="Vestdanmark"/>
    <x v="15"/>
    <x v="1"/>
    <n v="3902399.3654423635"/>
  </r>
  <r>
    <x v="1"/>
    <s v="Vestdanmark"/>
    <x v="16"/>
    <x v="1"/>
    <n v="6063.3754879128683"/>
  </r>
  <r>
    <x v="1"/>
    <s v="Vestdanmark"/>
    <x v="17"/>
    <x v="1"/>
    <n v="1478263.2016142127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877024.5274718911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0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61870.340176480422"/>
  </r>
  <r>
    <x v="1"/>
    <s v="Vestdanmark"/>
    <x v="16"/>
    <x v="2"/>
    <n v="5056.5736535095893"/>
  </r>
  <r>
    <x v="1"/>
    <s v="Vestdanmark"/>
    <x v="17"/>
    <x v="2"/>
    <n v="1517880.3720548805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518251.34982790216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0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735970.69429831882"/>
  </r>
  <r>
    <x v="1"/>
    <s v="Østdanmark"/>
    <x v="15"/>
    <x v="1"/>
    <n v="277359.170792997"/>
  </r>
  <r>
    <x v="1"/>
    <s v="Østdanmark"/>
    <x v="16"/>
    <x v="1"/>
    <n v="508.89686663358577"/>
  </r>
  <r>
    <x v="1"/>
    <s v="Østdanmark"/>
    <x v="17"/>
    <x v="1"/>
    <n v="1266179.0197529776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1260.78666758281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0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4397.3731648257435"/>
  </r>
  <r>
    <x v="1"/>
    <s v="Østdanmark"/>
    <x v="16"/>
    <x v="2"/>
    <n v="424.39636029513713"/>
  </r>
  <r>
    <x v="1"/>
    <s v="Østdanmark"/>
    <x v="17"/>
    <x v="2"/>
    <n v="1324256.6444942397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73643.638189782447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0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2691129.5009707427"/>
  </r>
  <r>
    <x v="2"/>
    <s v="Vestdanmark"/>
    <x v="22"/>
    <x v="1"/>
    <n v="482187.74728528946"/>
  </r>
  <r>
    <x v="2"/>
    <s v="Vestdanmark"/>
    <x v="2"/>
    <x v="1"/>
    <n v="0"/>
  </r>
  <r>
    <x v="2"/>
    <s v="Vestdanmark"/>
    <x v="5"/>
    <x v="1"/>
    <n v="40228.873469919861"/>
  </r>
  <r>
    <x v="2"/>
    <s v="Vestdanmark"/>
    <x v="25"/>
    <x v="1"/>
    <n v="5144644.6526032425"/>
  </r>
  <r>
    <x v="2"/>
    <s v="Vestdanmark"/>
    <x v="24"/>
    <x v="1"/>
    <n v="3525167.7695113979"/>
  </r>
  <r>
    <x v="2"/>
    <s v="Vestdanmark"/>
    <x v="28"/>
    <x v="1"/>
    <n v="133537.51054598394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7632870.0065635424"/>
  </r>
  <r>
    <x v="2"/>
    <s v="Vestdanmark"/>
    <x v="29"/>
    <x v="1"/>
    <n v="609921.6300278171"/>
  </r>
  <r>
    <x v="2"/>
    <s v="Vestdanmark"/>
    <x v="30"/>
    <x v="1"/>
    <n v="0"/>
  </r>
  <r>
    <x v="2"/>
    <s v="Vestdanmark"/>
    <x v="31"/>
    <x v="1"/>
    <n v="5023765.8070002273"/>
  </r>
  <r>
    <x v="2"/>
    <s v="Vestdanmark"/>
    <x v="32"/>
    <x v="1"/>
    <n v="27571.701941246847"/>
  </r>
  <r>
    <x v="2"/>
    <s v="Vestdanmark"/>
    <x v="33"/>
    <x v="1"/>
    <n v="1942953.6559396777"/>
  </r>
  <r>
    <x v="2"/>
    <s v="Vestdanmark"/>
    <x v="0"/>
    <x v="2"/>
    <n v="123145.11430255328"/>
  </r>
  <r>
    <x v="2"/>
    <s v="Vestdanmark"/>
    <x v="22"/>
    <x v="2"/>
    <n v="64762.968256356122"/>
  </r>
  <r>
    <x v="2"/>
    <s v="Vestdanmark"/>
    <x v="2"/>
    <x v="2"/>
    <n v="0"/>
  </r>
  <r>
    <x v="2"/>
    <s v="Vestdanmark"/>
    <x v="5"/>
    <x v="2"/>
    <n v="5403.1676876681813"/>
  </r>
  <r>
    <x v="2"/>
    <s v="Vestdanmark"/>
    <x v="25"/>
    <x v="2"/>
    <n v="1819188.8605265266"/>
  </r>
  <r>
    <x v="2"/>
    <s v="Vestdanmark"/>
    <x v="24"/>
    <x v="2"/>
    <n v="472676.57715918368"/>
  </r>
  <r>
    <x v="2"/>
    <s v="Vestdanmark"/>
    <x v="28"/>
    <x v="2"/>
    <n v="17935.514963231879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25176.0247393751"/>
  </r>
  <r>
    <x v="2"/>
    <s v="Vestdanmark"/>
    <x v="29"/>
    <x v="2"/>
    <n v="0"/>
  </r>
  <r>
    <x v="2"/>
    <s v="Vestdanmark"/>
    <x v="30"/>
    <x v="2"/>
    <n v="0"/>
  </r>
  <r>
    <x v="2"/>
    <s v="Vestdanmark"/>
    <x v="31"/>
    <x v="2"/>
    <n v="1901555.3413212085"/>
  </r>
  <r>
    <x v="2"/>
    <s v="Vestdanmark"/>
    <x v="32"/>
    <x v="2"/>
    <n v="4432.698735766445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343178.29580461275"/>
  </r>
  <r>
    <x v="2"/>
    <s v="Østdanmark"/>
    <x v="22"/>
    <x v="1"/>
    <n v="61489.560168524171"/>
  </r>
  <r>
    <x v="2"/>
    <s v="Østdanmark"/>
    <x v="2"/>
    <x v="1"/>
    <n v="0"/>
  </r>
  <r>
    <x v="2"/>
    <s v="Østdanmark"/>
    <x v="5"/>
    <x v="1"/>
    <n v="5130.0675922754817"/>
  </r>
  <r>
    <x v="2"/>
    <s v="Østdanmark"/>
    <x v="25"/>
    <x v="1"/>
    <n v="656055.52752620552"/>
  </r>
  <r>
    <x v="2"/>
    <s v="Østdanmark"/>
    <x v="24"/>
    <x v="1"/>
    <n v="449536.54854955332"/>
  </r>
  <r>
    <x v="2"/>
    <s v="Østdanmark"/>
    <x v="28"/>
    <x v="1"/>
    <n v="17028.97436880333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973359.07469549077"/>
  </r>
  <r>
    <x v="2"/>
    <s v="Østdanmark"/>
    <x v="29"/>
    <x v="1"/>
    <n v="77778.444140950844"/>
  </r>
  <r>
    <x v="2"/>
    <s v="Østdanmark"/>
    <x v="30"/>
    <x v="1"/>
    <n v="0"/>
  </r>
  <r>
    <x v="2"/>
    <s v="Østdanmark"/>
    <x v="31"/>
    <x v="1"/>
    <n v="640640.81180260039"/>
  </r>
  <r>
    <x v="2"/>
    <s v="Østdanmark"/>
    <x v="32"/>
    <x v="1"/>
    <n v="3515.9993902993874"/>
  </r>
  <r>
    <x v="2"/>
    <s v="Østdanmark"/>
    <x v="33"/>
    <x v="1"/>
    <n v="247769.39356957746"/>
  </r>
  <r>
    <x v="2"/>
    <s v="Østdanmark"/>
    <x v="0"/>
    <x v="2"/>
    <n v="16515.993687659306"/>
  </r>
  <r>
    <x v="2"/>
    <s v="Østdanmark"/>
    <x v="22"/>
    <x v="2"/>
    <n v="8685.8888472677336"/>
  </r>
  <r>
    <x v="2"/>
    <s v="Østdanmark"/>
    <x v="2"/>
    <x v="2"/>
    <n v="0"/>
  </r>
  <r>
    <x v="2"/>
    <s v="Østdanmark"/>
    <x v="5"/>
    <x v="2"/>
    <n v="724.66280069904622"/>
  </r>
  <r>
    <x v="2"/>
    <s v="Østdanmark"/>
    <x v="25"/>
    <x v="2"/>
    <n v="243986.22639057698"/>
  </r>
  <r>
    <x v="2"/>
    <s v="Østdanmark"/>
    <x v="24"/>
    <x v="2"/>
    <n v="63394.503378227986"/>
  </r>
  <r>
    <x v="2"/>
    <s v="Østdanmark"/>
    <x v="28"/>
    <x v="2"/>
    <n v="2405.477907876000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37494.70167152316"/>
  </r>
  <r>
    <x v="2"/>
    <s v="Østdanmark"/>
    <x v="29"/>
    <x v="2"/>
    <n v="0"/>
  </r>
  <r>
    <x v="2"/>
    <s v="Østdanmark"/>
    <x v="30"/>
    <x v="2"/>
    <n v="0"/>
  </r>
  <r>
    <x v="2"/>
    <s v="Østdanmark"/>
    <x v="31"/>
    <x v="2"/>
    <n v="255033.06559799711"/>
  </r>
  <r>
    <x v="2"/>
    <s v="Østdanmark"/>
    <x v="32"/>
    <x v="2"/>
    <n v="594.50530988460082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15280.1328495261"/>
  </r>
  <r>
    <x v="3"/>
    <s v="Vestdanmark"/>
    <x v="34"/>
    <x v="1"/>
    <n v="207354.36506441425"/>
  </r>
  <r>
    <x v="3"/>
    <s v="Vestdanmark"/>
    <x v="35"/>
    <x v="1"/>
    <n v="792652.16456581966"/>
  </r>
  <r>
    <x v="3"/>
    <s v="Vestdanmark"/>
    <x v="36"/>
    <x v="1"/>
    <n v="2215801.6184005174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452.8837989749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92258.30184736766"/>
  </r>
  <r>
    <x v="3"/>
    <s v="Østdanmark"/>
    <x v="34"/>
    <x v="1"/>
    <n v="65588.474496815557"/>
  </r>
  <r>
    <x v="3"/>
    <s v="Østdanmark"/>
    <x v="35"/>
    <x v="1"/>
    <n v="248146.38123349831"/>
  </r>
  <r>
    <x v="3"/>
    <s v="Østdanmark"/>
    <x v="36"/>
    <x v="1"/>
    <n v="647094.30995983595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37.0882851319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577911.40512234275"/>
  </r>
  <r>
    <x v="3"/>
    <s v="Vestdanmark"/>
    <x v="34"/>
    <x v="2"/>
    <n v="214603.79935685833"/>
  </r>
  <r>
    <x v="3"/>
    <s v="Vestdanmark"/>
    <x v="35"/>
    <x v="2"/>
    <n v="1328394.2479560631"/>
  </r>
  <r>
    <x v="3"/>
    <s v="Vestdanmark"/>
    <x v="36"/>
    <x v="2"/>
    <n v="2249732.4484132435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97041.5529451246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65754.69168163347"/>
  </r>
  <r>
    <x v="3"/>
    <s v="Østdanmark"/>
    <x v="34"/>
    <x v="2"/>
    <n v="85516.589924849774"/>
  </r>
  <r>
    <x v="3"/>
    <s v="Østdanmark"/>
    <x v="35"/>
    <x v="2"/>
    <n v="529346.388560839"/>
  </r>
  <r>
    <x v="3"/>
    <s v="Østdanmark"/>
    <x v="36"/>
    <x v="2"/>
    <n v="626992.95337647933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5714.85587464209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1693087.9857021561"/>
  </r>
  <r>
    <x v="5"/>
    <s v="Vestdanmark"/>
    <x v="15"/>
    <x v="1"/>
    <n v="1300799.7884807878"/>
  </r>
  <r>
    <x v="5"/>
    <s v="Vestdanmark"/>
    <x v="16"/>
    <x v="1"/>
    <n v="2021.1251626376227"/>
  </r>
  <r>
    <x v="5"/>
    <s v="Vestdanmark"/>
    <x v="20"/>
    <x v="1"/>
    <n v="236862.61894288147"/>
  </r>
  <r>
    <x v="5"/>
    <s v="Vestdanmark"/>
    <x v="38"/>
    <x v="1"/>
    <n v="8903736.5766237658"/>
  </r>
  <r>
    <x v="5"/>
    <s v="Vestdanmark"/>
    <x v="39"/>
    <x v="1"/>
    <n v="995222.8905503545"/>
  </r>
  <r>
    <x v="5"/>
    <s v="Vestdanmark"/>
    <x v="14"/>
    <x v="2"/>
    <n v="0"/>
  </r>
  <r>
    <x v="5"/>
    <s v="Vestdanmark"/>
    <x v="15"/>
    <x v="2"/>
    <n v="6874.4822418311569"/>
  </r>
  <r>
    <x v="5"/>
    <s v="Vestdanmark"/>
    <x v="16"/>
    <x v="2"/>
    <n v="561.84151705662089"/>
  </r>
  <r>
    <x v="5"/>
    <s v="Vestdanmark"/>
    <x v="20"/>
    <x v="2"/>
    <n v="21799.461540380005"/>
  </r>
  <r>
    <x v="5"/>
    <s v="Vestdanmark"/>
    <x v="38"/>
    <x v="2"/>
    <n v="47604.725505662638"/>
  </r>
  <r>
    <x v="5"/>
    <s v="Vestdanmark"/>
    <x v="39"/>
    <x v="2"/>
    <n v="982391.24658337084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245323.56476610628"/>
  </r>
  <r>
    <x v="5"/>
    <s v="Østdanmark"/>
    <x v="15"/>
    <x v="1"/>
    <n v="92453.05693099901"/>
  </r>
  <r>
    <x v="5"/>
    <s v="Østdanmark"/>
    <x v="16"/>
    <x v="1"/>
    <n v="169.63228887786195"/>
  </r>
  <r>
    <x v="5"/>
    <s v="Østdanmark"/>
    <x v="20"/>
    <x v="1"/>
    <n v="32968.623079480683"/>
  </r>
  <r>
    <x v="5"/>
    <s v="Østdanmark"/>
    <x v="38"/>
    <x v="1"/>
    <n v="1833172.5263920096"/>
  </r>
  <r>
    <x v="5"/>
    <s v="Østdanmark"/>
    <x v="39"/>
    <x v="1"/>
    <n v="378703.95707755227"/>
  </r>
  <r>
    <x v="5"/>
    <s v="Østdanmark"/>
    <x v="14"/>
    <x v="2"/>
    <n v="0"/>
  </r>
  <r>
    <x v="5"/>
    <s v="Østdanmark"/>
    <x v="15"/>
    <x v="2"/>
    <n v="488.59701831397138"/>
  </r>
  <r>
    <x v="5"/>
    <s v="Østdanmark"/>
    <x v="16"/>
    <x v="2"/>
    <n v="47.155151143904114"/>
  </r>
  <r>
    <x v="5"/>
    <s v="Østdanmark"/>
    <x v="20"/>
    <x v="2"/>
    <n v="3097.7085905225945"/>
  </r>
  <r>
    <x v="5"/>
    <s v="Østdanmark"/>
    <x v="38"/>
    <x v="2"/>
    <n v="31751.943156603487"/>
  </r>
  <r>
    <x v="5"/>
    <s v="Østdanmark"/>
    <x v="39"/>
    <x v="2"/>
    <n v="390323.36216618225"/>
  </r>
  <r>
    <x v="6"/>
    <s v="Vestdanmark"/>
    <x v="23"/>
    <x v="0"/>
    <n v="0"/>
  </r>
  <r>
    <x v="6"/>
    <s v="Vestdanmark"/>
    <x v="23"/>
    <x v="1"/>
    <n v="30051588.08806663"/>
  </r>
  <r>
    <x v="6"/>
    <s v="Vestdanmark"/>
    <x v="23"/>
    <x v="2"/>
    <n v="11374884.904949415"/>
  </r>
  <r>
    <x v="6"/>
    <s v="Østdanmark"/>
    <x v="23"/>
    <x v="0"/>
    <n v="0"/>
  </r>
  <r>
    <x v="6"/>
    <s v="Østdanmark"/>
    <x v="23"/>
    <x v="1"/>
    <n v="3832239.5048490944"/>
  </r>
  <r>
    <x v="6"/>
    <s v="Østdanmark"/>
    <x v="23"/>
    <x v="2"/>
    <n v="1525578.4068414355"/>
  </r>
  <r>
    <x v="7"/>
    <s v="Vestdanmark"/>
    <x v="40"/>
    <x v="0"/>
    <n v="485762.00237315823"/>
  </r>
  <r>
    <x v="7"/>
    <s v="Vestdanmark"/>
    <x v="40"/>
    <x v="1"/>
    <n v="647982.39082629455"/>
  </r>
  <r>
    <x v="7"/>
    <s v="Vestdanmark"/>
    <x v="40"/>
    <x v="2"/>
    <n v="670636.87299018225"/>
  </r>
  <r>
    <x v="7"/>
    <s v="Østdanmark"/>
    <x v="40"/>
    <x v="0"/>
    <n v="192563.22613808865"/>
  </r>
  <r>
    <x v="7"/>
    <s v="Østdanmark"/>
    <x v="40"/>
    <x v="1"/>
    <n v="204963.98280254862"/>
  </r>
  <r>
    <x v="7"/>
    <s v="Østdanmark"/>
    <x v="40"/>
    <x v="2"/>
    <n v="267239.3435151555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0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L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4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0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7"/>
    </i>
    <i>
      <x v="10"/>
    </i>
    <i>
      <x v="13"/>
    </i>
    <i>
      <x v="14"/>
    </i>
    <i>
      <x v="22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3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0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L9" firstHeaderRow="1" firstDataRow="2" firstDataCol="1" rowPageCount="1" colPageCount="1"/>
  <pivotFields count="27">
    <pivotField axis="axisCol" showAll="0">
      <items count="49">
        <item h="1" x="0"/>
        <item x="1"/>
        <item h="1" x="2"/>
        <item h="1" x="4"/>
        <item h="1" x="6"/>
        <item h="1" x="9"/>
        <item h="1" x="10"/>
        <item x="13"/>
        <item h="1" x="15"/>
        <item x="16"/>
        <item h="1" x="19"/>
        <item x="21"/>
        <item x="22"/>
        <item h="1" x="23"/>
        <item h="1" x="25"/>
        <item x="26"/>
        <item h="1" x="27"/>
        <item h="1" x="28"/>
        <item h="1" x="29"/>
        <item h="1" x="31"/>
        <item h="1" x="34"/>
        <item x="35"/>
        <item x="38"/>
        <item h="1" x="39"/>
        <item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x="14"/>
        <item h="1" x="18"/>
        <item h="1" x="20"/>
        <item h="1" x="30"/>
        <item h="1" x="45"/>
        <item h="1" x="3"/>
        <item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1"/>
    </i>
    <i>
      <x v="7"/>
    </i>
    <i>
      <x v="9"/>
    </i>
    <i>
      <x v="11"/>
    </i>
    <i>
      <x v="12"/>
    </i>
    <i>
      <x v="15"/>
    </i>
    <i>
      <x v="22"/>
    </i>
    <i>
      <x v="24"/>
    </i>
    <i>
      <x v="26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02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0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0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0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0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0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0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ft.dk/samling/20131/almdel/miu/bilag/241/1345499.pdf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52" t="s">
        <v>268</v>
      </c>
      <c r="B1" s="452"/>
      <c r="D1" s="73" t="s">
        <v>281</v>
      </c>
    </row>
    <row r="2" spans="1:5" x14ac:dyDescent="0.25">
      <c r="A2" s="6" t="s">
        <v>0</v>
      </c>
      <c r="B2" s="199" t="s">
        <v>334</v>
      </c>
    </row>
    <row r="4" spans="1:5" ht="30" customHeight="1" thickBot="1" x14ac:dyDescent="0.3">
      <c r="A4" s="451" t="s">
        <v>267</v>
      </c>
      <c r="B4" s="451"/>
      <c r="D4" s="73"/>
    </row>
    <row r="5" spans="1:5" ht="15.75" thickTop="1" x14ac:dyDescent="0.25">
      <c r="A5" s="231" t="s">
        <v>85</v>
      </c>
      <c r="B5" s="230" t="s">
        <v>301</v>
      </c>
      <c r="D5" s="189" t="s">
        <v>43</v>
      </c>
      <c r="E5" s="190"/>
    </row>
    <row r="6" spans="1:5" x14ac:dyDescent="0.25">
      <c r="A6" s="184" t="s">
        <v>83</v>
      </c>
      <c r="B6" s="185" t="s">
        <v>255</v>
      </c>
      <c r="D6" s="191" t="s">
        <v>266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256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257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258</v>
      </c>
      <c r="D11" s="191" t="s">
        <v>32</v>
      </c>
      <c r="E11" s="192"/>
    </row>
    <row r="12" spans="1:5" x14ac:dyDescent="0.25">
      <c r="A12" s="184" t="s">
        <v>252</v>
      </c>
      <c r="B12" s="185" t="s">
        <v>259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260</v>
      </c>
      <c r="D14" s="191" t="s">
        <v>33</v>
      </c>
      <c r="E14" s="192"/>
    </row>
    <row r="15" spans="1:5" x14ac:dyDescent="0.25">
      <c r="A15" s="184" t="s">
        <v>70</v>
      </c>
      <c r="B15" s="185" t="s">
        <v>261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265</v>
      </c>
      <c r="D17" s="193" t="s">
        <v>348</v>
      </c>
      <c r="E17" s="192"/>
    </row>
    <row r="18" spans="1:5" x14ac:dyDescent="0.25">
      <c r="A18" s="184" t="s">
        <v>73</v>
      </c>
      <c r="B18" s="453" t="s">
        <v>269</v>
      </c>
      <c r="D18" s="191">
        <v>2019</v>
      </c>
      <c r="E18" s="192"/>
    </row>
    <row r="19" spans="1:5" x14ac:dyDescent="0.25">
      <c r="A19" s="184" t="s">
        <v>253</v>
      </c>
      <c r="B19" s="453"/>
      <c r="D19" s="191">
        <v>2030</v>
      </c>
      <c r="E19" s="192"/>
    </row>
    <row r="20" spans="1:5" ht="15.75" thickBot="1" x14ac:dyDescent="0.3">
      <c r="A20" s="184" t="s">
        <v>254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302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24" zoomScale="55" zoomScaleNormal="55" workbookViewId="0">
      <selection activeCell="Q38" sqref="Q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295</v>
      </c>
      <c r="B1" s="228"/>
      <c r="C1" s="454" t="s">
        <v>294</v>
      </c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454"/>
    </row>
    <row r="2" spans="1:18" ht="15" customHeight="1" x14ac:dyDescent="0.25">
      <c r="A2" s="228"/>
      <c r="B2" s="228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</row>
    <row r="3" spans="1:18" x14ac:dyDescent="0.25">
      <c r="A3" s="73"/>
    </row>
    <row r="34" spans="16:20" ht="15.75" x14ac:dyDescent="0.25">
      <c r="P34" s="316" t="s">
        <v>93</v>
      </c>
      <c r="Q34" s="316" t="s">
        <v>331</v>
      </c>
      <c r="R34" s="316" t="s">
        <v>332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15223058.866009561</v>
      </c>
      <c r="R36" s="317">
        <f>1-Q36/$Q$35</f>
        <v>0.23884705669952189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8116816.4602926783</v>
      </c>
      <c r="R37" s="317">
        <f>1-Q37/$Q$35</f>
        <v>0.59415917698536602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-3438555.9214058015</v>
      </c>
      <c r="R38" s="317">
        <f>1-Q38/$Q$35</f>
        <v>1.1719277960702901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333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260</v>
      </c>
    </row>
    <row r="12" spans="1:1" x14ac:dyDescent="0.25">
      <c r="A12" s="349" t="s">
        <v>110</v>
      </c>
    </row>
    <row r="13" spans="1:1" x14ac:dyDescent="0.25">
      <c r="A13" s="327" t="s">
        <v>229</v>
      </c>
    </row>
    <row r="14" spans="1:1" x14ac:dyDescent="0.25">
      <c r="A14" s="350" t="s">
        <v>207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203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223</v>
      </c>
    </row>
    <row r="26" spans="1:1" x14ac:dyDescent="0.25">
      <c r="A26" s="330" t="s">
        <v>202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226</v>
      </c>
    </row>
    <row r="30" spans="1:1" x14ac:dyDescent="0.25">
      <c r="A30" s="331" t="s">
        <v>199</v>
      </c>
    </row>
    <row r="31" spans="1:1" x14ac:dyDescent="0.25">
      <c r="A31" s="324" t="s">
        <v>225</v>
      </c>
    </row>
    <row r="32" spans="1:1" x14ac:dyDescent="0.25">
      <c r="A32" s="382" t="s">
        <v>162</v>
      </c>
    </row>
    <row r="33" spans="1:1" x14ac:dyDescent="0.25">
      <c r="A33" s="333" t="s">
        <v>192</v>
      </c>
    </row>
    <row r="34" spans="1:1" x14ac:dyDescent="0.25">
      <c r="A34" s="328" t="s">
        <v>221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193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305</v>
      </c>
    </row>
    <row r="55" spans="1:1" x14ac:dyDescent="0.25">
      <c r="A55" s="356" t="s">
        <v>306</v>
      </c>
    </row>
    <row r="56" spans="1:1" x14ac:dyDescent="0.25">
      <c r="A56" s="336" t="s">
        <v>309</v>
      </c>
    </row>
    <row r="57" spans="1:1" x14ac:dyDescent="0.25">
      <c r="A57" s="321" t="s">
        <v>311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237</v>
      </c>
    </row>
    <row r="61" spans="1:1" x14ac:dyDescent="0.25">
      <c r="A61" s="361" t="s">
        <v>230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330</v>
      </c>
    </row>
    <row r="78" spans="1:8" x14ac:dyDescent="0.25">
      <c r="A78" s="323" t="s">
        <v>224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A9" sqref="A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270</v>
      </c>
      <c r="B1" s="73" t="s">
        <v>296</v>
      </c>
    </row>
    <row r="2" spans="1:22" ht="42.95" customHeight="1" x14ac:dyDescent="0.25">
      <c r="A2" s="200" t="s">
        <v>280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303</v>
      </c>
      <c r="K2" s="6"/>
      <c r="L2" s="6"/>
      <c r="M2" s="6"/>
      <c r="N2" s="6"/>
      <c r="O2" s="6"/>
      <c r="P2" s="6"/>
    </row>
    <row r="3" spans="1:22" x14ac:dyDescent="0.25">
      <c r="A3" s="2" t="s">
        <v>263</v>
      </c>
      <c r="B3" s="2"/>
      <c r="C3" s="9">
        <f>D3/($D$2-2023)*($C$2-2023)</f>
        <v>18254.133333333335</v>
      </c>
      <c r="D3" s="9">
        <f>90%*L6</f>
        <v>70408.800000000003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264</v>
      </c>
      <c r="B4" s="2"/>
      <c r="C4" s="9">
        <f>D4/($D$2-2023)*($C$2-2023)</f>
        <v>23450.466666666667</v>
      </c>
      <c r="D4" s="21">
        <f>90%*K6</f>
        <v>90451.8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266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0">SUM(J25,J35)</f>
        <v>592120</v>
      </c>
      <c r="K5" s="16">
        <f t="shared" si="0"/>
        <v>0</v>
      </c>
      <c r="L5" s="16">
        <f t="shared" si="0"/>
        <v>0</v>
      </c>
      <c r="M5" s="17">
        <f t="shared" si="0"/>
        <v>592120</v>
      </c>
      <c r="N5" s="17">
        <f t="shared" si="0"/>
        <v>0</v>
      </c>
      <c r="O5" s="17">
        <f t="shared" si="0"/>
        <v>0</v>
      </c>
      <c r="P5" s="17">
        <f t="shared" si="0"/>
        <v>592120</v>
      </c>
      <c r="Q5" s="17">
        <f t="shared" si="0"/>
        <v>0</v>
      </c>
      <c r="R5" s="17">
        <f t="shared" si="0"/>
        <v>0</v>
      </c>
      <c r="T5" s="14">
        <f>SUMIFS($J5:$R5,$J$3:$R$3,T$3)/4293300</f>
        <v>0.13791721985419142</v>
      </c>
      <c r="U5" s="14">
        <f t="shared" ref="U5:V9" si="1">SUMIFS($J5:$R5,$J$3:$R$3,U$3)/4293300</f>
        <v>0.13791721985419142</v>
      </c>
      <c r="V5" s="14">
        <f t="shared" si="1"/>
        <v>0.13791721985419142</v>
      </c>
    </row>
    <row r="6" spans="1:22" x14ac:dyDescent="0.25">
      <c r="A6" s="2" t="s">
        <v>358</v>
      </c>
      <c r="B6" s="2"/>
      <c r="C6" s="9">
        <f>D6/($D$2-2023)*($C$2-2023)</f>
        <v>51851.851851851854</v>
      </c>
      <c r="D6" s="9">
        <v>200000</v>
      </c>
      <c r="E6" s="9" t="s">
        <v>266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2">SUM(J26,J36)</f>
        <v>2399936</v>
      </c>
      <c r="K6" s="16">
        <f t="shared" si="2"/>
        <v>100502</v>
      </c>
      <c r="L6" s="16">
        <f t="shared" si="2"/>
        <v>78232</v>
      </c>
      <c r="M6" s="17">
        <f t="shared" si="2"/>
        <v>2106417.4814814813</v>
      </c>
      <c r="N6" s="17">
        <f t="shared" si="2"/>
        <v>77051.533333333326</v>
      </c>
      <c r="O6" s="17">
        <f t="shared" si="2"/>
        <v>59977.866666666654</v>
      </c>
      <c r="P6" s="17">
        <f t="shared" si="2"/>
        <v>1499935.9999999998</v>
      </c>
      <c r="Q6" s="17">
        <f t="shared" si="2"/>
        <v>10050.200000000001</v>
      </c>
      <c r="R6" s="17">
        <f t="shared" si="2"/>
        <v>7823.1999999999971</v>
      </c>
      <c r="T6" s="14">
        <f>SUMIFS($J6:$R6,$J$3:$R$3,T$3)/4293300</f>
        <v>0.60062655765960915</v>
      </c>
      <c r="U6" s="14">
        <f t="shared" si="1"/>
        <v>0.52254603253475906</v>
      </c>
      <c r="V6" s="14">
        <f t="shared" si="1"/>
        <v>0.3535297789579111</v>
      </c>
    </row>
    <row r="7" spans="1:22" x14ac:dyDescent="0.25">
      <c r="A7" s="2" t="s">
        <v>426</v>
      </c>
      <c r="B7" s="2"/>
      <c r="C7" s="9">
        <f>D7/($D$2-2023)*($C$2-2023)</f>
        <v>51851.851851851854</v>
      </c>
      <c r="D7" s="9">
        <v>200000</v>
      </c>
      <c r="E7" s="9" t="s">
        <v>266</v>
      </c>
      <c r="F7" s="104" t="s">
        <v>9</v>
      </c>
      <c r="G7" s="104" t="s">
        <v>33</v>
      </c>
      <c r="I7" s="25" t="str">
        <f>SkovAreal</f>
        <v>Skov</v>
      </c>
      <c r="J7" s="16">
        <f t="shared" ref="J7:R7" si="3">SUM(J27,J37)</f>
        <v>562410</v>
      </c>
      <c r="K7" s="16">
        <f t="shared" si="3"/>
        <v>0</v>
      </c>
      <c r="L7" s="16">
        <f t="shared" si="3"/>
        <v>0</v>
      </c>
      <c r="M7" s="17">
        <f t="shared" si="3"/>
        <v>752224.81481481483</v>
      </c>
      <c r="N7" s="17">
        <f t="shared" si="3"/>
        <v>0</v>
      </c>
      <c r="O7" s="17">
        <f t="shared" si="3"/>
        <v>0</v>
      </c>
      <c r="P7" s="17">
        <f t="shared" si="3"/>
        <v>1062410</v>
      </c>
      <c r="Q7" s="17">
        <f t="shared" si="3"/>
        <v>0</v>
      </c>
      <c r="R7" s="17">
        <f t="shared" si="3"/>
        <v>0</v>
      </c>
      <c r="T7" s="14">
        <f>SUMIFS($J7:$R7,$J$3:$R$3,T$3)/4293300</f>
        <v>0.13099713507092448</v>
      </c>
      <c r="U7" s="14">
        <f t="shared" si="1"/>
        <v>0.17520900352055874</v>
      </c>
      <c r="V7" s="14">
        <f t="shared" si="1"/>
        <v>0.24745766659679036</v>
      </c>
    </row>
    <row r="8" spans="1:22" x14ac:dyDescent="0.25">
      <c r="A8" s="2" t="s">
        <v>427</v>
      </c>
      <c r="B8" s="2"/>
      <c r="C8" s="9">
        <f>D8/($D$2-2023)*($C$2-2023)</f>
        <v>64814.814814814818</v>
      </c>
      <c r="D8" s="9">
        <v>250000</v>
      </c>
      <c r="E8" s="9" t="s">
        <v>266</v>
      </c>
      <c r="F8" s="104" t="s">
        <v>9</v>
      </c>
      <c r="G8" s="104" t="s">
        <v>10</v>
      </c>
      <c r="I8" s="25" t="str">
        <f>NaturAreal</f>
        <v>Natur</v>
      </c>
      <c r="J8" s="16">
        <f t="shared" ref="J8:R8" si="4">SUM(J28,J38)</f>
        <v>393324.00000000006</v>
      </c>
      <c r="K8" s="16">
        <f t="shared" si="4"/>
        <v>61498</v>
      </c>
      <c r="L8" s="16">
        <f t="shared" si="4"/>
        <v>50768</v>
      </c>
      <c r="M8" s="17">
        <f t="shared" si="4"/>
        <v>497027.70370370371</v>
      </c>
      <c r="N8" s="17">
        <f t="shared" si="4"/>
        <v>84948.466666666674</v>
      </c>
      <c r="O8" s="17">
        <f t="shared" si="4"/>
        <v>69022.133333333331</v>
      </c>
      <c r="P8" s="17">
        <f t="shared" si="4"/>
        <v>793324</v>
      </c>
      <c r="Q8" s="17">
        <f t="shared" si="4"/>
        <v>151949.79999999999</v>
      </c>
      <c r="R8" s="17">
        <f t="shared" si="4"/>
        <v>121176.8</v>
      </c>
      <c r="T8" s="14">
        <f>SUMIFS($J8:$R8,$J$3:$R$3,T$3)/4293300</f>
        <v>0.11776256026832507</v>
      </c>
      <c r="U8" s="14">
        <f t="shared" si="1"/>
        <v>0.15163121694354079</v>
      </c>
      <c r="V8" s="14">
        <f t="shared" si="1"/>
        <v>0.24839880744415721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5">SUM(J29,J39)</f>
        <v>66640</v>
      </c>
      <c r="K9" s="18">
        <f t="shared" si="5"/>
        <v>0</v>
      </c>
      <c r="L9" s="18">
        <f t="shared" si="5"/>
        <v>0</v>
      </c>
      <c r="M9" s="88">
        <f t="shared" si="5"/>
        <v>66640</v>
      </c>
      <c r="N9" s="88">
        <f t="shared" si="5"/>
        <v>0</v>
      </c>
      <c r="O9" s="88">
        <f t="shared" si="5"/>
        <v>0</v>
      </c>
      <c r="P9" s="88">
        <f t="shared" si="5"/>
        <v>66640</v>
      </c>
      <c r="Q9" s="88">
        <f t="shared" si="5"/>
        <v>0</v>
      </c>
      <c r="R9" s="88">
        <f t="shared" si="5"/>
        <v>0</v>
      </c>
      <c r="T9" s="14">
        <f>SUMIFS($J9:$R9,$J$3:$R$3,T$3)/4293300</f>
        <v>1.5521859641767406E-2</v>
      </c>
      <c r="U9" s="14">
        <f t="shared" si="1"/>
        <v>1.5521859641767406E-2</v>
      </c>
      <c r="V9" s="14">
        <f t="shared" si="1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6">SUM(J5:J9)</f>
        <v>4014430</v>
      </c>
      <c r="K10" s="19">
        <f t="shared" si="6"/>
        <v>162000</v>
      </c>
      <c r="L10" s="19">
        <f t="shared" si="6"/>
        <v>129000</v>
      </c>
      <c r="M10" s="20">
        <f t="shared" si="6"/>
        <v>4014430</v>
      </c>
      <c r="N10" s="20">
        <f t="shared" si="6"/>
        <v>162000</v>
      </c>
      <c r="O10" s="20">
        <f t="shared" si="6"/>
        <v>128999.99999999999</v>
      </c>
      <c r="P10" s="20">
        <f t="shared" si="6"/>
        <v>4014430</v>
      </c>
      <c r="Q10" s="20">
        <f t="shared" si="6"/>
        <v>162000</v>
      </c>
      <c r="R10" s="20">
        <f t="shared" si="6"/>
        <v>129000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I14" s="446">
        <f>0.7*J7+D5*0.6</f>
        <v>543687</v>
      </c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297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1599058.5808147585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66892.145975308638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52069.673876543202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1072542.805780465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8725.0625185185199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6791.6965925925906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599851.90159562975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869138.59569713869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407865.76083685132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73747.854024691362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59921.4372345679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665094.84176963591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131914.93748148147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105199.41451851852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7">SUM(J25:J29)</f>
        <v>3067315.5831008903</v>
      </c>
      <c r="K30" s="245">
        <f t="shared" si="7"/>
        <v>140640</v>
      </c>
      <c r="L30" s="245">
        <f t="shared" si="7"/>
        <v>111991.11111111109</v>
      </c>
      <c r="M30" s="248">
        <f t="shared" si="7"/>
        <v>3067315.5831008903</v>
      </c>
      <c r="N30" s="248">
        <f t="shared" si="7"/>
        <v>140640</v>
      </c>
      <c r="O30" s="248">
        <f t="shared" si="7"/>
        <v>111991.11111111109</v>
      </c>
      <c r="P30" s="248">
        <f t="shared" si="7"/>
        <v>3067315.5831008898</v>
      </c>
      <c r="Q30" s="248">
        <f t="shared" si="7"/>
        <v>140640</v>
      </c>
      <c r="R30" s="248">
        <f t="shared" si="7"/>
        <v>111991.11111111111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298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507358.90066672274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10159.387358024691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7908.1927901234558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427393.19421953481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1325.1374814814808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1031.5034074074065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152372.91321918505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193271.40430286131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89161.94286685242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11200.612641975309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9100.6960987654329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128229.15823036409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20034.862518518519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15977.385481481482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8">SUM(J35:J39)</f>
        <v>947114.41689910984</v>
      </c>
      <c r="K40" s="245">
        <f t="shared" si="8"/>
        <v>21360</v>
      </c>
      <c r="L40" s="245">
        <f t="shared" si="8"/>
        <v>17008.888888888891</v>
      </c>
      <c r="M40" s="248">
        <f t="shared" si="8"/>
        <v>947114.41689910984</v>
      </c>
      <c r="N40" s="248">
        <f t="shared" si="8"/>
        <v>21360</v>
      </c>
      <c r="O40" s="248">
        <f t="shared" si="8"/>
        <v>17008.888888888891</v>
      </c>
      <c r="P40" s="248">
        <f t="shared" si="8"/>
        <v>947114.41689910984</v>
      </c>
      <c r="Q40" s="248">
        <f t="shared" si="8"/>
        <v>21360</v>
      </c>
      <c r="R40" s="248">
        <f t="shared" si="8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E3:E6 E9:E17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F3:G6 F9:G17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zoomScale="90" zoomScaleNormal="90" workbookViewId="0">
      <selection activeCell="D36" sqref="D3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270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3">
        <f>C5-(C5-E5)/($E$10-$C$10)*($D$10-$C$10)</f>
        <v>0.25055891895470928</v>
      </c>
      <c r="E5" s="8">
        <v>0.5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3">
        <f>C6-(C6-E6)/($E$10-$C$10)*($D$10-$C$10)</f>
        <v>0.38059083320838205</v>
      </c>
      <c r="E6" s="8">
        <v>1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3">
        <f>C7-(C7-E7)/($E$10-$C$10)*($D$10-$C$10)</f>
        <v>0.45188681187804958</v>
      </c>
      <c r="E7" s="8">
        <f t="shared" ref="E7:E8" si="0">E6</f>
        <v>1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3">
        <f>C8-(C8-E8)/($E$10-$C$10)*($D$10-$C$10)</f>
        <v>0.4465294998283928</v>
      </c>
      <c r="E8" s="8">
        <f t="shared" si="0"/>
        <v>1</v>
      </c>
    </row>
    <row r="9" spans="1:9" x14ac:dyDescent="0.25">
      <c r="B9" s="79"/>
      <c r="C9" s="12"/>
      <c r="D9" s="12"/>
      <c r="E9" s="78"/>
      <c r="H9" s="1" t="s">
        <v>351</v>
      </c>
      <c r="I9" s="1" t="s">
        <v>354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352</v>
      </c>
      <c r="H10" s="412">
        <v>1</v>
      </c>
      <c r="I10" s="13">
        <f>(I12-I11)/I12</f>
        <v>0.89186769363522433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0.6806451612903226</v>
      </c>
      <c r="E11" s="3">
        <v>0.1</v>
      </c>
      <c r="G11" s="1" t="s">
        <v>353</v>
      </c>
      <c r="H11" s="98">
        <f>[1]Dyrehold!$M$14*(1-H10)</f>
        <v>0</v>
      </c>
      <c r="I11" s="450">
        <v>100000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0.66895310313586476</v>
      </c>
      <c r="E12" s="3">
        <f>([1]Dyrehold!$M$14*(1-H10)+[1]Dyrehold!$M$15*(1-I10))/SUM([1]Dyrehold!$M$14:$M$15)</f>
        <v>6.7049654291982466E-2</v>
      </c>
      <c r="G12" s="1" t="s">
        <v>355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>C13-(C13-E13)/($E$10-$C$10)*($D$10-$C$10)</f>
        <v>0.7870967741935484</v>
      </c>
      <c r="E13" s="3">
        <v>0.4</v>
      </c>
      <c r="G13" s="1" t="s">
        <v>356</v>
      </c>
      <c r="H13" s="14">
        <f>H11/SUM($H11:$I11)</f>
        <v>0</v>
      </c>
      <c r="I13" s="14">
        <f>I11/SUM($H11:$I11)</f>
        <v>1</v>
      </c>
    </row>
    <row r="14" spans="1:9" x14ac:dyDescent="0.25">
      <c r="C14" s="287"/>
      <c r="D14" s="12"/>
      <c r="E14" s="12"/>
      <c r="G14" s="1" t="s">
        <v>357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>($C$16+0.0065)^(D15-$C$15)</f>
        <v>1.0738696575911724</v>
      </c>
      <c r="E16" s="3">
        <f>($C$16+0.0065)^(E15-$C$15)</f>
        <v>1.222438884672097</v>
      </c>
    </row>
    <row r="17" spans="2:8" x14ac:dyDescent="0.25">
      <c r="B17" s="2" t="s">
        <v>84</v>
      </c>
      <c r="C17" s="84">
        <v>0.59345000000000003</v>
      </c>
      <c r="D17" s="3">
        <f>C17</f>
        <v>0.59345000000000003</v>
      </c>
      <c r="E17" s="3">
        <f>D17</f>
        <v>0.59345000000000003</v>
      </c>
    </row>
    <row r="18" spans="2:8" x14ac:dyDescent="0.25">
      <c r="B18" s="2" t="s">
        <v>141</v>
      </c>
      <c r="C18" s="84">
        <v>1</v>
      </c>
      <c r="D18" s="3">
        <f>($C$18+0.0065)^(D15-$C$15)</f>
        <v>1.0738696575911724</v>
      </c>
      <c r="E18" s="3">
        <f>($C$18+0.0065)^(E15-$C$15)</f>
        <v>1.222438884672097</v>
      </c>
      <c r="G18" s="163"/>
    </row>
    <row r="20" spans="2:8" x14ac:dyDescent="0.25">
      <c r="B20" s="457" t="s">
        <v>321</v>
      </c>
      <c r="C20" s="24"/>
      <c r="D20" s="24"/>
      <c r="E20" s="24"/>
    </row>
    <row r="21" spans="2:8" ht="29.45" customHeight="1" x14ac:dyDescent="0.25">
      <c r="B21" s="457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10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10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20619.257619625121</v>
      </c>
      <c r="E24" s="10">
        <f>E22*Arealanvendelse!Q6-C22*Arealanvendelse!Q6</f>
        <v>7579.4109036566661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14062.493218614971</v>
      </c>
      <c r="E25" s="10">
        <f>E23*Arealanvendelse!R6-C23*Arealanvendelse!R6</f>
        <v>5169.2168748268468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770.51533333333327</v>
      </c>
      <c r="E26" s="10">
        <f>1%*Arealanvendelse!Q6</f>
        <v>100.50200000000001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599.7786666666666</v>
      </c>
      <c r="E27" s="109">
        <f>1%*Arealanvendelse!R6</f>
        <v>78.231999999999971</v>
      </c>
      <c r="F27" s="4"/>
    </row>
    <row r="28" spans="2:8" ht="15.75" thickBot="1" x14ac:dyDescent="0.3">
      <c r="B28" s="209" t="s">
        <v>262</v>
      </c>
      <c r="C28" s="210"/>
      <c r="D28" s="208">
        <f>SUM(D24:D25)</f>
        <v>34681.750838240092</v>
      </c>
      <c r="E28" s="208">
        <f>SUM(E24:E25)</f>
        <v>12748.627778483513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55" t="s">
        <v>320</v>
      </c>
      <c r="C30" s="24"/>
      <c r="D30" s="24"/>
      <c r="E30" s="24"/>
    </row>
    <row r="31" spans="2:8" x14ac:dyDescent="0.25">
      <c r="B31" s="456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10">
        <f>C32-(C32-E32)/($E$10-$C$10)*($D$10-$C$10)</f>
        <v>0.36715654240787016</v>
      </c>
      <c r="E32" s="87">
        <f>(100%-SUM($E$33:$E$38,$E$40,$E$43:$E$44))*C32/SUM($C$32,$C$39,$C$41:$C$42,$C$45)</f>
        <v>5.7380541592218878E-2</v>
      </c>
      <c r="F32" s="414"/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10">
        <f t="shared" ref="D33:D45" si="1">C33-(C33-E33)/($E$10-$C$10)*($D$10-$C$10)</f>
        <v>8.0307273438663729E-2</v>
      </c>
      <c r="E33" s="411">
        <v>0.17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10">
        <f t="shared" si="1"/>
        <v>9.5373992635795268E-2</v>
      </c>
      <c r="E34" s="411">
        <v>0.15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10">
        <f t="shared" si="1"/>
        <v>0.1894578543396287</v>
      </c>
      <c r="E35" s="411">
        <v>0.35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10">
        <f t="shared" si="1"/>
        <v>7.912150200034742E-3</v>
      </c>
      <c r="E36" s="411">
        <f>10%*C36/SUM($C$36:$C$38)</f>
        <v>1.2832265911155143E-2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10">
        <f t="shared" si="1"/>
        <v>3.3279238840748362E-2</v>
      </c>
      <c r="E37" s="411">
        <f t="shared" ref="E37:E38" si="2">10%*C37/SUM($C$36:$C$38)</f>
        <v>5.3973702638184289E-2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10">
        <f t="shared" si="1"/>
        <v>2.0466857872232284E-2</v>
      </c>
      <c r="E38" s="411">
        <f t="shared" si="2"/>
        <v>3.3194031450660584E-2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10">
        <f t="shared" si="1"/>
        <v>4.9697472179061938E-2</v>
      </c>
      <c r="E39" s="87">
        <f>(100%-SUM($E$33:$E$38,$E$40,$E$43:$E$44))*C39/SUM($C$32,$C$39,$C$41:$C$42,$C$45)</f>
        <v>7.7668992378485732E-3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10">
        <f t="shared" si="1"/>
        <v>3.3066288339252348E-2</v>
      </c>
      <c r="E40" s="411">
        <f>10%-E43-E44+5%</f>
        <v>8.9495555545625521E-2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10">
        <f t="shared" si="1"/>
        <v>1.9103708429782654E-2</v>
      </c>
      <c r="E41" s="87">
        <f>(100%-SUM($E$33:$E$38,$E$40,$E$43:$E$44))*C41/SUM($C$32,$C$39,$C$41:$C$42,$C$45)</f>
        <v>2.9855960864317937E-3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10">
        <f t="shared" si="1"/>
        <v>2.7591593263813649E-2</v>
      </c>
      <c r="E42" s="87">
        <f>(100%-SUM($E$33:$E$38,$E$40,$E$43:$E$44))*C42/SUM($C$32,$C$39,$C$41:$C$42,$C$45)</f>
        <v>4.3121131779018202E-3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10">
        <f t="shared" si="1"/>
        <v>7.5869349743828522E-3</v>
      </c>
      <c r="E43" s="411">
        <v>7.5869349743828522E-3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10">
        <f t="shared" si="1"/>
        <v>2.0659444963862589E-2</v>
      </c>
      <c r="E44" s="411">
        <f>0.291750947999162%+5%</f>
        <v>5.2917509479991624E-2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10">
        <f t="shared" si="1"/>
        <v>4.8340648114870752E-2</v>
      </c>
      <c r="E45" s="87">
        <f>(100%-SUM($E$33:$E$38,$E$40,$E$43:$E$44))*C45/SUM($C$32,$C$39,$C$41:$C$42,$C$45)</f>
        <v>7.5548499055990139E-3</v>
      </c>
    </row>
    <row r="46" spans="2:5" x14ac:dyDescent="0.25">
      <c r="B46" s="24" t="s">
        <v>287</v>
      </c>
      <c r="C46" s="84"/>
      <c r="D46" s="86">
        <f>SUM(D32:D45)</f>
        <v>1.0000000000000002</v>
      </c>
      <c r="E46" s="86">
        <f>SUM(E32:E45)</f>
        <v>1</v>
      </c>
    </row>
    <row r="47" spans="2:5" x14ac:dyDescent="0.25">
      <c r="B47" s="24" t="s">
        <v>241</v>
      </c>
      <c r="C47" s="84"/>
      <c r="D47" s="108" cm="1">
        <f t="array" ref="D47">SUMPRODUCT((D32:D45&gt;$C$32:$C$45)*(D32:D45-$C$32:$C$45))*Arealanvendelse!M6</f>
        <v>500357.31409338582</v>
      </c>
      <c r="E47" s="108" cm="1">
        <f t="array" ref="E47">SUMPRODUCT((E32:E45&gt;$C$32:$C$45)*(E32:E45-$C$32:$C$45))*Arealanvendelse!P6</f>
        <v>1004101.3237348349</v>
      </c>
    </row>
    <row r="48" spans="2:5" x14ac:dyDescent="0.25">
      <c r="B48" s="24" t="s">
        <v>240</v>
      </c>
      <c r="C48" s="103"/>
      <c r="D48" s="108">
        <f>1%*Arealanvendelse!M6</f>
        <v>21064.174814814814</v>
      </c>
      <c r="E48" s="108">
        <f>1%*Arealanvendelse!P6</f>
        <v>14999.359999999999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359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574874.5938434744</v>
      </c>
      <c r="E55" s="1">
        <f>(E35+E45)*Arealanvendelse!P6+E22*Arealanvendelse!Q6+E23*Arealanvendelse!R6</f>
        <v>554182.79134800436</v>
      </c>
    </row>
    <row r="56" spans="2:8" x14ac:dyDescent="0.25">
      <c r="B56" s="1" t="s">
        <v>360</v>
      </c>
      <c r="C56" s="392">
        <f>C35+C43+C44+C45</f>
        <v>0.18243695581076916</v>
      </c>
      <c r="D56" s="392">
        <f>D35+D43+D44+D45</f>
        <v>0.26604488239274487</v>
      </c>
      <c r="E56" s="392">
        <f>E35+E43+E44+E45</f>
        <v>0.41805929435997347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 codeName="Sheet38">
    <tabColor theme="9" tint="0.39997558519241921"/>
  </sheetPr>
  <dimension ref="B2:L31"/>
  <sheetViews>
    <sheetView workbookViewId="0">
      <selection activeCell="G17" sqref="G17"/>
    </sheetView>
  </sheetViews>
  <sheetFormatPr defaultRowHeight="15" x14ac:dyDescent="0.25"/>
  <cols>
    <col min="2" max="2" width="21.42578125" bestFit="1" customWidth="1"/>
    <col min="3" max="3" width="26.42578125" bestFit="1" customWidth="1"/>
    <col min="4" max="4" width="26.42578125" hidden="1" customWidth="1"/>
    <col min="8" max="8" width="27" customWidth="1"/>
    <col min="13" max="13" width="26" bestFit="1" customWidth="1"/>
  </cols>
  <sheetData>
    <row r="2" spans="2:12" x14ac:dyDescent="0.25">
      <c r="B2" s="85" t="s">
        <v>362</v>
      </c>
      <c r="C2" s="102"/>
      <c r="D2" s="102"/>
      <c r="E2" s="82">
        <f>År1</f>
        <v>2019</v>
      </c>
      <c r="F2" s="82">
        <f>År2</f>
        <v>2030</v>
      </c>
      <c r="G2" s="82">
        <f>År3</f>
        <v>2050</v>
      </c>
      <c r="I2" s="102"/>
      <c r="J2" s="102" t="s">
        <v>376</v>
      </c>
      <c r="K2" s="102">
        <v>2050</v>
      </c>
    </row>
    <row r="3" spans="2:12" x14ac:dyDescent="0.25">
      <c r="B3" s="102" t="s">
        <v>22</v>
      </c>
      <c r="C3" s="2" t="s">
        <v>345</v>
      </c>
      <c r="D3" s="2" t="str">
        <f>B3&amp;C3</f>
        <v>SvinSlagtesvin</v>
      </c>
      <c r="E3" s="7">
        <v>1</v>
      </c>
      <c r="F3" s="3">
        <f>E3-(E3-G3)/($G$2-$E$2)*($F$2-$E$2)</f>
        <v>1</v>
      </c>
      <c r="G3" s="3">
        <v>1</v>
      </c>
      <c r="I3" s="102" t="s">
        <v>381</v>
      </c>
      <c r="J3" s="102" t="s">
        <v>30</v>
      </c>
      <c r="K3" s="84">
        <f>1-L10*K10</f>
        <v>0.79064908335660733</v>
      </c>
      <c r="L3" s="415"/>
    </row>
    <row r="4" spans="2:12" x14ac:dyDescent="0.25">
      <c r="B4" s="102" t="s">
        <v>22</v>
      </c>
      <c r="C4" s="2" t="s">
        <v>112</v>
      </c>
      <c r="D4" s="2" t="str">
        <f t="shared" ref="D4:D31" si="0">B4&amp;C4</f>
        <v>SvinFoder</v>
      </c>
      <c r="E4" s="7">
        <v>1</v>
      </c>
      <c r="F4" s="3">
        <f t="shared" ref="F4:F31" si="1">E4-(E4-G4)/($G$2-$E$2)*($F$2-$E$2)</f>
        <v>1</v>
      </c>
      <c r="G4" s="3">
        <f>(G3-100%)*50%+100%</f>
        <v>1</v>
      </c>
      <c r="I4" s="102" t="s">
        <v>22</v>
      </c>
      <c r="J4" s="102" t="s">
        <v>30</v>
      </c>
      <c r="K4" s="84">
        <f>1-K11*L11-K12*L12</f>
        <v>1</v>
      </c>
      <c r="L4" s="415"/>
    </row>
    <row r="5" spans="2:12" x14ac:dyDescent="0.25">
      <c r="B5" s="102" t="s">
        <v>22</v>
      </c>
      <c r="C5" s="2" t="s">
        <v>135</v>
      </c>
      <c r="D5" s="2" t="str">
        <f t="shared" si="0"/>
        <v>SvinSvinegylle</v>
      </c>
      <c r="E5" s="7">
        <v>1</v>
      </c>
      <c r="F5" s="3">
        <f t="shared" si="1"/>
        <v>1</v>
      </c>
      <c r="G5" s="3">
        <f>G4</f>
        <v>1</v>
      </c>
      <c r="I5" s="102" t="s">
        <v>3</v>
      </c>
      <c r="J5" s="102" t="s">
        <v>30</v>
      </c>
      <c r="K5" s="84">
        <f>1-K13*L13-K14*L14</f>
        <v>1</v>
      </c>
      <c r="L5" s="415"/>
    </row>
    <row r="6" spans="2:12" x14ac:dyDescent="0.25">
      <c r="B6" s="102" t="s">
        <v>22</v>
      </c>
      <c r="C6" s="2" t="s">
        <v>111</v>
      </c>
      <c r="D6" s="2" t="str">
        <f t="shared" si="0"/>
        <v>SvinCO2 - atmosfære</v>
      </c>
      <c r="E6" s="7">
        <v>1</v>
      </c>
      <c r="F6" s="3">
        <f t="shared" si="1"/>
        <v>1</v>
      </c>
      <c r="G6" s="84">
        <f>$K$4</f>
        <v>1</v>
      </c>
      <c r="I6" s="102" t="s">
        <v>4</v>
      </c>
      <c r="J6" s="102" t="s">
        <v>30</v>
      </c>
      <c r="K6" s="84">
        <f>1-K15*L15-K16*L16</f>
        <v>1</v>
      </c>
      <c r="L6" s="415"/>
    </row>
    <row r="7" spans="2:12" x14ac:dyDescent="0.25">
      <c r="B7" s="102" t="s">
        <v>3</v>
      </c>
      <c r="C7" s="2" t="s">
        <v>347</v>
      </c>
      <c r="D7" s="2" t="str">
        <f t="shared" si="0"/>
        <v>KøerSlagtekøer</v>
      </c>
      <c r="E7" s="7">
        <v>1</v>
      </c>
      <c r="F7" s="3">
        <f t="shared" si="1"/>
        <v>1.2174167101317843</v>
      </c>
      <c r="G7" s="3">
        <f>100%*Landbrug!I13/Landbrug!I14</f>
        <v>1.6127198194623011</v>
      </c>
      <c r="L7" s="415"/>
    </row>
    <row r="8" spans="2:12" x14ac:dyDescent="0.25">
      <c r="B8" s="102" t="s">
        <v>3</v>
      </c>
      <c r="C8" s="2" t="s">
        <v>112</v>
      </c>
      <c r="D8" s="2" t="str">
        <f t="shared" si="0"/>
        <v>KøerFoder</v>
      </c>
      <c r="E8" s="7">
        <v>1</v>
      </c>
      <c r="F8" s="3">
        <f t="shared" si="1"/>
        <v>0.69151599679691178</v>
      </c>
      <c r="G8" s="3">
        <f>((G7-100%)*50%+100%)*10%</f>
        <v>0.13063599097311504</v>
      </c>
      <c r="L8" s="415"/>
    </row>
    <row r="9" spans="2:12" x14ac:dyDescent="0.25">
      <c r="B9" s="102" t="s">
        <v>3</v>
      </c>
      <c r="C9" s="2" t="s">
        <v>117</v>
      </c>
      <c r="D9" s="2" t="str">
        <f t="shared" si="0"/>
        <v>KøerRåmælk</v>
      </c>
      <c r="E9" s="7">
        <v>1</v>
      </c>
      <c r="F9" s="3">
        <f t="shared" si="1"/>
        <v>0.64516129032258063</v>
      </c>
      <c r="G9" s="3">
        <f>150%*Landbrug!H13/Landbrug!H14</f>
        <v>0</v>
      </c>
      <c r="I9" s="102"/>
      <c r="J9" s="102"/>
      <c r="K9" s="102" t="s">
        <v>379</v>
      </c>
      <c r="L9" s="102" t="s">
        <v>388</v>
      </c>
    </row>
    <row r="10" spans="2:12" x14ac:dyDescent="0.25">
      <c r="B10" s="102" t="s">
        <v>3</v>
      </c>
      <c r="C10" s="2" t="s">
        <v>136</v>
      </c>
      <c r="D10" s="2" t="str">
        <f t="shared" si="0"/>
        <v>KøerKvæggylle</v>
      </c>
      <c r="E10" s="7">
        <v>1</v>
      </c>
      <c r="F10" s="3">
        <f t="shared" si="1"/>
        <v>0.69151599679691178</v>
      </c>
      <c r="G10" s="3">
        <f>G8</f>
        <v>0.13063599097311504</v>
      </c>
      <c r="I10" s="102" t="s">
        <v>193</v>
      </c>
      <c r="J10" s="102" t="s">
        <v>380</v>
      </c>
      <c r="K10" s="7">
        <f>0.68/[1]Afgrødedata!$J$5</f>
        <v>0.29907273806198947</v>
      </c>
      <c r="L10" s="3">
        <v>0.7</v>
      </c>
    </row>
    <row r="11" spans="2:12" x14ac:dyDescent="0.25">
      <c r="B11" s="102" t="s">
        <v>3</v>
      </c>
      <c r="C11" s="2" t="s">
        <v>111</v>
      </c>
      <c r="D11" s="2" t="str">
        <f t="shared" si="0"/>
        <v>KøerCO2 - atmosfære</v>
      </c>
      <c r="E11" s="7">
        <v>1</v>
      </c>
      <c r="F11" s="3">
        <f t="shared" si="1"/>
        <v>1</v>
      </c>
      <c r="G11" s="84">
        <f>$K$5</f>
        <v>1</v>
      </c>
      <c r="I11" s="416" t="s">
        <v>22</v>
      </c>
      <c r="J11" s="102" t="s">
        <v>378</v>
      </c>
      <c r="K11" s="84">
        <v>0.85</v>
      </c>
      <c r="L11" s="3">
        <v>0</v>
      </c>
    </row>
    <row r="12" spans="2:12" x14ac:dyDescent="0.25">
      <c r="B12" s="102" t="s">
        <v>4</v>
      </c>
      <c r="C12" s="2" t="s">
        <v>346</v>
      </c>
      <c r="D12" s="2" t="str">
        <f t="shared" si="0"/>
        <v>FjerkræSlagtefjerkræ</v>
      </c>
      <c r="E12" s="7">
        <v>1</v>
      </c>
      <c r="F12" s="3">
        <f t="shared" si="1"/>
        <v>1</v>
      </c>
      <c r="G12" s="3">
        <v>1</v>
      </c>
      <c r="I12" s="102" t="s">
        <v>22</v>
      </c>
      <c r="J12" s="102" t="s">
        <v>377</v>
      </c>
      <c r="K12" s="84">
        <v>0.15</v>
      </c>
      <c r="L12" s="3">
        <v>0</v>
      </c>
    </row>
    <row r="13" spans="2:12" x14ac:dyDescent="0.25">
      <c r="B13" s="102" t="s">
        <v>4</v>
      </c>
      <c r="C13" s="2" t="s">
        <v>137</v>
      </c>
      <c r="D13" s="2" t="str">
        <f t="shared" si="0"/>
        <v>FjerkræFjerkrægylle</v>
      </c>
      <c r="E13" s="7">
        <v>1</v>
      </c>
      <c r="F13" s="3">
        <f t="shared" si="1"/>
        <v>1</v>
      </c>
      <c r="G13" s="3">
        <f>G14</f>
        <v>1</v>
      </c>
      <c r="I13" s="102" t="s">
        <v>3</v>
      </c>
      <c r="J13" s="102" t="s">
        <v>378</v>
      </c>
      <c r="K13" s="84">
        <v>0.25</v>
      </c>
      <c r="L13" s="3">
        <v>0</v>
      </c>
    </row>
    <row r="14" spans="2:12" x14ac:dyDescent="0.25">
      <c r="B14" s="102" t="s">
        <v>4</v>
      </c>
      <c r="C14" s="2" t="s">
        <v>112</v>
      </c>
      <c r="D14" s="2" t="str">
        <f t="shared" si="0"/>
        <v>FjerkræFoder</v>
      </c>
      <c r="E14" s="7">
        <v>1</v>
      </c>
      <c r="F14" s="3">
        <f t="shared" si="1"/>
        <v>1</v>
      </c>
      <c r="G14" s="3">
        <f>(G12-100%)*50%+100%</f>
        <v>1</v>
      </c>
      <c r="I14" s="102" t="s">
        <v>3</v>
      </c>
      <c r="J14" s="102" t="s">
        <v>377</v>
      </c>
      <c r="K14" s="84">
        <v>0.75</v>
      </c>
      <c r="L14" s="3">
        <v>0</v>
      </c>
    </row>
    <row r="15" spans="2:12" x14ac:dyDescent="0.25">
      <c r="B15" s="102" t="s">
        <v>4</v>
      </c>
      <c r="C15" s="2" t="s">
        <v>111</v>
      </c>
      <c r="D15" s="2" t="str">
        <f t="shared" si="0"/>
        <v>FjerkræCO2 - atmosfære</v>
      </c>
      <c r="E15" s="7">
        <v>1</v>
      </c>
      <c r="F15" s="3">
        <f t="shared" si="1"/>
        <v>1</v>
      </c>
      <c r="G15" s="84">
        <f>$K$6</f>
        <v>1</v>
      </c>
      <c r="I15" s="102" t="s">
        <v>4</v>
      </c>
      <c r="J15" s="102" t="s">
        <v>378</v>
      </c>
      <c r="K15" s="84">
        <v>0.1</v>
      </c>
      <c r="L15" s="3">
        <v>0</v>
      </c>
    </row>
    <row r="16" spans="2:12" x14ac:dyDescent="0.25">
      <c r="B16" s="102" t="s">
        <v>361</v>
      </c>
      <c r="C16" s="2" t="s">
        <v>51</v>
      </c>
      <c r="D16" s="2" t="str">
        <f t="shared" si="0"/>
        <v>Areal-græsGræs</v>
      </c>
      <c r="E16" s="7">
        <v>1</v>
      </c>
      <c r="F16" s="3">
        <f t="shared" si="1"/>
        <v>1.1419354838709677</v>
      </c>
      <c r="G16" s="3">
        <v>1.4</v>
      </c>
      <c r="H16" s="458" t="s">
        <v>387</v>
      </c>
      <c r="I16" s="102" t="s">
        <v>4</v>
      </c>
      <c r="J16" s="102" t="s">
        <v>377</v>
      </c>
      <c r="K16" s="84">
        <v>0.9</v>
      </c>
      <c r="L16" s="3">
        <v>0</v>
      </c>
    </row>
    <row r="17" spans="2:8" x14ac:dyDescent="0.25">
      <c r="B17" s="102" t="s">
        <v>361</v>
      </c>
      <c r="C17" s="2" t="s">
        <v>114</v>
      </c>
      <c r="D17" s="2" t="str">
        <f t="shared" si="0"/>
        <v>Areal-græsGødning</v>
      </c>
      <c r="E17" s="7">
        <v>1</v>
      </c>
      <c r="F17" s="3">
        <f t="shared" si="1"/>
        <v>1.1419354838709677</v>
      </c>
      <c r="G17" s="3">
        <v>1.4</v>
      </c>
      <c r="H17" s="458"/>
    </row>
    <row r="18" spans="2:8" x14ac:dyDescent="0.25">
      <c r="B18" s="102" t="s">
        <v>363</v>
      </c>
      <c r="C18" s="2" t="s">
        <v>111</v>
      </c>
      <c r="D18" s="2" t="str">
        <f t="shared" si="0"/>
        <v>Areal-kornCO2 - atmosfære</v>
      </c>
      <c r="E18" s="7">
        <v>1</v>
      </c>
      <c r="F18" s="3">
        <f t="shared" si="1"/>
        <v>0.92571419086847362</v>
      </c>
      <c r="G18" s="84">
        <f t="shared" ref="G18:G31" si="2">$K$3</f>
        <v>0.79064908335660733</v>
      </c>
    </row>
    <row r="19" spans="2:8" x14ac:dyDescent="0.25">
      <c r="B19" s="102" t="s">
        <v>364</v>
      </c>
      <c r="C19" s="2" t="s">
        <v>111</v>
      </c>
      <c r="D19" s="2" t="str">
        <f t="shared" si="0"/>
        <v>Areal-grøntsagerCO2 - atmosfære</v>
      </c>
      <c r="E19" s="7">
        <v>1</v>
      </c>
      <c r="F19" s="3">
        <f t="shared" si="1"/>
        <v>0.92571419086847362</v>
      </c>
      <c r="G19" s="84">
        <f t="shared" si="2"/>
        <v>0.79064908335660733</v>
      </c>
    </row>
    <row r="20" spans="2:8" x14ac:dyDescent="0.25">
      <c r="B20" s="102" t="s">
        <v>365</v>
      </c>
      <c r="C20" s="2" t="s">
        <v>111</v>
      </c>
      <c r="D20" s="2" t="str">
        <f t="shared" si="0"/>
        <v>Areal-kartoflerCO2 - atmosfære</v>
      </c>
      <c r="E20" s="7">
        <v>1</v>
      </c>
      <c r="F20" s="3">
        <f t="shared" si="1"/>
        <v>0.92571419086847362</v>
      </c>
      <c r="G20" s="84">
        <f t="shared" si="2"/>
        <v>0.79064908335660733</v>
      </c>
    </row>
    <row r="21" spans="2:8" x14ac:dyDescent="0.25">
      <c r="B21" s="102" t="s">
        <v>361</v>
      </c>
      <c r="C21" s="2" t="s">
        <v>111</v>
      </c>
      <c r="D21" s="2" t="str">
        <f t="shared" si="0"/>
        <v>Areal-græsCO2 - atmosfære</v>
      </c>
      <c r="E21" s="7">
        <v>1</v>
      </c>
      <c r="F21" s="3">
        <f t="shared" si="1"/>
        <v>0.92571419086847362</v>
      </c>
      <c r="G21" s="84">
        <f t="shared" si="2"/>
        <v>0.79064908335660733</v>
      </c>
    </row>
    <row r="22" spans="2:8" x14ac:dyDescent="0.25">
      <c r="B22" s="102" t="s">
        <v>366</v>
      </c>
      <c r="C22" s="2" t="s">
        <v>111</v>
      </c>
      <c r="D22" s="2" t="str">
        <f t="shared" si="0"/>
        <v>Areal-bælgsædCO2 - atmosfære</v>
      </c>
      <c r="E22" s="7">
        <v>1</v>
      </c>
      <c r="F22" s="3">
        <f t="shared" si="1"/>
        <v>0.92571419086847362</v>
      </c>
      <c r="G22" s="84">
        <f t="shared" si="2"/>
        <v>0.79064908335660733</v>
      </c>
    </row>
    <row r="23" spans="2:8" x14ac:dyDescent="0.25">
      <c r="B23" s="102" t="s">
        <v>367</v>
      </c>
      <c r="C23" s="2" t="s">
        <v>111</v>
      </c>
      <c r="D23" s="2" t="str">
        <f t="shared" si="0"/>
        <v>Areal-roerCO2 - atmosfære</v>
      </c>
      <c r="E23" s="7">
        <v>1</v>
      </c>
      <c r="F23" s="3">
        <f t="shared" si="1"/>
        <v>0.92571419086847362</v>
      </c>
      <c r="G23" s="84">
        <f t="shared" si="2"/>
        <v>0.79064908335660733</v>
      </c>
    </row>
    <row r="24" spans="2:8" x14ac:dyDescent="0.25">
      <c r="B24" s="102" t="s">
        <v>368</v>
      </c>
      <c r="C24" s="2" t="s">
        <v>111</v>
      </c>
      <c r="D24" s="2" t="str">
        <f t="shared" si="0"/>
        <v>Areal-frugtCO2 - atmosfære</v>
      </c>
      <c r="E24" s="7">
        <v>1</v>
      </c>
      <c r="F24" s="3">
        <f t="shared" si="1"/>
        <v>0.92571419086847362</v>
      </c>
      <c r="G24" s="84">
        <f t="shared" si="2"/>
        <v>0.79064908335660733</v>
      </c>
    </row>
    <row r="25" spans="2:8" x14ac:dyDescent="0.25">
      <c r="B25" s="102" t="s">
        <v>369</v>
      </c>
      <c r="C25" s="2" t="s">
        <v>111</v>
      </c>
      <c r="D25" s="2" t="str">
        <f t="shared" si="0"/>
        <v>Areal-øvrigeCO2 - atmosfære</v>
      </c>
      <c r="E25" s="7">
        <v>1</v>
      </c>
      <c r="F25" s="3">
        <f t="shared" si="1"/>
        <v>0.92571419086847362</v>
      </c>
      <c r="G25" s="84">
        <f t="shared" si="2"/>
        <v>0.79064908335660733</v>
      </c>
    </row>
    <row r="26" spans="2:8" x14ac:dyDescent="0.25">
      <c r="B26" s="102" t="s">
        <v>370</v>
      </c>
      <c r="C26" s="2" t="s">
        <v>111</v>
      </c>
      <c r="D26" s="2" t="str">
        <f t="shared" si="0"/>
        <v>Areal-majsCO2 - atmosfære</v>
      </c>
      <c r="E26" s="7">
        <v>1</v>
      </c>
      <c r="F26" s="3">
        <f t="shared" si="1"/>
        <v>0.92571419086847362</v>
      </c>
      <c r="G26" s="84">
        <f t="shared" si="2"/>
        <v>0.79064908335660733</v>
      </c>
    </row>
    <row r="27" spans="2:8" x14ac:dyDescent="0.25">
      <c r="B27" s="102" t="s">
        <v>371</v>
      </c>
      <c r="C27" s="2" t="s">
        <v>111</v>
      </c>
      <c r="D27" s="2" t="str">
        <f t="shared" si="0"/>
        <v>Areal-rapsCO2 - atmosfære</v>
      </c>
      <c r="E27" s="7">
        <v>1</v>
      </c>
      <c r="F27" s="3">
        <f t="shared" si="1"/>
        <v>0.92571419086847362</v>
      </c>
      <c r="G27" s="84">
        <f t="shared" si="2"/>
        <v>0.79064908335660733</v>
      </c>
    </row>
    <row r="28" spans="2:8" x14ac:dyDescent="0.25">
      <c r="B28" s="102" t="s">
        <v>372</v>
      </c>
      <c r="C28" s="2" t="s">
        <v>111</v>
      </c>
      <c r="D28" s="2" t="str">
        <f t="shared" si="0"/>
        <v>Areal-frøgræsCO2 - atmosfære</v>
      </c>
      <c r="E28" s="7">
        <v>1</v>
      </c>
      <c r="F28" s="3">
        <f t="shared" si="1"/>
        <v>0.92571419086847362</v>
      </c>
      <c r="G28" s="84">
        <f t="shared" si="2"/>
        <v>0.79064908335660733</v>
      </c>
    </row>
    <row r="29" spans="2:8" x14ac:dyDescent="0.25">
      <c r="B29" s="102" t="s">
        <v>373</v>
      </c>
      <c r="C29" s="2" t="s">
        <v>111</v>
      </c>
      <c r="D29" s="2" t="str">
        <f t="shared" si="0"/>
        <v>Areal-juletræerCO2 - atmosfære</v>
      </c>
      <c r="E29" s="7">
        <v>1</v>
      </c>
      <c r="F29" s="3">
        <f t="shared" si="1"/>
        <v>0.92571419086847362</v>
      </c>
      <c r="G29" s="84">
        <f t="shared" si="2"/>
        <v>0.79064908335660733</v>
      </c>
    </row>
    <row r="30" spans="2:8" x14ac:dyDescent="0.25">
      <c r="B30" s="102" t="s">
        <v>374</v>
      </c>
      <c r="C30" s="2" t="s">
        <v>111</v>
      </c>
      <c r="D30" s="2" t="str">
        <f t="shared" si="0"/>
        <v>Areal-pil-poppelCO2 - atmosfære</v>
      </c>
      <c r="E30" s="7">
        <v>1</v>
      </c>
      <c r="F30" s="3">
        <f t="shared" si="1"/>
        <v>0.92571419086847362</v>
      </c>
      <c r="G30" s="84">
        <f t="shared" si="2"/>
        <v>0.79064908335660733</v>
      </c>
    </row>
    <row r="31" spans="2:8" x14ac:dyDescent="0.25">
      <c r="B31" s="102" t="s">
        <v>375</v>
      </c>
      <c r="C31" s="2" t="s">
        <v>111</v>
      </c>
      <c r="D31" s="2" t="str">
        <f t="shared" si="0"/>
        <v>Areal-permanent græsCO2 - atmosfære</v>
      </c>
      <c r="E31" s="7">
        <v>1</v>
      </c>
      <c r="F31" s="3">
        <f t="shared" si="1"/>
        <v>0.92571419086847362</v>
      </c>
      <c r="G31" s="84">
        <f t="shared" si="2"/>
        <v>0.79064908335660733</v>
      </c>
    </row>
  </sheetData>
  <mergeCells count="1">
    <mergeCell ref="H16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B653-CB5A-40C0-B152-DED5D2034A63}">
  <sheetPr>
    <tabColor theme="9" tint="0.39997558519241921"/>
  </sheetPr>
  <dimension ref="B2:L8"/>
  <sheetViews>
    <sheetView workbookViewId="0">
      <selection activeCell="G8" sqref="G8"/>
    </sheetView>
  </sheetViews>
  <sheetFormatPr defaultRowHeight="15" x14ac:dyDescent="0.25"/>
  <cols>
    <col min="1" max="1" width="4.85546875" customWidth="1"/>
    <col min="2" max="2" width="49.42578125" bestFit="1" customWidth="1"/>
    <col min="12" max="12" width="20.42578125" bestFit="1" customWidth="1"/>
  </cols>
  <sheetData>
    <row r="2" spans="2:12" x14ac:dyDescent="0.25">
      <c r="B2" s="102"/>
      <c r="C2" s="102">
        <v>2019</v>
      </c>
      <c r="D2" s="102">
        <v>2030</v>
      </c>
      <c r="E2" s="102">
        <v>2050</v>
      </c>
    </row>
    <row r="3" spans="2:12" x14ac:dyDescent="0.25">
      <c r="B3" s="102" t="s">
        <v>389</v>
      </c>
      <c r="C3" s="3">
        <v>0.18</v>
      </c>
      <c r="D3" s="410">
        <f t="shared" ref="D3:D8" si="0">C3-(C3-E3)/($E$2-$C$2)*($D$2-$C$2)</f>
        <v>0.18709677419354839</v>
      </c>
      <c r="E3" s="3">
        <v>0.2</v>
      </c>
    </row>
    <row r="4" spans="2:12" x14ac:dyDescent="0.25">
      <c r="B4" s="102" t="s">
        <v>390</v>
      </c>
      <c r="C4" s="3">
        <v>0.4</v>
      </c>
      <c r="D4" s="410">
        <f t="shared" si="0"/>
        <v>0.52419354838709675</v>
      </c>
      <c r="E4" s="3">
        <v>0.75</v>
      </c>
    </row>
    <row r="5" spans="2:12" x14ac:dyDescent="0.25">
      <c r="B5" s="102" t="s">
        <v>393</v>
      </c>
      <c r="C5" s="3">
        <v>0</v>
      </c>
      <c r="D5" s="410">
        <f t="shared" si="0"/>
        <v>0.25345622119815669</v>
      </c>
      <c r="E5" s="3">
        <f>25/35</f>
        <v>0.7142857142857143</v>
      </c>
      <c r="G5" t="s">
        <v>428</v>
      </c>
      <c r="L5" s="422"/>
    </row>
    <row r="6" spans="2:12" x14ac:dyDescent="0.25">
      <c r="B6" s="102" t="s">
        <v>391</v>
      </c>
      <c r="C6" s="3">
        <v>0</v>
      </c>
      <c r="D6" s="410">
        <f t="shared" si="0"/>
        <v>0.17741935483870969</v>
      </c>
      <c r="E6" s="3">
        <v>0.5</v>
      </c>
      <c r="L6" s="422"/>
    </row>
    <row r="7" spans="2:12" x14ac:dyDescent="0.25">
      <c r="B7" s="102" t="s">
        <v>392</v>
      </c>
      <c r="C7" s="3">
        <v>0</v>
      </c>
      <c r="D7" s="410">
        <f t="shared" si="0"/>
        <v>0.17741935483870969</v>
      </c>
      <c r="E7" s="3">
        <f>1-E6</f>
        <v>0.5</v>
      </c>
    </row>
    <row r="8" spans="2:12" x14ac:dyDescent="0.25">
      <c r="B8" s="102" t="s">
        <v>400</v>
      </c>
      <c r="C8" s="103">
        <f>0%</f>
        <v>0</v>
      </c>
      <c r="D8" s="86">
        <f t="shared" si="0"/>
        <v>0.1971326164874552</v>
      </c>
      <c r="E8" s="7">
        <f>1-10%/(E6*25%+10%)</f>
        <v>0.55555555555555558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J43"/>
  <sheetViews>
    <sheetView zoomScale="85" zoomScaleNormal="85" workbookViewId="0">
      <selection activeCell="E3" sqref="E3: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4" width="14.5703125" style="1" bestFit="1" customWidth="1"/>
    <col min="5" max="5" width="15.85546875" style="1" bestFit="1" customWidth="1"/>
    <col min="6" max="6" width="21" style="1" bestFit="1" customWidth="1"/>
    <col min="7" max="16384" width="9.140625" style="1"/>
  </cols>
  <sheetData>
    <row r="1" spans="1:10" x14ac:dyDescent="0.25">
      <c r="A1" s="204" t="s">
        <v>270</v>
      </c>
    </row>
    <row r="2" spans="1:10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313</v>
      </c>
    </row>
    <row r="3" spans="1:10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12">
        <f>C3-(C3-E3)/($E$2-$C$2)*($D$2-$C$2)</f>
        <v>0.29351343558107984</v>
      </c>
      <c r="E3" s="413">
        <v>0.1</v>
      </c>
      <c r="I3" s="218"/>
      <c r="J3" s="420"/>
    </row>
    <row r="4" spans="1:10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>C4</f>
        <v>1.1105844111871065E-2</v>
      </c>
      <c r="I4" s="218"/>
      <c r="J4" s="420"/>
    </row>
    <row r="5" spans="1:10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ref="E5:E6" si="1">C5</f>
        <v>0</v>
      </c>
      <c r="I5" s="218"/>
      <c r="J5" s="420"/>
    </row>
    <row r="6" spans="1:10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5.2820478093045303E-3</v>
      </c>
      <c r="E6" s="288">
        <f t="shared" si="1"/>
        <v>5.2820478093045303E-3</v>
      </c>
      <c r="I6" s="218"/>
      <c r="J6" s="420"/>
    </row>
    <row r="7" spans="1:10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9.4957260849715036E-2</v>
      </c>
      <c r="E7" s="413">
        <v>0.25</v>
      </c>
      <c r="I7" s="218"/>
      <c r="J7" s="420"/>
    </row>
    <row r="8" spans="1:10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0.11318913138930091</v>
      </c>
      <c r="E8" s="413">
        <v>0.113</v>
      </c>
      <c r="I8" s="218"/>
      <c r="J8" s="420"/>
    </row>
    <row r="9" spans="1:10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1.6320173359517843E-2</v>
      </c>
      <c r="E9" s="413">
        <f>C9</f>
        <v>1.6320173359517843E-2</v>
      </c>
      <c r="I9" s="218"/>
      <c r="J9" s="420"/>
    </row>
    <row r="10" spans="1:10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ref="E10:E11" si="2">C10</f>
        <v>0</v>
      </c>
      <c r="I10" s="218"/>
      <c r="J10" s="420"/>
    </row>
    <row r="11" spans="1:10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2"/>
        <v>0</v>
      </c>
      <c r="I11" s="218"/>
      <c r="J11" s="420"/>
    </row>
    <row r="12" spans="1:10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0.15385657208640888</v>
      </c>
      <c r="E12" s="413">
        <f>C12</f>
        <v>0.15385657208640888</v>
      </c>
      <c r="J12" s="420"/>
    </row>
    <row r="13" spans="1:10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7.1213713227182666E-3</v>
      </c>
      <c r="E13" s="413">
        <v>0</v>
      </c>
      <c r="J13" s="420"/>
    </row>
    <row r="14" spans="1:10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288">
        <f t="shared" si="0"/>
        <v>0</v>
      </c>
      <c r="E14" s="288">
        <v>0</v>
      </c>
      <c r="J14" s="420"/>
    </row>
    <row r="15" spans="1:10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 t="shared" si="0"/>
        <v>0.12055824752857686</v>
      </c>
      <c r="E15" s="111">
        <f>E22*E23*[1]Foder!$C$14/E20</f>
        <v>0.33975506121689841</v>
      </c>
      <c r="J15" s="420"/>
    </row>
    <row r="16" spans="1:10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9.1896425552179337E-3</v>
      </c>
      <c r="E16" s="413">
        <v>1.0999999999999999E-2</v>
      </c>
      <c r="J16" s="420"/>
    </row>
    <row r="17" spans="1:10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0.17501971483932133</v>
      </c>
      <c r="E17" s="413"/>
      <c r="F17" s="289"/>
      <c r="J17" s="420"/>
    </row>
    <row r="18" spans="1:10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314</v>
      </c>
    </row>
    <row r="20" spans="1:10" x14ac:dyDescent="0.25">
      <c r="A20" s="1" t="s">
        <v>394</v>
      </c>
      <c r="C20" s="163">
        <f>-SUM('Resultater - Danmark'!H99,'Resultater - Danmark'!H106,'Resultater - Danmark'!H114,'Resultater - Danmark'!H122,'Resultater - Danmark'!H130,'Resultater - Danmark'!H138)</f>
        <v>14852134263.120003</v>
      </c>
      <c r="D20" s="163">
        <f>-SUM('Resultater - Danmark'!I99,'Resultater - Danmark'!I106,'Resultater - Danmark'!I114,'Resultater - Danmark'!I122,'Resultater - Danmark'!I130,'Resultater - Danmark'!I138)</f>
        <v>9302992814.7977581</v>
      </c>
      <c r="E20" s="163">
        <f>-SUM('Resultater - Danmark'!J99,'Resultater - Danmark'!J106,'Resultater - Danmark'!J114,'Resultater - Danmark'!J122,'Resultater - Danmark'!J130,'Resultater - Danmark'!J138)</f>
        <v>1256801011.4127617</v>
      </c>
    </row>
    <row r="21" spans="1:10" x14ac:dyDescent="0.25">
      <c r="C21" s="389">
        <f t="shared" ref="C21:D21" si="3">C15*C20</f>
        <v>0</v>
      </c>
      <c r="D21" s="389">
        <f t="shared" si="3"/>
        <v>1121552510.5229602</v>
      </c>
      <c r="E21" s="389">
        <f>E15*E20</f>
        <v>427004504.57000268</v>
      </c>
    </row>
    <row r="22" spans="1:10" x14ac:dyDescent="0.25">
      <c r="A22" s="1" t="s">
        <v>395</v>
      </c>
      <c r="B22" s="1" t="s">
        <v>397</v>
      </c>
      <c r="C22" s="392">
        <f>Græsprotein!C3*Græsprotein!C4*Græsprotein!C5*Græsprotein!C7</f>
        <v>0</v>
      </c>
      <c r="D22" s="392">
        <f>Græsprotein!D3*Græsprotein!D4*Græsprotein!D5*Græsprotein!D7</f>
        <v>4.4102369394647539E-3</v>
      </c>
      <c r="E22" s="392">
        <f>Græsprotein!E3*Græsprotein!E4*Græsprotein!E5*Græsprotein!E7</f>
        <v>5.3571428571428582E-2</v>
      </c>
    </row>
    <row r="23" spans="1:10" x14ac:dyDescent="0.25">
      <c r="A23" s="1" t="s">
        <v>398</v>
      </c>
      <c r="B23" s="1" t="s">
        <v>396</v>
      </c>
      <c r="C23" s="98">
        <f>SUMIFS('Produktion &amp; forbrug'!$G$4:$G$147,'Produktion &amp; forbrug'!$F$4:$F$147,Fodersammensætning!C2,'Produktion &amp; forbrug'!$A$4:$A$147,"Græs")</f>
        <v>17913006.538833313</v>
      </c>
      <c r="D23" s="98">
        <f>SUMIFS('Produktion &amp; forbrug'!$G$4:$G$147,'Produktion &amp; forbrug'!$F$4:$F$147,Fodersammensætning!D2,'Produktion &amp; forbrug'!$A$4:$A$147,"Græs")</f>
        <v>27619129.881222751</v>
      </c>
      <c r="E23" s="98">
        <f>SUMIFS('Produktion &amp; forbrug'!$G$4:$G$147,'Produktion &amp; forbrug'!$F$4:$F$147,Fodersammensætning!E2,'Produktion &amp; forbrug'!$A$4:$A$147,"Græs")</f>
        <v>40256316.929158494</v>
      </c>
    </row>
    <row r="24" spans="1:10" x14ac:dyDescent="0.25">
      <c r="A24" s="1" t="s">
        <v>399</v>
      </c>
      <c r="C24" s="14">
        <f>C22*C23*[1]Foder!$C$14/C20</f>
        <v>0</v>
      </c>
      <c r="D24" s="14">
        <f>D22*D23*[1]Foder!$C$14/D20</f>
        <v>2.5924740601293147E-3</v>
      </c>
      <c r="E24" s="14">
        <f>E22*E23*[1]Foder!$C$14/E20</f>
        <v>0.33975506121689841</v>
      </c>
    </row>
    <row r="27" spans="1:10" x14ac:dyDescent="0.25">
      <c r="C27" s="163"/>
      <c r="D27" s="163"/>
      <c r="E27" s="163"/>
    </row>
    <row r="28" spans="1:10" x14ac:dyDescent="0.25">
      <c r="C28" s="163"/>
      <c r="D28" s="163"/>
      <c r="E28" s="163"/>
    </row>
    <row r="29" spans="1:10" x14ac:dyDescent="0.25">
      <c r="C29" s="163"/>
      <c r="D29" s="163"/>
      <c r="E29" s="163"/>
    </row>
    <row r="30" spans="1:10" x14ac:dyDescent="0.25">
      <c r="E30" s="421"/>
    </row>
    <row r="31" spans="1:10" x14ac:dyDescent="0.25">
      <c r="E31" s="421"/>
    </row>
    <row r="32" spans="1:10" x14ac:dyDescent="0.25">
      <c r="E32" s="421"/>
    </row>
    <row r="33" spans="5:5" x14ac:dyDescent="0.25">
      <c r="E33" s="421"/>
    </row>
    <row r="34" spans="5:5" x14ac:dyDescent="0.25">
      <c r="E34" s="421"/>
    </row>
    <row r="35" spans="5:5" x14ac:dyDescent="0.25">
      <c r="E35" s="421"/>
    </row>
    <row r="36" spans="5:5" x14ac:dyDescent="0.25">
      <c r="E36" s="421"/>
    </row>
    <row r="37" spans="5:5" x14ac:dyDescent="0.25">
      <c r="E37" s="421"/>
    </row>
    <row r="38" spans="5:5" x14ac:dyDescent="0.25">
      <c r="E38" s="421"/>
    </row>
    <row r="39" spans="5:5" x14ac:dyDescent="0.25">
      <c r="E39" s="421"/>
    </row>
    <row r="40" spans="5:5" x14ac:dyDescent="0.25">
      <c r="E40" s="421"/>
    </row>
    <row r="41" spans="5:5" x14ac:dyDescent="0.25">
      <c r="E41" s="421"/>
    </row>
    <row r="42" spans="5:5" x14ac:dyDescent="0.25">
      <c r="E42" s="421"/>
    </row>
    <row r="43" spans="5:5" x14ac:dyDescent="0.25">
      <c r="E43" s="421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C10" sqref="C1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270</v>
      </c>
    </row>
    <row r="2" spans="1:4" x14ac:dyDescent="0.25">
      <c r="A2" t="s">
        <v>246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386</v>
      </c>
    </row>
    <row r="9" spans="1:4" x14ac:dyDescent="0.25">
      <c r="A9" s="2" t="s">
        <v>279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278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/>
      <c r="D13" s="8"/>
    </row>
    <row r="14" spans="1:4" x14ac:dyDescent="0.25">
      <c r="A14" s="2" t="s">
        <v>177</v>
      </c>
      <c r="B14" s="7">
        <v>0</v>
      </c>
      <c r="C14" s="8">
        <f>1-C17</f>
        <v>0.4</v>
      </c>
      <c r="D14" s="8">
        <f>1-D17</f>
        <v>0.4</v>
      </c>
    </row>
    <row r="15" spans="1:4" x14ac:dyDescent="0.25">
      <c r="A15" s="2" t="s">
        <v>178</v>
      </c>
      <c r="B15" s="7">
        <v>0</v>
      </c>
      <c r="C15" s="8"/>
      <c r="D15" s="8"/>
    </row>
    <row r="16" spans="1:4" x14ac:dyDescent="0.25">
      <c r="A16" s="2" t="s">
        <v>179</v>
      </c>
      <c r="B16" s="7">
        <v>0</v>
      </c>
      <c r="C16" s="8"/>
      <c r="D16" s="8"/>
    </row>
    <row r="17" spans="1:8" ht="15.75" thickBot="1" x14ac:dyDescent="0.3">
      <c r="A17" s="307" t="s">
        <v>180</v>
      </c>
      <c r="B17" s="308">
        <v>0</v>
      </c>
      <c r="C17" s="311">
        <f>D17</f>
        <v>0.6</v>
      </c>
      <c r="D17" s="311">
        <v>0.6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68398.710275273785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63253.301873701501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11580.571901266099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10716.064338153163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6851.9293420453778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62064.056099830283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1163.0027141892861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10562.303139891397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66721.648373425152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11296.555654095237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6636.0224586675931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1126.3560590873876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102582.36331715142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92273.057756571012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17368.192678475018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15631.861980377071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10293.596108827296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92863.526025887099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1747.16924470806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15804.694883280621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102582.36331715142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17368.192678475018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10293.596108827296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1747.16924470806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59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60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 t="shared" ref="H49:H54" si="1">SUM(B49,E49)</f>
        <v>562410</v>
      </c>
      <c r="I49" s="103">
        <f t="shared" ref="I49:J54" si="2">SUM(C49,F49)</f>
        <v>532239.27923287847</v>
      </c>
      <c r="J49" s="103">
        <f t="shared" si="2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0</v>
      </c>
      <c r="D50" s="103">
        <f t="shared" ca="1" si="0"/>
        <v>0</v>
      </c>
      <c r="E50" s="103">
        <f t="shared" ca="1" si="0"/>
        <v>0</v>
      </c>
      <c r="F50" s="103">
        <f t="shared" ca="1" si="0"/>
        <v>0</v>
      </c>
      <c r="G50" s="103">
        <f t="shared" ca="1" si="0"/>
        <v>0</v>
      </c>
      <c r="H50" s="103">
        <f t="shared" ca="1" si="1"/>
        <v>0</v>
      </c>
      <c r="I50" s="103">
        <f t="shared" ca="1" si="2"/>
        <v>0</v>
      </c>
      <c r="J50" s="103">
        <f t="shared" ca="1" si="2"/>
        <v>0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75250.639617319161</v>
      </c>
      <c r="D51" s="103">
        <f t="shared" ca="1" si="0"/>
        <v>198675.02880562455</v>
      </c>
      <c r="E51" s="103">
        <f t="shared" ca="1" si="0"/>
        <v>0</v>
      </c>
      <c r="F51" s="103">
        <f t="shared" ca="1" si="0"/>
        <v>12743.574615455385</v>
      </c>
      <c r="G51" s="103">
        <f t="shared" ca="1" si="0"/>
        <v>33701.279191227186</v>
      </c>
      <c r="H51" s="103">
        <f t="shared" ca="1" si="1"/>
        <v>0</v>
      </c>
      <c r="I51" s="103">
        <f t="shared" ca="1" si="2"/>
        <v>87994.214232774539</v>
      </c>
      <c r="J51" s="103">
        <f t="shared" ca="1" si="2"/>
        <v>232376.30799685174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0</v>
      </c>
      <c r="D52" s="103">
        <f t="shared" ca="1" si="0"/>
        <v>0</v>
      </c>
      <c r="E52" s="103">
        <f t="shared" ca="1" si="0"/>
        <v>0</v>
      </c>
      <c r="F52" s="103">
        <f t="shared" ca="1" si="0"/>
        <v>0</v>
      </c>
      <c r="G52" s="103">
        <f t="shared" ca="1" si="0"/>
        <v>0</v>
      </c>
      <c r="H52" s="103">
        <f t="shared" ca="1" si="1"/>
        <v>0</v>
      </c>
      <c r="I52" s="103">
        <f t="shared" ca="1" si="2"/>
        <v>0</v>
      </c>
      <c r="J52" s="103">
        <f t="shared" ca="1" si="2"/>
        <v>0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0</v>
      </c>
      <c r="D53" s="103">
        <f t="shared" ca="1" si="0"/>
        <v>0</v>
      </c>
      <c r="E53" s="103">
        <f t="shared" ca="1" si="0"/>
        <v>0</v>
      </c>
      <c r="F53" s="103">
        <f t="shared" ca="1" si="0"/>
        <v>0</v>
      </c>
      <c r="G53" s="103">
        <f t="shared" ca="1" si="0"/>
        <v>0</v>
      </c>
      <c r="H53" s="103">
        <f t="shared" ca="1" si="1"/>
        <v>0</v>
      </c>
      <c r="I53" s="103">
        <f t="shared" ca="1" si="2"/>
        <v>0</v>
      </c>
      <c r="J53" s="103">
        <f t="shared" ca="1" si="2"/>
        <v>0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112875.95942597871</v>
      </c>
      <c r="D54" s="103">
        <f t="shared" ca="1" si="0"/>
        <v>298012.54320843681</v>
      </c>
      <c r="E54" s="103">
        <f t="shared" ca="1" si="0"/>
        <v>0</v>
      </c>
      <c r="F54" s="103">
        <f t="shared" ca="1" si="0"/>
        <v>19115.361923183078</v>
      </c>
      <c r="G54" s="103">
        <f t="shared" ca="1" si="0"/>
        <v>50551.918786840768</v>
      </c>
      <c r="H54" s="103">
        <f t="shared" ca="1" si="1"/>
        <v>0</v>
      </c>
      <c r="I54" s="103">
        <f t="shared" ca="1" si="2"/>
        <v>131991.32134916179</v>
      </c>
      <c r="J54" s="103">
        <f t="shared" ca="1" si="2"/>
        <v>348564.46199527755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>SUM(C59:C60)</f>
        <v>1</v>
      </c>
      <c r="D61" s="310">
        <f>SUM(D59:D60)</f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327</v>
      </c>
      <c r="E1" t="s">
        <v>326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0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0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>
        <f ca="1">IF($C3-G$1&lt;År1,0,F2*(1-VLOOKUP($A3,[1]Hugst!$R$5:$W$9,MATCH(ROUNDUP((G$1)/10,0)*10,[1]Hugst!$R$4:$W$4,0))))</f>
        <v>0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0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>
        <f ca="1">IF($C4-G$1&lt;År1,0,F3*(1-VLOOKUP($A4,[1]Hugst!$R$5:$W$9,MATCH(ROUNDUP((G$1)/10,0)*10,[1]Hugst!$R$4:$W$4,0))))</f>
        <v>0</v>
      </c>
      <c r="H4">
        <f ca="1">IF($C4-H$1&lt;År1,0,G3*(1-VLOOKUP($A4,[1]Hugst!$R$5:$W$9,MATCH(ROUNDUP((H$1)/10,0)*10,[1]Hugst!$R$4:$W$4,0))))</f>
        <v>0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0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>
        <f ca="1">IF($C5-G$1&lt;År1,0,F4*(1-VLOOKUP($A5,[1]Hugst!$R$5:$W$9,MATCH(ROUNDUP((G$1)/10,0)*10,[1]Hugst!$R$4:$W$4,0))))</f>
        <v>0</v>
      </c>
      <c r="H5">
        <f ca="1">IF($C5-H$1&lt;År1,0,G4*(1-VLOOKUP($A5,[1]Hugst!$R$5:$W$9,MATCH(ROUNDUP((H$1)/10,0)*10,[1]Hugst!$R$4:$W$4,0))))</f>
        <v>0</v>
      </c>
      <c r="I5">
        <f ca="1">IF($C5-I$1&lt;År1,0,H4*(1-VLOOKUP($A5,[1]Hugst!$R$5:$W$9,MATCH(ROUNDUP((I$1)/10,0)*10,[1]Hugst!$R$4:$W$4,0))))</f>
        <v>0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0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>
        <f ca="1">IF($C6-G$1&lt;År1,0,F5*(1-VLOOKUP($A6,[1]Hugst!$R$5:$W$9,MATCH(ROUNDUP((G$1)/10,0)*10,[1]Hugst!$R$4:$W$4,0))))</f>
        <v>0</v>
      </c>
      <c r="H6">
        <f ca="1">IF($C6-H$1&lt;År1,0,G5*(1-VLOOKUP($A6,[1]Hugst!$R$5:$W$9,MATCH(ROUNDUP((H$1)/10,0)*10,[1]Hugst!$R$4:$W$4,0))))</f>
        <v>0</v>
      </c>
      <c r="I6">
        <f ca="1">IF($C6-I$1&lt;År1,0,H5*(1-VLOOKUP($A6,[1]Hugst!$R$5:$W$9,MATCH(ROUNDUP((I$1)/10,0)*10,[1]Hugst!$R$4:$W$4,0))))</f>
        <v>0</v>
      </c>
      <c r="J6">
        <f ca="1">IF($C6-J$1&lt;År1,0,I5*(1-VLOOKUP($A6,[1]Hugst!$R$5:$W$9,MATCH(ROUNDUP((J$1)/10,0)*10,[1]Hugst!$R$4:$W$4,0))))</f>
        <v>0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0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>
        <f ca="1">IF($C7-G$1&lt;År1,0,F6*(1-VLOOKUP($A7,[1]Hugst!$R$5:$W$9,MATCH(ROUNDUP((G$1)/10,0)*10,[1]Hugst!$R$4:$W$4,0))))</f>
        <v>0</v>
      </c>
      <c r="H7">
        <f ca="1">IF($C7-H$1&lt;År1,0,G6*(1-VLOOKUP($A7,[1]Hugst!$R$5:$W$9,MATCH(ROUNDUP((H$1)/10,0)*10,[1]Hugst!$R$4:$W$4,0))))</f>
        <v>0</v>
      </c>
      <c r="I7">
        <f ca="1">IF($C7-I$1&lt;År1,0,H6*(1-VLOOKUP($A7,[1]Hugst!$R$5:$W$9,MATCH(ROUNDUP((I$1)/10,0)*10,[1]Hugst!$R$4:$W$4,0))))</f>
        <v>0</v>
      </c>
      <c r="J7">
        <f ca="1">IF($C7-J$1&lt;År1,0,I6*(1-VLOOKUP($A7,[1]Hugst!$R$5:$W$9,MATCH(ROUNDUP((J$1)/10,0)*10,[1]Hugst!$R$4:$W$4,0))))</f>
        <v>0</v>
      </c>
      <c r="K7">
        <f ca="1">IF($C7-K$1&lt;År1,0,J6*(1-VLOOKUP($A7,[1]Hugst!$R$5:$W$9,MATCH(ROUNDUP((K$1)/10,0)*10,[1]Hugst!$R$4:$W$4,0))))</f>
        <v>0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0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>
        <f ca="1">IF($C8-G$1&lt;År1,0,F7*(1-VLOOKUP($A8,[1]Hugst!$R$5:$W$9,MATCH(ROUNDUP((G$1)/10,0)*10,[1]Hugst!$R$4:$W$4,0))))</f>
        <v>0</v>
      </c>
      <c r="H8">
        <f ca="1">IF($C8-H$1&lt;År1,0,G7*(1-VLOOKUP($A8,[1]Hugst!$R$5:$W$9,MATCH(ROUNDUP((H$1)/10,0)*10,[1]Hugst!$R$4:$W$4,0))))</f>
        <v>0</v>
      </c>
      <c r="I8">
        <f ca="1">IF($C8-I$1&lt;År1,0,H7*(1-VLOOKUP($A8,[1]Hugst!$R$5:$W$9,MATCH(ROUNDUP((I$1)/10,0)*10,[1]Hugst!$R$4:$W$4,0))))</f>
        <v>0</v>
      </c>
      <c r="J8">
        <f ca="1">IF($C8-J$1&lt;År1,0,I7*(1-VLOOKUP($A8,[1]Hugst!$R$5:$W$9,MATCH(ROUNDUP((J$1)/10,0)*10,[1]Hugst!$R$4:$W$4,0))))</f>
        <v>0</v>
      </c>
      <c r="K8">
        <f ca="1">IF($C8-K$1&lt;År1,0,J7*(1-VLOOKUP($A8,[1]Hugst!$R$5:$W$9,MATCH(ROUNDUP((K$1)/10,0)*10,[1]Hugst!$R$4:$W$4,0))))</f>
        <v>0</v>
      </c>
      <c r="L8">
        <f ca="1">IF($C8-L$1&lt;År1,0,K7*(1-VLOOKUP($A8,[1]Hugst!$R$5:$W$9,MATCH(ROUNDUP((L$1)/10,0)*10,[1]Hugst!$R$4:$W$4,0))))</f>
        <v>0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0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>
        <f ca="1">IF($C9-G$1&lt;År1,0,F8*(1-VLOOKUP($A9,[1]Hugst!$R$5:$W$9,MATCH(ROUNDUP((G$1)/10,0)*10,[1]Hugst!$R$4:$W$4,0))))</f>
        <v>0</v>
      </c>
      <c r="H9">
        <f ca="1">IF($C9-H$1&lt;År1,0,G8*(1-VLOOKUP($A9,[1]Hugst!$R$5:$W$9,MATCH(ROUNDUP((H$1)/10,0)*10,[1]Hugst!$R$4:$W$4,0))))</f>
        <v>0</v>
      </c>
      <c r="I9">
        <f ca="1">IF($C9-I$1&lt;År1,0,H8*(1-VLOOKUP($A9,[1]Hugst!$R$5:$W$9,MATCH(ROUNDUP((I$1)/10,0)*10,[1]Hugst!$R$4:$W$4,0))))</f>
        <v>0</v>
      </c>
      <c r="J9">
        <f ca="1">IF($C9-J$1&lt;År1,0,I8*(1-VLOOKUP($A9,[1]Hugst!$R$5:$W$9,MATCH(ROUNDUP((J$1)/10,0)*10,[1]Hugst!$R$4:$W$4,0))))</f>
        <v>0</v>
      </c>
      <c r="K9">
        <f ca="1">IF($C9-K$1&lt;År1,0,J8*(1-VLOOKUP($A9,[1]Hugst!$R$5:$W$9,MATCH(ROUNDUP((K$1)/10,0)*10,[1]Hugst!$R$4:$W$4,0))))</f>
        <v>0</v>
      </c>
      <c r="L9">
        <f ca="1">IF($C9-L$1&lt;År1,0,K8*(1-VLOOKUP($A9,[1]Hugst!$R$5:$W$9,MATCH(ROUNDUP((L$1)/10,0)*10,[1]Hugst!$R$4:$W$4,0))))</f>
        <v>0</v>
      </c>
      <c r="M9">
        <f ca="1">IF($C9-M$1&lt;År1,0,L8*(1-VLOOKUP($A9,[1]Hugst!$R$5:$W$9,MATCH(ROUNDUP((M$1)/10,0)*10,[1]Hugst!$R$4:$W$4,0))))</f>
        <v>0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0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>
        <f ca="1">IF($C10-G$1&lt;År1,0,F9*(1-VLOOKUP($A10,[1]Hugst!$R$5:$W$9,MATCH(ROUNDUP((G$1)/10,0)*10,[1]Hugst!$R$4:$W$4,0))))</f>
        <v>0</v>
      </c>
      <c r="H10">
        <f ca="1">IF($C10-H$1&lt;År1,0,G9*(1-VLOOKUP($A10,[1]Hugst!$R$5:$W$9,MATCH(ROUNDUP((H$1)/10,0)*10,[1]Hugst!$R$4:$W$4,0))))</f>
        <v>0</v>
      </c>
      <c r="I10">
        <f ca="1">IF($C10-I$1&lt;År1,0,H9*(1-VLOOKUP($A10,[1]Hugst!$R$5:$W$9,MATCH(ROUNDUP((I$1)/10,0)*10,[1]Hugst!$R$4:$W$4,0))))</f>
        <v>0</v>
      </c>
      <c r="J10">
        <f ca="1">IF($C10-J$1&lt;År1,0,I9*(1-VLOOKUP($A10,[1]Hugst!$R$5:$W$9,MATCH(ROUNDUP((J$1)/10,0)*10,[1]Hugst!$R$4:$W$4,0))))</f>
        <v>0</v>
      </c>
      <c r="K10">
        <f ca="1">IF($C10-K$1&lt;År1,0,J9*(1-VLOOKUP($A10,[1]Hugst!$R$5:$W$9,MATCH(ROUNDUP((K$1)/10,0)*10,[1]Hugst!$R$4:$W$4,0))))</f>
        <v>0</v>
      </c>
      <c r="L10">
        <f ca="1">IF($C10-L$1&lt;År1,0,K9*(1-VLOOKUP($A10,[1]Hugst!$R$5:$W$9,MATCH(ROUNDUP((L$1)/10,0)*10,[1]Hugst!$R$4:$W$4,0))))</f>
        <v>0</v>
      </c>
      <c r="M10">
        <f ca="1">IF($C10-M$1&lt;År1,0,L9*(1-VLOOKUP($A10,[1]Hugst!$R$5:$W$9,MATCH(ROUNDUP((M$1)/10,0)*10,[1]Hugst!$R$4:$W$4,0))))</f>
        <v>0</v>
      </c>
      <c r="N10">
        <f ca="1">IF($C10-N$1&lt;År1,0,M9*(1-VLOOKUP($A10,[1]Hugst!$R$5:$W$9,MATCH(ROUNDUP((N$1)/10,0)*10,[1]Hugst!$R$4:$W$4,0))))</f>
        <v>0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0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>
        <f ca="1">IF($C11-G$1&lt;År1,0,F10*(1-VLOOKUP($A11,[1]Hugst!$R$5:$W$9,MATCH(ROUNDUP((G$1)/10,0)*10,[1]Hugst!$R$4:$W$4,0))))</f>
        <v>0</v>
      </c>
      <c r="H11">
        <f ca="1">IF($C11-H$1&lt;År1,0,G10*(1-VLOOKUP($A11,[1]Hugst!$R$5:$W$9,MATCH(ROUNDUP((H$1)/10,0)*10,[1]Hugst!$R$4:$W$4,0))))</f>
        <v>0</v>
      </c>
      <c r="I11">
        <f ca="1">IF($C11-I$1&lt;År1,0,H10*(1-VLOOKUP($A11,[1]Hugst!$R$5:$W$9,MATCH(ROUNDUP((I$1)/10,0)*10,[1]Hugst!$R$4:$W$4,0))))</f>
        <v>0</v>
      </c>
      <c r="J11">
        <f ca="1">IF($C11-J$1&lt;År1,0,I10*(1-VLOOKUP($A11,[1]Hugst!$R$5:$W$9,MATCH(ROUNDUP((J$1)/10,0)*10,[1]Hugst!$R$4:$W$4,0))))</f>
        <v>0</v>
      </c>
      <c r="K11">
        <f ca="1">IF($C11-K$1&lt;År1,0,J10*(1-VLOOKUP($A11,[1]Hugst!$R$5:$W$9,MATCH(ROUNDUP((K$1)/10,0)*10,[1]Hugst!$R$4:$W$4,0))))</f>
        <v>0</v>
      </c>
      <c r="L11">
        <f ca="1">IF($C11-L$1&lt;År1,0,K10*(1-VLOOKUP($A11,[1]Hugst!$R$5:$W$9,MATCH(ROUNDUP((L$1)/10,0)*10,[1]Hugst!$R$4:$W$4,0))))</f>
        <v>0</v>
      </c>
      <c r="M11">
        <f ca="1">IF($C11-M$1&lt;År1,0,L10*(1-VLOOKUP($A11,[1]Hugst!$R$5:$W$9,MATCH(ROUNDUP((M$1)/10,0)*10,[1]Hugst!$R$4:$W$4,0))))</f>
        <v>0</v>
      </c>
      <c r="N11">
        <f ca="1">IF($C11-N$1&lt;År1,0,M10*(1-VLOOKUP($A11,[1]Hugst!$R$5:$W$9,MATCH(ROUNDUP((N$1)/10,0)*10,[1]Hugst!$R$4:$W$4,0))))</f>
        <v>0</v>
      </c>
      <c r="O11">
        <f ca="1">IF($C11-O$1&lt;År1,0,N10*(1-VLOOKUP($A11,[1]Hugst!$R$5:$W$9,MATCH(ROUNDUP((O$1)/10,0)*10,[1]Hugst!$R$4:$W$4,0))))</f>
        <v>0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0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>
        <f ca="1">IF($C12-G$1&lt;År1,0,F11*(1-VLOOKUP($A12,[1]Hugst!$R$5:$W$9,MATCH(ROUNDUP((G$1)/10,0)*10,[1]Hugst!$R$4:$W$4,0))))</f>
        <v>0</v>
      </c>
      <c r="H12">
        <f ca="1">IF($C12-H$1&lt;År1,0,G11*(1-VLOOKUP($A12,[1]Hugst!$R$5:$W$9,MATCH(ROUNDUP((H$1)/10,0)*10,[1]Hugst!$R$4:$W$4,0))))</f>
        <v>0</v>
      </c>
      <c r="I12">
        <f ca="1">IF($C12-I$1&lt;År1,0,H11*(1-VLOOKUP($A12,[1]Hugst!$R$5:$W$9,MATCH(ROUNDUP((I$1)/10,0)*10,[1]Hugst!$R$4:$W$4,0))))</f>
        <v>0</v>
      </c>
      <c r="J12">
        <f ca="1">IF($C12-J$1&lt;År1,0,I11*(1-VLOOKUP($A12,[1]Hugst!$R$5:$W$9,MATCH(ROUNDUP((J$1)/10,0)*10,[1]Hugst!$R$4:$W$4,0))))</f>
        <v>0</v>
      </c>
      <c r="K12">
        <f ca="1">IF($C12-K$1&lt;År1,0,J11*(1-VLOOKUP($A12,[1]Hugst!$R$5:$W$9,MATCH(ROUNDUP((K$1)/10,0)*10,[1]Hugst!$R$4:$W$4,0))))</f>
        <v>0</v>
      </c>
      <c r="L12">
        <f ca="1">IF($C12-L$1&lt;År1,0,K11*(1-VLOOKUP($A12,[1]Hugst!$R$5:$W$9,MATCH(ROUNDUP((L$1)/10,0)*10,[1]Hugst!$R$4:$W$4,0))))</f>
        <v>0</v>
      </c>
      <c r="M12">
        <f ca="1">IF($C12-M$1&lt;År1,0,L11*(1-VLOOKUP($A12,[1]Hugst!$R$5:$W$9,MATCH(ROUNDUP((M$1)/10,0)*10,[1]Hugst!$R$4:$W$4,0))))</f>
        <v>0</v>
      </c>
      <c r="N12">
        <f ca="1">IF($C12-N$1&lt;År1,0,M11*(1-VLOOKUP($A12,[1]Hugst!$R$5:$W$9,MATCH(ROUNDUP((N$1)/10,0)*10,[1]Hugst!$R$4:$W$4,0))))</f>
        <v>0</v>
      </c>
      <c r="O12">
        <f ca="1">IF($C12-O$1&lt;År1,0,N11*(1-VLOOKUP($A12,[1]Hugst!$R$5:$W$9,MATCH(ROUNDUP((O$1)/10,0)*10,[1]Hugst!$R$4:$W$4,0))))</f>
        <v>0</v>
      </c>
      <c r="P12">
        <f ca="1">IF($C12-P$1&lt;År1,0,O11*(1-VLOOKUP($A12,[1]Hugst!$R$5:$W$9,MATCH(ROUNDUP((P$1)/10,0)*10,[1]Hugst!$R$4:$W$4,0))))</f>
        <v>0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0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>
        <f ca="1">IF($C13-G$1&lt;År1,0,F12*(1-VLOOKUP($A13,[1]Hugst!$R$5:$W$9,MATCH(ROUNDUP((G$1)/10,0)*10,[1]Hugst!$R$4:$W$4,0))))</f>
        <v>0</v>
      </c>
      <c r="H13">
        <f ca="1">IF($C13-H$1&lt;År1,0,G12*(1-VLOOKUP($A13,[1]Hugst!$R$5:$W$9,MATCH(ROUNDUP((H$1)/10,0)*10,[1]Hugst!$R$4:$W$4,0))))</f>
        <v>0</v>
      </c>
      <c r="I13">
        <f ca="1">IF($C13-I$1&lt;År1,0,H12*(1-VLOOKUP($A13,[1]Hugst!$R$5:$W$9,MATCH(ROUNDUP((I$1)/10,0)*10,[1]Hugst!$R$4:$W$4,0))))</f>
        <v>0</v>
      </c>
      <c r="J13">
        <f ca="1">IF($C13-J$1&lt;År1,0,I12*(1-VLOOKUP($A13,[1]Hugst!$R$5:$W$9,MATCH(ROUNDUP((J$1)/10,0)*10,[1]Hugst!$R$4:$W$4,0))))</f>
        <v>0</v>
      </c>
      <c r="K13">
        <f ca="1">IF($C13-K$1&lt;År1,0,J12*(1-VLOOKUP($A13,[1]Hugst!$R$5:$W$9,MATCH(ROUNDUP((K$1)/10,0)*10,[1]Hugst!$R$4:$W$4,0))))</f>
        <v>0</v>
      </c>
      <c r="L13">
        <f ca="1">IF($C13-L$1&lt;År1,0,K12*(1-VLOOKUP($A13,[1]Hugst!$R$5:$W$9,MATCH(ROUNDUP((L$1)/10,0)*10,[1]Hugst!$R$4:$W$4,0))))</f>
        <v>0</v>
      </c>
      <c r="M13">
        <f ca="1">IF($C13-M$1&lt;År1,0,L12*(1-VLOOKUP($A13,[1]Hugst!$R$5:$W$9,MATCH(ROUNDUP((M$1)/10,0)*10,[1]Hugst!$R$4:$W$4,0))))</f>
        <v>0</v>
      </c>
      <c r="N13">
        <f ca="1">IF($C13-N$1&lt;År1,0,M12*(1-VLOOKUP($A13,[1]Hugst!$R$5:$W$9,MATCH(ROUNDUP((N$1)/10,0)*10,[1]Hugst!$R$4:$W$4,0))))</f>
        <v>0</v>
      </c>
      <c r="O13">
        <f ca="1">IF($C13-O$1&lt;År1,0,N12*(1-VLOOKUP($A13,[1]Hugst!$R$5:$W$9,MATCH(ROUNDUP((O$1)/10,0)*10,[1]Hugst!$R$4:$W$4,0))))</f>
        <v>0</v>
      </c>
      <c r="P13">
        <f ca="1">IF($C13-P$1&lt;År1,0,O12*(1-VLOOKUP($A13,[1]Hugst!$R$5:$W$9,MATCH(ROUNDUP((P$1)/10,0)*10,[1]Hugst!$R$4:$W$4,0))))</f>
        <v>0</v>
      </c>
      <c r="Q13">
        <f ca="1">IF($C13-Q$1&lt;År1,0,P12*(1-VLOOKUP($A13,[1]Hugst!$R$5:$W$9,MATCH(ROUNDUP((Q$1)/10,0)*10,[1]Hugst!$R$4:$W$4,0))))</f>
        <v>0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0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>
        <f ca="1">IF($C14-G$1&lt;År1,0,F13*(1-VLOOKUP($A14,[1]Hugst!$R$5:$W$9,MATCH(ROUNDUP((G$1)/10,0)*10,[1]Hugst!$R$4:$W$4,0))))</f>
        <v>0</v>
      </c>
      <c r="H14">
        <f ca="1">IF($C14-H$1&lt;År1,0,G13*(1-VLOOKUP($A14,[1]Hugst!$R$5:$W$9,MATCH(ROUNDUP((H$1)/10,0)*10,[1]Hugst!$R$4:$W$4,0))))</f>
        <v>0</v>
      </c>
      <c r="I14">
        <f ca="1">IF($C14-I$1&lt;År1,0,H13*(1-VLOOKUP($A14,[1]Hugst!$R$5:$W$9,MATCH(ROUNDUP((I$1)/10,0)*10,[1]Hugst!$R$4:$W$4,0))))</f>
        <v>0</v>
      </c>
      <c r="J14">
        <f ca="1">IF($C14-J$1&lt;År1,0,I13*(1-VLOOKUP($A14,[1]Hugst!$R$5:$W$9,MATCH(ROUNDUP((J$1)/10,0)*10,[1]Hugst!$R$4:$W$4,0))))</f>
        <v>0</v>
      </c>
      <c r="K14">
        <f ca="1">IF($C14-K$1&lt;År1,0,J13*(1-VLOOKUP($A14,[1]Hugst!$R$5:$W$9,MATCH(ROUNDUP((K$1)/10,0)*10,[1]Hugst!$R$4:$W$4,0))))</f>
        <v>0</v>
      </c>
      <c r="L14">
        <f ca="1">IF($C14-L$1&lt;År1,0,K13*(1-VLOOKUP($A14,[1]Hugst!$R$5:$W$9,MATCH(ROUNDUP((L$1)/10,0)*10,[1]Hugst!$R$4:$W$4,0))))</f>
        <v>0</v>
      </c>
      <c r="M14">
        <f ca="1">IF($C14-M$1&lt;År1,0,L13*(1-VLOOKUP($A14,[1]Hugst!$R$5:$W$9,MATCH(ROUNDUP((M$1)/10,0)*10,[1]Hugst!$R$4:$W$4,0))))</f>
        <v>0</v>
      </c>
      <c r="N14">
        <f ca="1">IF($C14-N$1&lt;År1,0,M13*(1-VLOOKUP($A14,[1]Hugst!$R$5:$W$9,MATCH(ROUNDUP((N$1)/10,0)*10,[1]Hugst!$R$4:$W$4,0))))</f>
        <v>0</v>
      </c>
      <c r="O14">
        <f ca="1">IF($C14-O$1&lt;År1,0,N13*(1-VLOOKUP($A14,[1]Hugst!$R$5:$W$9,MATCH(ROUNDUP((O$1)/10,0)*10,[1]Hugst!$R$4:$W$4,0))))</f>
        <v>0</v>
      </c>
      <c r="P14">
        <f ca="1">IF($C14-P$1&lt;År1,0,O13*(1-VLOOKUP($A14,[1]Hugst!$R$5:$W$9,MATCH(ROUNDUP((P$1)/10,0)*10,[1]Hugst!$R$4:$W$4,0))))</f>
        <v>0</v>
      </c>
      <c r="Q14">
        <f ca="1">IF($C14-Q$1&lt;År1,0,P13*(1-VLOOKUP($A14,[1]Hugst!$R$5:$W$9,MATCH(ROUNDUP((Q$1)/10,0)*10,[1]Hugst!$R$4:$W$4,0))))</f>
        <v>0</v>
      </c>
      <c r="R14">
        <f ca="1">IF($C14-R$1&lt;År1,0,Q13*(1-VLOOKUP($A14,[1]Hugst!$R$5:$W$9,MATCH(ROUNDUP((R$1)/10,0)*10,[1]Hugst!$R$4:$W$4,0))))</f>
        <v>0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0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>
        <f ca="1">IF($C15-G$1&lt;År1,0,F14*(1-VLOOKUP($A15,[1]Hugst!$R$5:$W$9,MATCH(ROUNDUP((G$1)/10,0)*10,[1]Hugst!$R$4:$W$4,0))))</f>
        <v>0</v>
      </c>
      <c r="H15">
        <f ca="1">IF($C15-H$1&lt;År1,0,G14*(1-VLOOKUP($A15,[1]Hugst!$R$5:$W$9,MATCH(ROUNDUP((H$1)/10,0)*10,[1]Hugst!$R$4:$W$4,0))))</f>
        <v>0</v>
      </c>
      <c r="I15">
        <f ca="1">IF($C15-I$1&lt;År1,0,H14*(1-VLOOKUP($A15,[1]Hugst!$R$5:$W$9,MATCH(ROUNDUP((I$1)/10,0)*10,[1]Hugst!$R$4:$W$4,0))))</f>
        <v>0</v>
      </c>
      <c r="J15">
        <f ca="1">IF($C15-J$1&lt;År1,0,I14*(1-VLOOKUP($A15,[1]Hugst!$R$5:$W$9,MATCH(ROUNDUP((J$1)/10,0)*10,[1]Hugst!$R$4:$W$4,0))))</f>
        <v>0</v>
      </c>
      <c r="K15">
        <f ca="1">IF($C15-K$1&lt;År1,0,J14*(1-VLOOKUP($A15,[1]Hugst!$R$5:$W$9,MATCH(ROUNDUP((K$1)/10,0)*10,[1]Hugst!$R$4:$W$4,0))))</f>
        <v>0</v>
      </c>
      <c r="L15">
        <f ca="1">IF($C15-L$1&lt;År1,0,K14*(1-VLOOKUP($A15,[1]Hugst!$R$5:$W$9,MATCH(ROUNDUP((L$1)/10,0)*10,[1]Hugst!$R$4:$W$4,0))))</f>
        <v>0</v>
      </c>
      <c r="M15">
        <f ca="1">IF($C15-M$1&lt;År1,0,L14*(1-VLOOKUP($A15,[1]Hugst!$R$5:$W$9,MATCH(ROUNDUP((M$1)/10,0)*10,[1]Hugst!$R$4:$W$4,0))))</f>
        <v>0</v>
      </c>
      <c r="N15">
        <f ca="1">IF($C15-N$1&lt;År1,0,M14*(1-VLOOKUP($A15,[1]Hugst!$R$5:$W$9,MATCH(ROUNDUP((N$1)/10,0)*10,[1]Hugst!$R$4:$W$4,0))))</f>
        <v>0</v>
      </c>
      <c r="O15">
        <f ca="1">IF($C15-O$1&lt;År1,0,N14*(1-VLOOKUP($A15,[1]Hugst!$R$5:$W$9,MATCH(ROUNDUP((O$1)/10,0)*10,[1]Hugst!$R$4:$W$4,0))))</f>
        <v>0</v>
      </c>
      <c r="P15">
        <f ca="1">IF($C15-P$1&lt;År1,0,O14*(1-VLOOKUP($A15,[1]Hugst!$R$5:$W$9,MATCH(ROUNDUP((P$1)/10,0)*10,[1]Hugst!$R$4:$W$4,0))))</f>
        <v>0</v>
      </c>
      <c r="Q15">
        <f ca="1">IF($C15-Q$1&lt;År1,0,P14*(1-VLOOKUP($A15,[1]Hugst!$R$5:$W$9,MATCH(ROUNDUP((Q$1)/10,0)*10,[1]Hugst!$R$4:$W$4,0))))</f>
        <v>0</v>
      </c>
      <c r="R15">
        <f ca="1">IF($C15-R$1&lt;År1,0,Q14*(1-VLOOKUP($A15,[1]Hugst!$R$5:$W$9,MATCH(ROUNDUP((R$1)/10,0)*10,[1]Hugst!$R$4:$W$4,0))))</f>
        <v>0</v>
      </c>
      <c r="S15">
        <f ca="1">IF($C15-S$1&lt;År1,0,R14*(1-VLOOKUP($A15,[1]Hugst!$R$5:$W$9,MATCH(ROUNDUP((S$1)/10,0)*10,[1]Hugst!$R$4:$W$4,0))))</f>
        <v>0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0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>
        <f ca="1">IF($C16-G$1&lt;År1,0,F15*(1-VLOOKUP($A16,[1]Hugst!$R$5:$W$9,MATCH(ROUNDUP((G$1)/10,0)*10,[1]Hugst!$R$4:$W$4,0))))</f>
        <v>0</v>
      </c>
      <c r="H16">
        <f ca="1">IF($C16-H$1&lt;År1,0,G15*(1-VLOOKUP($A16,[1]Hugst!$R$5:$W$9,MATCH(ROUNDUP((H$1)/10,0)*10,[1]Hugst!$R$4:$W$4,0))))</f>
        <v>0</v>
      </c>
      <c r="I16">
        <f ca="1">IF($C16-I$1&lt;År1,0,H15*(1-VLOOKUP($A16,[1]Hugst!$R$5:$W$9,MATCH(ROUNDUP((I$1)/10,0)*10,[1]Hugst!$R$4:$W$4,0))))</f>
        <v>0</v>
      </c>
      <c r="J16">
        <f ca="1">IF($C16-J$1&lt;År1,0,I15*(1-VLOOKUP($A16,[1]Hugst!$R$5:$W$9,MATCH(ROUNDUP((J$1)/10,0)*10,[1]Hugst!$R$4:$W$4,0))))</f>
        <v>0</v>
      </c>
      <c r="K16">
        <f ca="1">IF($C16-K$1&lt;År1,0,J15*(1-VLOOKUP($A16,[1]Hugst!$R$5:$W$9,MATCH(ROUNDUP((K$1)/10,0)*10,[1]Hugst!$R$4:$W$4,0))))</f>
        <v>0</v>
      </c>
      <c r="L16">
        <f ca="1">IF($C16-L$1&lt;År1,0,K15*(1-VLOOKUP($A16,[1]Hugst!$R$5:$W$9,MATCH(ROUNDUP((L$1)/10,0)*10,[1]Hugst!$R$4:$W$4,0))))</f>
        <v>0</v>
      </c>
      <c r="M16">
        <f ca="1">IF($C16-M$1&lt;År1,0,L15*(1-VLOOKUP($A16,[1]Hugst!$R$5:$W$9,MATCH(ROUNDUP((M$1)/10,0)*10,[1]Hugst!$R$4:$W$4,0))))</f>
        <v>0</v>
      </c>
      <c r="N16">
        <f ca="1">IF($C16-N$1&lt;År1,0,M15*(1-VLOOKUP($A16,[1]Hugst!$R$5:$W$9,MATCH(ROUNDUP((N$1)/10,0)*10,[1]Hugst!$R$4:$W$4,0))))</f>
        <v>0</v>
      </c>
      <c r="O16">
        <f ca="1">IF($C16-O$1&lt;År1,0,N15*(1-VLOOKUP($A16,[1]Hugst!$R$5:$W$9,MATCH(ROUNDUP((O$1)/10,0)*10,[1]Hugst!$R$4:$W$4,0))))</f>
        <v>0</v>
      </c>
      <c r="P16">
        <f ca="1">IF($C16-P$1&lt;År1,0,O15*(1-VLOOKUP($A16,[1]Hugst!$R$5:$W$9,MATCH(ROUNDUP((P$1)/10,0)*10,[1]Hugst!$R$4:$W$4,0))))</f>
        <v>0</v>
      </c>
      <c r="Q16">
        <f ca="1">IF($C16-Q$1&lt;År1,0,P15*(1-VLOOKUP($A16,[1]Hugst!$R$5:$W$9,MATCH(ROUNDUP((Q$1)/10,0)*10,[1]Hugst!$R$4:$W$4,0))))</f>
        <v>0</v>
      </c>
      <c r="R16">
        <f ca="1">IF($C16-R$1&lt;År1,0,Q15*(1-VLOOKUP($A16,[1]Hugst!$R$5:$W$9,MATCH(ROUNDUP((R$1)/10,0)*10,[1]Hugst!$R$4:$W$4,0))))</f>
        <v>0</v>
      </c>
      <c r="S16">
        <f ca="1">IF($C16-S$1&lt;År1,0,R15*(1-VLOOKUP($A16,[1]Hugst!$R$5:$W$9,MATCH(ROUNDUP((S$1)/10,0)*10,[1]Hugst!$R$4:$W$4,0))))</f>
        <v>0</v>
      </c>
      <c r="T16">
        <f ca="1">IF($C16-T$1&lt;År1,0,S15*(1-VLOOKUP($A16,[1]Hugst!$R$5:$W$9,MATCH(ROUNDUP((T$1)/10,0)*10,[1]Hugst!$R$4:$W$4,0))))</f>
        <v>0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0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>
        <f ca="1">IF($C17-G$1&lt;År1,0,F16*(1-VLOOKUP($A17,[1]Hugst!$R$5:$W$9,MATCH(ROUNDUP((G$1)/10,0)*10,[1]Hugst!$R$4:$W$4,0))))</f>
        <v>0</v>
      </c>
      <c r="H17">
        <f ca="1">IF($C17-H$1&lt;År1,0,G16*(1-VLOOKUP($A17,[1]Hugst!$R$5:$W$9,MATCH(ROUNDUP((H$1)/10,0)*10,[1]Hugst!$R$4:$W$4,0))))</f>
        <v>0</v>
      </c>
      <c r="I17">
        <f ca="1">IF($C17-I$1&lt;År1,0,H16*(1-VLOOKUP($A17,[1]Hugst!$R$5:$W$9,MATCH(ROUNDUP((I$1)/10,0)*10,[1]Hugst!$R$4:$W$4,0))))</f>
        <v>0</v>
      </c>
      <c r="J17">
        <f ca="1">IF($C17-J$1&lt;År1,0,I16*(1-VLOOKUP($A17,[1]Hugst!$R$5:$W$9,MATCH(ROUNDUP((J$1)/10,0)*10,[1]Hugst!$R$4:$W$4,0))))</f>
        <v>0</v>
      </c>
      <c r="K17">
        <f ca="1">IF($C17-K$1&lt;År1,0,J16*(1-VLOOKUP($A17,[1]Hugst!$R$5:$W$9,MATCH(ROUNDUP((K$1)/10,0)*10,[1]Hugst!$R$4:$W$4,0))))</f>
        <v>0</v>
      </c>
      <c r="L17">
        <f ca="1">IF($C17-L$1&lt;År1,0,K16*(1-VLOOKUP($A17,[1]Hugst!$R$5:$W$9,MATCH(ROUNDUP((L$1)/10,0)*10,[1]Hugst!$R$4:$W$4,0))))</f>
        <v>0</v>
      </c>
      <c r="M17">
        <f ca="1">IF($C17-M$1&lt;År1,0,L16*(1-VLOOKUP($A17,[1]Hugst!$R$5:$W$9,MATCH(ROUNDUP((M$1)/10,0)*10,[1]Hugst!$R$4:$W$4,0))))</f>
        <v>0</v>
      </c>
      <c r="N17">
        <f ca="1">IF($C17-N$1&lt;År1,0,M16*(1-VLOOKUP($A17,[1]Hugst!$R$5:$W$9,MATCH(ROUNDUP((N$1)/10,0)*10,[1]Hugst!$R$4:$W$4,0))))</f>
        <v>0</v>
      </c>
      <c r="O17">
        <f ca="1">IF($C17-O$1&lt;År1,0,N16*(1-VLOOKUP($A17,[1]Hugst!$R$5:$W$9,MATCH(ROUNDUP((O$1)/10,0)*10,[1]Hugst!$R$4:$W$4,0))))</f>
        <v>0</v>
      </c>
      <c r="P17">
        <f ca="1">IF($C17-P$1&lt;År1,0,O16*(1-VLOOKUP($A17,[1]Hugst!$R$5:$W$9,MATCH(ROUNDUP((P$1)/10,0)*10,[1]Hugst!$R$4:$W$4,0))))</f>
        <v>0</v>
      </c>
      <c r="Q17">
        <f ca="1">IF($C17-Q$1&lt;År1,0,P16*(1-VLOOKUP($A17,[1]Hugst!$R$5:$W$9,MATCH(ROUNDUP((Q$1)/10,0)*10,[1]Hugst!$R$4:$W$4,0))))</f>
        <v>0</v>
      </c>
      <c r="R17">
        <f ca="1">IF($C17-R$1&lt;År1,0,Q16*(1-VLOOKUP($A17,[1]Hugst!$R$5:$W$9,MATCH(ROUNDUP((R$1)/10,0)*10,[1]Hugst!$R$4:$W$4,0))))</f>
        <v>0</v>
      </c>
      <c r="S17">
        <f ca="1">IF($C17-S$1&lt;År1,0,R16*(1-VLOOKUP($A17,[1]Hugst!$R$5:$W$9,MATCH(ROUNDUP((S$1)/10,0)*10,[1]Hugst!$R$4:$W$4,0))))</f>
        <v>0</v>
      </c>
      <c r="T17">
        <f ca="1">IF($C17-T$1&lt;År1,0,S16*(1-VLOOKUP($A17,[1]Hugst!$R$5:$W$9,MATCH(ROUNDUP((T$1)/10,0)*10,[1]Hugst!$R$4:$W$4,0))))</f>
        <v>0</v>
      </c>
      <c r="U17">
        <f ca="1">IF($C17-U$1&lt;År1,0,T16*(1-VLOOKUP($A17,[1]Hugst!$R$5:$W$9,MATCH(ROUNDUP((U$1)/10,0)*10,[1]Hugst!$R$4:$W$4,0))))</f>
        <v>0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0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>
        <f ca="1">IF($C18-G$1&lt;År1,0,F17*(1-VLOOKUP($A18,[1]Hugst!$R$5:$W$9,MATCH(ROUNDUP((G$1)/10,0)*10,[1]Hugst!$R$4:$W$4,0))))</f>
        <v>0</v>
      </c>
      <c r="H18">
        <f ca="1">IF($C18-H$1&lt;År1,0,G17*(1-VLOOKUP($A18,[1]Hugst!$R$5:$W$9,MATCH(ROUNDUP((H$1)/10,0)*10,[1]Hugst!$R$4:$W$4,0))))</f>
        <v>0</v>
      </c>
      <c r="I18">
        <f ca="1">IF($C18-I$1&lt;År1,0,H17*(1-VLOOKUP($A18,[1]Hugst!$R$5:$W$9,MATCH(ROUNDUP((I$1)/10,0)*10,[1]Hugst!$R$4:$W$4,0))))</f>
        <v>0</v>
      </c>
      <c r="J18">
        <f ca="1">IF($C18-J$1&lt;År1,0,I17*(1-VLOOKUP($A18,[1]Hugst!$R$5:$W$9,MATCH(ROUNDUP((J$1)/10,0)*10,[1]Hugst!$R$4:$W$4,0))))</f>
        <v>0</v>
      </c>
      <c r="K18">
        <f ca="1">IF($C18-K$1&lt;År1,0,J17*(1-VLOOKUP($A18,[1]Hugst!$R$5:$W$9,MATCH(ROUNDUP((K$1)/10,0)*10,[1]Hugst!$R$4:$W$4,0))))</f>
        <v>0</v>
      </c>
      <c r="L18">
        <f ca="1">IF($C18-L$1&lt;År1,0,K17*(1-VLOOKUP($A18,[1]Hugst!$R$5:$W$9,MATCH(ROUNDUP((L$1)/10,0)*10,[1]Hugst!$R$4:$W$4,0))))</f>
        <v>0</v>
      </c>
      <c r="M18">
        <f ca="1">IF($C18-M$1&lt;År1,0,L17*(1-VLOOKUP($A18,[1]Hugst!$R$5:$W$9,MATCH(ROUNDUP((M$1)/10,0)*10,[1]Hugst!$R$4:$W$4,0))))</f>
        <v>0</v>
      </c>
      <c r="N18">
        <f ca="1">IF($C18-N$1&lt;År1,0,M17*(1-VLOOKUP($A18,[1]Hugst!$R$5:$W$9,MATCH(ROUNDUP((N$1)/10,0)*10,[1]Hugst!$R$4:$W$4,0))))</f>
        <v>0</v>
      </c>
      <c r="O18">
        <f ca="1">IF($C18-O$1&lt;År1,0,N17*(1-VLOOKUP($A18,[1]Hugst!$R$5:$W$9,MATCH(ROUNDUP((O$1)/10,0)*10,[1]Hugst!$R$4:$W$4,0))))</f>
        <v>0</v>
      </c>
      <c r="P18">
        <f ca="1">IF($C18-P$1&lt;År1,0,O17*(1-VLOOKUP($A18,[1]Hugst!$R$5:$W$9,MATCH(ROUNDUP((P$1)/10,0)*10,[1]Hugst!$R$4:$W$4,0))))</f>
        <v>0</v>
      </c>
      <c r="Q18">
        <f ca="1">IF($C18-Q$1&lt;År1,0,P17*(1-VLOOKUP($A18,[1]Hugst!$R$5:$W$9,MATCH(ROUNDUP((Q$1)/10,0)*10,[1]Hugst!$R$4:$W$4,0))))</f>
        <v>0</v>
      </c>
      <c r="R18">
        <f ca="1">IF($C18-R$1&lt;År1,0,Q17*(1-VLOOKUP($A18,[1]Hugst!$R$5:$W$9,MATCH(ROUNDUP((R$1)/10,0)*10,[1]Hugst!$R$4:$W$4,0))))</f>
        <v>0</v>
      </c>
      <c r="S18">
        <f ca="1">IF($C18-S$1&lt;År1,0,R17*(1-VLOOKUP($A18,[1]Hugst!$R$5:$W$9,MATCH(ROUNDUP((S$1)/10,0)*10,[1]Hugst!$R$4:$W$4,0))))</f>
        <v>0</v>
      </c>
      <c r="T18">
        <f ca="1">IF($C18-T$1&lt;År1,0,S17*(1-VLOOKUP($A18,[1]Hugst!$R$5:$W$9,MATCH(ROUNDUP((T$1)/10,0)*10,[1]Hugst!$R$4:$W$4,0))))</f>
        <v>0</v>
      </c>
      <c r="U18">
        <f ca="1">IF($C18-U$1&lt;År1,0,T17*(1-VLOOKUP($A18,[1]Hugst!$R$5:$W$9,MATCH(ROUNDUP((U$1)/10,0)*10,[1]Hugst!$R$4:$W$4,0))))</f>
        <v>0</v>
      </c>
      <c r="V18">
        <f ca="1">IF($C18-V$1&lt;År1,0,U17*(1-VLOOKUP($A18,[1]Hugst!$R$5:$W$9,MATCH(ROUNDUP((V$1)/10,0)*10,[1]Hugst!$R$4:$W$4,0))))</f>
        <v>0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0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>
        <f ca="1">IF($C19-G$1&lt;År1,0,F18*(1-VLOOKUP($A19,[1]Hugst!$R$5:$W$9,MATCH(ROUNDUP((G$1)/10,0)*10,[1]Hugst!$R$4:$W$4,0))))</f>
        <v>0</v>
      </c>
      <c r="H19">
        <f ca="1">IF($C19-H$1&lt;År1,0,G18*(1-VLOOKUP($A19,[1]Hugst!$R$5:$W$9,MATCH(ROUNDUP((H$1)/10,0)*10,[1]Hugst!$R$4:$W$4,0))))</f>
        <v>0</v>
      </c>
      <c r="I19">
        <f ca="1">IF($C19-I$1&lt;År1,0,H18*(1-VLOOKUP($A19,[1]Hugst!$R$5:$W$9,MATCH(ROUNDUP((I$1)/10,0)*10,[1]Hugst!$R$4:$W$4,0))))</f>
        <v>0</v>
      </c>
      <c r="J19">
        <f ca="1">IF($C19-J$1&lt;År1,0,I18*(1-VLOOKUP($A19,[1]Hugst!$R$5:$W$9,MATCH(ROUNDUP((J$1)/10,0)*10,[1]Hugst!$R$4:$W$4,0))))</f>
        <v>0</v>
      </c>
      <c r="K19">
        <f ca="1">IF($C19-K$1&lt;År1,0,J18*(1-VLOOKUP($A19,[1]Hugst!$R$5:$W$9,MATCH(ROUNDUP((K$1)/10,0)*10,[1]Hugst!$R$4:$W$4,0))))</f>
        <v>0</v>
      </c>
      <c r="L19">
        <f ca="1">IF($C19-L$1&lt;År1,0,K18*(1-VLOOKUP($A19,[1]Hugst!$R$5:$W$9,MATCH(ROUNDUP((L$1)/10,0)*10,[1]Hugst!$R$4:$W$4,0))))</f>
        <v>0</v>
      </c>
      <c r="M19">
        <f ca="1">IF($C19-M$1&lt;År1,0,L18*(1-VLOOKUP($A19,[1]Hugst!$R$5:$W$9,MATCH(ROUNDUP((M$1)/10,0)*10,[1]Hugst!$R$4:$W$4,0))))</f>
        <v>0</v>
      </c>
      <c r="N19">
        <f ca="1">IF($C19-N$1&lt;År1,0,M18*(1-VLOOKUP($A19,[1]Hugst!$R$5:$W$9,MATCH(ROUNDUP((N$1)/10,0)*10,[1]Hugst!$R$4:$W$4,0))))</f>
        <v>0</v>
      </c>
      <c r="O19">
        <f ca="1">IF($C19-O$1&lt;År1,0,N18*(1-VLOOKUP($A19,[1]Hugst!$R$5:$W$9,MATCH(ROUNDUP((O$1)/10,0)*10,[1]Hugst!$R$4:$W$4,0))))</f>
        <v>0</v>
      </c>
      <c r="P19">
        <f ca="1">IF($C19-P$1&lt;År1,0,O18*(1-VLOOKUP($A19,[1]Hugst!$R$5:$W$9,MATCH(ROUNDUP((P$1)/10,0)*10,[1]Hugst!$R$4:$W$4,0))))</f>
        <v>0</v>
      </c>
      <c r="Q19">
        <f ca="1">IF($C19-Q$1&lt;År1,0,P18*(1-VLOOKUP($A19,[1]Hugst!$R$5:$W$9,MATCH(ROUNDUP((Q$1)/10,0)*10,[1]Hugst!$R$4:$W$4,0))))</f>
        <v>0</v>
      </c>
      <c r="R19">
        <f ca="1">IF($C19-R$1&lt;År1,0,Q18*(1-VLOOKUP($A19,[1]Hugst!$R$5:$W$9,MATCH(ROUNDUP((R$1)/10,0)*10,[1]Hugst!$R$4:$W$4,0))))</f>
        <v>0</v>
      </c>
      <c r="S19">
        <f ca="1">IF($C19-S$1&lt;År1,0,R18*(1-VLOOKUP($A19,[1]Hugst!$R$5:$W$9,MATCH(ROUNDUP((S$1)/10,0)*10,[1]Hugst!$R$4:$W$4,0))))</f>
        <v>0</v>
      </c>
      <c r="T19">
        <f ca="1">IF($C19-T$1&lt;År1,0,S18*(1-VLOOKUP($A19,[1]Hugst!$R$5:$W$9,MATCH(ROUNDUP((T$1)/10,0)*10,[1]Hugst!$R$4:$W$4,0))))</f>
        <v>0</v>
      </c>
      <c r="U19">
        <f ca="1">IF($C19-U$1&lt;År1,0,T18*(1-VLOOKUP($A19,[1]Hugst!$R$5:$W$9,MATCH(ROUNDUP((U$1)/10,0)*10,[1]Hugst!$R$4:$W$4,0))))</f>
        <v>0</v>
      </c>
      <c r="V19">
        <f ca="1">IF($C19-V$1&lt;År1,0,U18*(1-VLOOKUP($A19,[1]Hugst!$R$5:$W$9,MATCH(ROUNDUP((V$1)/10,0)*10,[1]Hugst!$R$4:$W$4,0))))</f>
        <v>0</v>
      </c>
      <c r="W19">
        <f ca="1">IF($C19-W$1&lt;År1,0,V18*(1-VLOOKUP($A19,[1]Hugst!$R$5:$W$9,MATCH(ROUNDUP((W$1)/10,0)*10,[1]Hugst!$R$4:$W$4,0))))</f>
        <v>0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0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>
        <f ca="1">IF($C20-G$1&lt;År1,0,F19*(1-VLOOKUP($A20,[1]Hugst!$R$5:$W$9,MATCH(ROUNDUP((G$1)/10,0)*10,[1]Hugst!$R$4:$W$4,0))))</f>
        <v>0</v>
      </c>
      <c r="H20">
        <f ca="1">IF($C20-H$1&lt;År1,0,G19*(1-VLOOKUP($A20,[1]Hugst!$R$5:$W$9,MATCH(ROUNDUP((H$1)/10,0)*10,[1]Hugst!$R$4:$W$4,0))))</f>
        <v>0</v>
      </c>
      <c r="I20">
        <f ca="1">IF($C20-I$1&lt;År1,0,H19*(1-VLOOKUP($A20,[1]Hugst!$R$5:$W$9,MATCH(ROUNDUP((I$1)/10,0)*10,[1]Hugst!$R$4:$W$4,0))))</f>
        <v>0</v>
      </c>
      <c r="J20">
        <f ca="1">IF($C20-J$1&lt;År1,0,I19*(1-VLOOKUP($A20,[1]Hugst!$R$5:$W$9,MATCH(ROUNDUP((J$1)/10,0)*10,[1]Hugst!$R$4:$W$4,0))))</f>
        <v>0</v>
      </c>
      <c r="K20">
        <f ca="1">IF($C20-K$1&lt;År1,0,J19*(1-VLOOKUP($A20,[1]Hugst!$R$5:$W$9,MATCH(ROUNDUP((K$1)/10,0)*10,[1]Hugst!$R$4:$W$4,0))))</f>
        <v>0</v>
      </c>
      <c r="L20">
        <f ca="1">IF($C20-L$1&lt;År1,0,K19*(1-VLOOKUP($A20,[1]Hugst!$R$5:$W$9,MATCH(ROUNDUP((L$1)/10,0)*10,[1]Hugst!$R$4:$W$4,0))))</f>
        <v>0</v>
      </c>
      <c r="M20">
        <f ca="1">IF($C20-M$1&lt;År1,0,L19*(1-VLOOKUP($A20,[1]Hugst!$R$5:$W$9,MATCH(ROUNDUP((M$1)/10,0)*10,[1]Hugst!$R$4:$W$4,0))))</f>
        <v>0</v>
      </c>
      <c r="N20">
        <f ca="1">IF($C20-N$1&lt;År1,0,M19*(1-VLOOKUP($A20,[1]Hugst!$R$5:$W$9,MATCH(ROUNDUP((N$1)/10,0)*10,[1]Hugst!$R$4:$W$4,0))))</f>
        <v>0</v>
      </c>
      <c r="O20">
        <f ca="1">IF($C20-O$1&lt;År1,0,N19*(1-VLOOKUP($A20,[1]Hugst!$R$5:$W$9,MATCH(ROUNDUP((O$1)/10,0)*10,[1]Hugst!$R$4:$W$4,0))))</f>
        <v>0</v>
      </c>
      <c r="P20">
        <f ca="1">IF($C20-P$1&lt;År1,0,O19*(1-VLOOKUP($A20,[1]Hugst!$R$5:$W$9,MATCH(ROUNDUP((P$1)/10,0)*10,[1]Hugst!$R$4:$W$4,0))))</f>
        <v>0</v>
      </c>
      <c r="Q20">
        <f ca="1">IF($C20-Q$1&lt;År1,0,P19*(1-VLOOKUP($A20,[1]Hugst!$R$5:$W$9,MATCH(ROUNDUP((Q$1)/10,0)*10,[1]Hugst!$R$4:$W$4,0))))</f>
        <v>0</v>
      </c>
      <c r="R20">
        <f ca="1">IF($C20-R$1&lt;År1,0,Q19*(1-VLOOKUP($A20,[1]Hugst!$R$5:$W$9,MATCH(ROUNDUP((R$1)/10,0)*10,[1]Hugst!$R$4:$W$4,0))))</f>
        <v>0</v>
      </c>
      <c r="S20">
        <f ca="1">IF($C20-S$1&lt;År1,0,R19*(1-VLOOKUP($A20,[1]Hugst!$R$5:$W$9,MATCH(ROUNDUP((S$1)/10,0)*10,[1]Hugst!$R$4:$W$4,0))))</f>
        <v>0</v>
      </c>
      <c r="T20">
        <f ca="1">IF($C20-T$1&lt;År1,0,S19*(1-VLOOKUP($A20,[1]Hugst!$R$5:$W$9,MATCH(ROUNDUP((T$1)/10,0)*10,[1]Hugst!$R$4:$W$4,0))))</f>
        <v>0</v>
      </c>
      <c r="U20">
        <f ca="1">IF($C20-U$1&lt;År1,0,T19*(1-VLOOKUP($A20,[1]Hugst!$R$5:$W$9,MATCH(ROUNDUP((U$1)/10,0)*10,[1]Hugst!$R$4:$W$4,0))))</f>
        <v>0</v>
      </c>
      <c r="V20">
        <f ca="1">IF($C20-V$1&lt;År1,0,U19*(1-VLOOKUP($A20,[1]Hugst!$R$5:$W$9,MATCH(ROUNDUP((V$1)/10,0)*10,[1]Hugst!$R$4:$W$4,0))))</f>
        <v>0</v>
      </c>
      <c r="W20">
        <f ca="1">IF($C20-W$1&lt;År1,0,V19*(1-VLOOKUP($A20,[1]Hugst!$R$5:$W$9,MATCH(ROUNDUP((W$1)/10,0)*10,[1]Hugst!$R$4:$W$4,0))))</f>
        <v>0</v>
      </c>
      <c r="X20">
        <f ca="1">IF($C20-X$1&lt;År1,0,W19*(1-VLOOKUP($A20,[1]Hugst!$R$5:$W$9,MATCH(ROUNDUP((X$1)/10,0)*10,[1]Hugst!$R$4:$W$4,0))))</f>
        <v>0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0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>
        <f ca="1">IF($C21-G$1&lt;År1,0,F20*(1-VLOOKUP($A21,[1]Hugst!$R$5:$W$9,MATCH(ROUNDUP((G$1)/10,0)*10,[1]Hugst!$R$4:$W$4,0))))</f>
        <v>0</v>
      </c>
      <c r="H21">
        <f ca="1">IF($C21-H$1&lt;År1,0,G20*(1-VLOOKUP($A21,[1]Hugst!$R$5:$W$9,MATCH(ROUNDUP((H$1)/10,0)*10,[1]Hugst!$R$4:$W$4,0))))</f>
        <v>0</v>
      </c>
      <c r="I21">
        <f ca="1">IF($C21-I$1&lt;År1,0,H20*(1-VLOOKUP($A21,[1]Hugst!$R$5:$W$9,MATCH(ROUNDUP((I$1)/10,0)*10,[1]Hugst!$R$4:$W$4,0))))</f>
        <v>0</v>
      </c>
      <c r="J21">
        <f ca="1">IF($C21-J$1&lt;År1,0,I20*(1-VLOOKUP($A21,[1]Hugst!$R$5:$W$9,MATCH(ROUNDUP((J$1)/10,0)*10,[1]Hugst!$R$4:$W$4,0))))</f>
        <v>0</v>
      </c>
      <c r="K21">
        <f ca="1">IF($C21-K$1&lt;År1,0,J20*(1-VLOOKUP($A21,[1]Hugst!$R$5:$W$9,MATCH(ROUNDUP((K$1)/10,0)*10,[1]Hugst!$R$4:$W$4,0))))</f>
        <v>0</v>
      </c>
      <c r="L21">
        <f ca="1">IF($C21-L$1&lt;År1,0,K20*(1-VLOOKUP($A21,[1]Hugst!$R$5:$W$9,MATCH(ROUNDUP((L$1)/10,0)*10,[1]Hugst!$R$4:$W$4,0))))</f>
        <v>0</v>
      </c>
      <c r="M21">
        <f ca="1">IF($C21-M$1&lt;År1,0,L20*(1-VLOOKUP($A21,[1]Hugst!$R$5:$W$9,MATCH(ROUNDUP((M$1)/10,0)*10,[1]Hugst!$R$4:$W$4,0))))</f>
        <v>0</v>
      </c>
      <c r="N21">
        <f ca="1">IF($C21-N$1&lt;År1,0,M20*(1-VLOOKUP($A21,[1]Hugst!$R$5:$W$9,MATCH(ROUNDUP((N$1)/10,0)*10,[1]Hugst!$R$4:$W$4,0))))</f>
        <v>0</v>
      </c>
      <c r="O21">
        <f ca="1">IF($C21-O$1&lt;År1,0,N20*(1-VLOOKUP($A21,[1]Hugst!$R$5:$W$9,MATCH(ROUNDUP((O$1)/10,0)*10,[1]Hugst!$R$4:$W$4,0))))</f>
        <v>0</v>
      </c>
      <c r="P21">
        <f ca="1">IF($C21-P$1&lt;År1,0,O20*(1-VLOOKUP($A21,[1]Hugst!$R$5:$W$9,MATCH(ROUNDUP((P$1)/10,0)*10,[1]Hugst!$R$4:$W$4,0))))</f>
        <v>0</v>
      </c>
      <c r="Q21">
        <f ca="1">IF($C21-Q$1&lt;År1,0,P20*(1-VLOOKUP($A21,[1]Hugst!$R$5:$W$9,MATCH(ROUNDUP((Q$1)/10,0)*10,[1]Hugst!$R$4:$W$4,0))))</f>
        <v>0</v>
      </c>
      <c r="R21">
        <f ca="1">IF($C21-R$1&lt;År1,0,Q20*(1-VLOOKUP($A21,[1]Hugst!$R$5:$W$9,MATCH(ROUNDUP((R$1)/10,0)*10,[1]Hugst!$R$4:$W$4,0))))</f>
        <v>0</v>
      </c>
      <c r="S21">
        <f ca="1">IF($C21-S$1&lt;År1,0,R20*(1-VLOOKUP($A21,[1]Hugst!$R$5:$W$9,MATCH(ROUNDUP((S$1)/10,0)*10,[1]Hugst!$R$4:$W$4,0))))</f>
        <v>0</v>
      </c>
      <c r="T21">
        <f ca="1">IF($C21-T$1&lt;År1,0,S20*(1-VLOOKUP($A21,[1]Hugst!$R$5:$W$9,MATCH(ROUNDUP((T$1)/10,0)*10,[1]Hugst!$R$4:$W$4,0))))</f>
        <v>0</v>
      </c>
      <c r="U21">
        <f ca="1">IF($C21-U$1&lt;År1,0,T20*(1-VLOOKUP($A21,[1]Hugst!$R$5:$W$9,MATCH(ROUNDUP((U$1)/10,0)*10,[1]Hugst!$R$4:$W$4,0))))</f>
        <v>0</v>
      </c>
      <c r="V21">
        <f ca="1">IF($C21-V$1&lt;År1,0,U20*(1-VLOOKUP($A21,[1]Hugst!$R$5:$W$9,MATCH(ROUNDUP((V$1)/10,0)*10,[1]Hugst!$R$4:$W$4,0))))</f>
        <v>0</v>
      </c>
      <c r="W21">
        <f ca="1">IF($C21-W$1&lt;År1,0,V20*(1-VLOOKUP($A21,[1]Hugst!$R$5:$W$9,MATCH(ROUNDUP((W$1)/10,0)*10,[1]Hugst!$R$4:$W$4,0))))</f>
        <v>0</v>
      </c>
      <c r="X21">
        <f ca="1">IF($C21-X$1&lt;År1,0,W20*(1-VLOOKUP($A21,[1]Hugst!$R$5:$W$9,MATCH(ROUNDUP((X$1)/10,0)*10,[1]Hugst!$R$4:$W$4,0))))</f>
        <v>0</v>
      </c>
      <c r="Y21">
        <f ca="1">IF($C21-Y$1&lt;År1,0,X20*(1-VLOOKUP($A21,[1]Hugst!$R$5:$W$9,MATCH(ROUNDUP((Y$1)/10,0)*10,[1]Hugst!$R$4:$W$4,0))))</f>
        <v>0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0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>
        <f ca="1">IF($C22-G$1&lt;År1,0,F21*(1-VLOOKUP($A22,[1]Hugst!$R$5:$W$9,MATCH(ROUNDUP((G$1)/10,0)*10,[1]Hugst!$R$4:$W$4,0))))</f>
        <v>0</v>
      </c>
      <c r="H22">
        <f ca="1">IF($C22-H$1&lt;År1,0,G21*(1-VLOOKUP($A22,[1]Hugst!$R$5:$W$9,MATCH(ROUNDUP((H$1)/10,0)*10,[1]Hugst!$R$4:$W$4,0))))</f>
        <v>0</v>
      </c>
      <c r="I22">
        <f ca="1">IF($C22-I$1&lt;År1,0,H21*(1-VLOOKUP($A22,[1]Hugst!$R$5:$W$9,MATCH(ROUNDUP((I$1)/10,0)*10,[1]Hugst!$R$4:$W$4,0))))</f>
        <v>0</v>
      </c>
      <c r="J22">
        <f ca="1">IF($C22-J$1&lt;År1,0,I21*(1-VLOOKUP($A22,[1]Hugst!$R$5:$W$9,MATCH(ROUNDUP((J$1)/10,0)*10,[1]Hugst!$R$4:$W$4,0))))</f>
        <v>0</v>
      </c>
      <c r="K22">
        <f ca="1">IF($C22-K$1&lt;År1,0,J21*(1-VLOOKUP($A22,[1]Hugst!$R$5:$W$9,MATCH(ROUNDUP((K$1)/10,0)*10,[1]Hugst!$R$4:$W$4,0))))</f>
        <v>0</v>
      </c>
      <c r="L22">
        <f ca="1">IF($C22-L$1&lt;År1,0,K21*(1-VLOOKUP($A22,[1]Hugst!$R$5:$W$9,MATCH(ROUNDUP((L$1)/10,0)*10,[1]Hugst!$R$4:$W$4,0))))</f>
        <v>0</v>
      </c>
      <c r="M22">
        <f ca="1">IF($C22-M$1&lt;År1,0,L21*(1-VLOOKUP($A22,[1]Hugst!$R$5:$W$9,MATCH(ROUNDUP((M$1)/10,0)*10,[1]Hugst!$R$4:$W$4,0))))</f>
        <v>0</v>
      </c>
      <c r="N22">
        <f ca="1">IF($C22-N$1&lt;År1,0,M21*(1-VLOOKUP($A22,[1]Hugst!$R$5:$W$9,MATCH(ROUNDUP((N$1)/10,0)*10,[1]Hugst!$R$4:$W$4,0))))</f>
        <v>0</v>
      </c>
      <c r="O22">
        <f ca="1">IF($C22-O$1&lt;År1,0,N21*(1-VLOOKUP($A22,[1]Hugst!$R$5:$W$9,MATCH(ROUNDUP((O$1)/10,0)*10,[1]Hugst!$R$4:$W$4,0))))</f>
        <v>0</v>
      </c>
      <c r="P22">
        <f ca="1">IF($C22-P$1&lt;År1,0,O21*(1-VLOOKUP($A22,[1]Hugst!$R$5:$W$9,MATCH(ROUNDUP((P$1)/10,0)*10,[1]Hugst!$R$4:$W$4,0))))</f>
        <v>0</v>
      </c>
      <c r="Q22">
        <f ca="1">IF($C22-Q$1&lt;År1,0,P21*(1-VLOOKUP($A22,[1]Hugst!$R$5:$W$9,MATCH(ROUNDUP((Q$1)/10,0)*10,[1]Hugst!$R$4:$W$4,0))))</f>
        <v>0</v>
      </c>
      <c r="R22">
        <f ca="1">IF($C22-R$1&lt;År1,0,Q21*(1-VLOOKUP($A22,[1]Hugst!$R$5:$W$9,MATCH(ROUNDUP((R$1)/10,0)*10,[1]Hugst!$R$4:$W$4,0))))</f>
        <v>0</v>
      </c>
      <c r="S22">
        <f ca="1">IF($C22-S$1&lt;År1,0,R21*(1-VLOOKUP($A22,[1]Hugst!$R$5:$W$9,MATCH(ROUNDUP((S$1)/10,0)*10,[1]Hugst!$R$4:$W$4,0))))</f>
        <v>0</v>
      </c>
      <c r="T22">
        <f ca="1">IF($C22-T$1&lt;År1,0,S21*(1-VLOOKUP($A22,[1]Hugst!$R$5:$W$9,MATCH(ROUNDUP((T$1)/10,0)*10,[1]Hugst!$R$4:$W$4,0))))</f>
        <v>0</v>
      </c>
      <c r="U22">
        <f ca="1">IF($C22-U$1&lt;År1,0,T21*(1-VLOOKUP($A22,[1]Hugst!$R$5:$W$9,MATCH(ROUNDUP((U$1)/10,0)*10,[1]Hugst!$R$4:$W$4,0))))</f>
        <v>0</v>
      </c>
      <c r="V22">
        <f ca="1">IF($C22-V$1&lt;År1,0,U21*(1-VLOOKUP($A22,[1]Hugst!$R$5:$W$9,MATCH(ROUNDUP((V$1)/10,0)*10,[1]Hugst!$R$4:$W$4,0))))</f>
        <v>0</v>
      </c>
      <c r="W22">
        <f ca="1">IF($C22-W$1&lt;År1,0,V21*(1-VLOOKUP($A22,[1]Hugst!$R$5:$W$9,MATCH(ROUNDUP((W$1)/10,0)*10,[1]Hugst!$R$4:$W$4,0))))</f>
        <v>0</v>
      </c>
      <c r="X22">
        <f ca="1">IF($C22-X$1&lt;År1,0,W21*(1-VLOOKUP($A22,[1]Hugst!$R$5:$W$9,MATCH(ROUNDUP((X$1)/10,0)*10,[1]Hugst!$R$4:$W$4,0))))</f>
        <v>0</v>
      </c>
      <c r="Y22">
        <f ca="1">IF($C22-Y$1&lt;År1,0,X21*(1-VLOOKUP($A22,[1]Hugst!$R$5:$W$9,MATCH(ROUNDUP((Y$1)/10,0)*10,[1]Hugst!$R$4:$W$4,0))))</f>
        <v>0</v>
      </c>
      <c r="Z22">
        <f ca="1">IF($C22-Z$1&lt;År1,0,Y21*(1-VLOOKUP($A22,[1]Hugst!$R$5:$W$9,MATCH(ROUNDUP((Z$1)/10,0)*10,[1]Hugst!$R$4:$W$4,0))))</f>
        <v>0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0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>
        <f ca="1">IF($C23-G$1&lt;År1,0,F22*(1-VLOOKUP($A23,[1]Hugst!$R$5:$W$9,MATCH(ROUNDUP((G$1)/10,0)*10,[1]Hugst!$R$4:$W$4,0))))</f>
        <v>0</v>
      </c>
      <c r="H23">
        <f ca="1">IF($C23-H$1&lt;År1,0,G22*(1-VLOOKUP($A23,[1]Hugst!$R$5:$W$9,MATCH(ROUNDUP((H$1)/10,0)*10,[1]Hugst!$R$4:$W$4,0))))</f>
        <v>0</v>
      </c>
      <c r="I23">
        <f ca="1">IF($C23-I$1&lt;År1,0,H22*(1-VLOOKUP($A23,[1]Hugst!$R$5:$W$9,MATCH(ROUNDUP((I$1)/10,0)*10,[1]Hugst!$R$4:$W$4,0))))</f>
        <v>0</v>
      </c>
      <c r="J23">
        <f ca="1">IF($C23-J$1&lt;År1,0,I22*(1-VLOOKUP($A23,[1]Hugst!$R$5:$W$9,MATCH(ROUNDUP((J$1)/10,0)*10,[1]Hugst!$R$4:$W$4,0))))</f>
        <v>0</v>
      </c>
      <c r="K23">
        <f ca="1">IF($C23-K$1&lt;År1,0,J22*(1-VLOOKUP($A23,[1]Hugst!$R$5:$W$9,MATCH(ROUNDUP((K$1)/10,0)*10,[1]Hugst!$R$4:$W$4,0))))</f>
        <v>0</v>
      </c>
      <c r="L23">
        <f ca="1">IF($C23-L$1&lt;År1,0,K22*(1-VLOOKUP($A23,[1]Hugst!$R$5:$W$9,MATCH(ROUNDUP((L$1)/10,0)*10,[1]Hugst!$R$4:$W$4,0))))</f>
        <v>0</v>
      </c>
      <c r="M23">
        <f ca="1">IF($C23-M$1&lt;År1,0,L22*(1-VLOOKUP($A23,[1]Hugst!$R$5:$W$9,MATCH(ROUNDUP((M$1)/10,0)*10,[1]Hugst!$R$4:$W$4,0))))</f>
        <v>0</v>
      </c>
      <c r="N23">
        <f ca="1">IF($C23-N$1&lt;År1,0,M22*(1-VLOOKUP($A23,[1]Hugst!$R$5:$W$9,MATCH(ROUNDUP((N$1)/10,0)*10,[1]Hugst!$R$4:$W$4,0))))</f>
        <v>0</v>
      </c>
      <c r="O23">
        <f ca="1">IF($C23-O$1&lt;År1,0,N22*(1-VLOOKUP($A23,[1]Hugst!$R$5:$W$9,MATCH(ROUNDUP((O$1)/10,0)*10,[1]Hugst!$R$4:$W$4,0))))</f>
        <v>0</v>
      </c>
      <c r="P23">
        <f ca="1">IF($C23-P$1&lt;År1,0,O22*(1-VLOOKUP($A23,[1]Hugst!$R$5:$W$9,MATCH(ROUNDUP((P$1)/10,0)*10,[1]Hugst!$R$4:$W$4,0))))</f>
        <v>0</v>
      </c>
      <c r="Q23">
        <f ca="1">IF($C23-Q$1&lt;År1,0,P22*(1-VLOOKUP($A23,[1]Hugst!$R$5:$W$9,MATCH(ROUNDUP((Q$1)/10,0)*10,[1]Hugst!$R$4:$W$4,0))))</f>
        <v>0</v>
      </c>
      <c r="R23">
        <f ca="1">IF($C23-R$1&lt;År1,0,Q22*(1-VLOOKUP($A23,[1]Hugst!$R$5:$W$9,MATCH(ROUNDUP((R$1)/10,0)*10,[1]Hugst!$R$4:$W$4,0))))</f>
        <v>0</v>
      </c>
      <c r="S23">
        <f ca="1">IF($C23-S$1&lt;År1,0,R22*(1-VLOOKUP($A23,[1]Hugst!$R$5:$W$9,MATCH(ROUNDUP((S$1)/10,0)*10,[1]Hugst!$R$4:$W$4,0))))</f>
        <v>0</v>
      </c>
      <c r="T23">
        <f ca="1">IF($C23-T$1&lt;År1,0,S22*(1-VLOOKUP($A23,[1]Hugst!$R$5:$W$9,MATCH(ROUNDUP((T$1)/10,0)*10,[1]Hugst!$R$4:$W$4,0))))</f>
        <v>0</v>
      </c>
      <c r="U23">
        <f ca="1">IF($C23-U$1&lt;År1,0,T22*(1-VLOOKUP($A23,[1]Hugst!$R$5:$W$9,MATCH(ROUNDUP((U$1)/10,0)*10,[1]Hugst!$R$4:$W$4,0))))</f>
        <v>0</v>
      </c>
      <c r="V23">
        <f ca="1">IF($C23-V$1&lt;År1,0,U22*(1-VLOOKUP($A23,[1]Hugst!$R$5:$W$9,MATCH(ROUNDUP((V$1)/10,0)*10,[1]Hugst!$R$4:$W$4,0))))</f>
        <v>0</v>
      </c>
      <c r="W23">
        <f ca="1">IF($C23-W$1&lt;År1,0,V22*(1-VLOOKUP($A23,[1]Hugst!$R$5:$W$9,MATCH(ROUNDUP((W$1)/10,0)*10,[1]Hugst!$R$4:$W$4,0))))</f>
        <v>0</v>
      </c>
      <c r="X23">
        <f ca="1">IF($C23-X$1&lt;År1,0,W22*(1-VLOOKUP($A23,[1]Hugst!$R$5:$W$9,MATCH(ROUNDUP((X$1)/10,0)*10,[1]Hugst!$R$4:$W$4,0))))</f>
        <v>0</v>
      </c>
      <c r="Y23">
        <f ca="1">IF($C23-Y$1&lt;År1,0,X22*(1-VLOOKUP($A23,[1]Hugst!$R$5:$W$9,MATCH(ROUNDUP((Y$1)/10,0)*10,[1]Hugst!$R$4:$W$4,0))))</f>
        <v>0</v>
      </c>
      <c r="Z23">
        <f ca="1">IF($C23-Z$1&lt;År1,0,Y22*(1-VLOOKUP($A23,[1]Hugst!$R$5:$W$9,MATCH(ROUNDUP((Z$1)/10,0)*10,[1]Hugst!$R$4:$W$4,0))))</f>
        <v>0</v>
      </c>
      <c r="AA23">
        <f ca="1">IF($C23-AA$1&lt;År1,0,Z22*(1-VLOOKUP($A23,[1]Hugst!$R$5:$W$9,MATCH(ROUNDUP((AA$1)/10,0)*10,[1]Hugst!$R$4:$W$4,0))))</f>
        <v>0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0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>
        <f ca="1">IF($C24-G$1&lt;År1,0,F23*(1-VLOOKUP($A24,[1]Hugst!$R$5:$W$9,MATCH(ROUNDUP((G$1)/10,0)*10,[1]Hugst!$R$4:$W$4,0))))</f>
        <v>0</v>
      </c>
      <c r="H24">
        <f ca="1">IF($C24-H$1&lt;År1,0,G23*(1-VLOOKUP($A24,[1]Hugst!$R$5:$W$9,MATCH(ROUNDUP((H$1)/10,0)*10,[1]Hugst!$R$4:$W$4,0))))</f>
        <v>0</v>
      </c>
      <c r="I24">
        <f ca="1">IF($C24-I$1&lt;År1,0,H23*(1-VLOOKUP($A24,[1]Hugst!$R$5:$W$9,MATCH(ROUNDUP((I$1)/10,0)*10,[1]Hugst!$R$4:$W$4,0))))</f>
        <v>0</v>
      </c>
      <c r="J24">
        <f ca="1">IF($C24-J$1&lt;År1,0,I23*(1-VLOOKUP($A24,[1]Hugst!$R$5:$W$9,MATCH(ROUNDUP((J$1)/10,0)*10,[1]Hugst!$R$4:$W$4,0))))</f>
        <v>0</v>
      </c>
      <c r="K24">
        <f ca="1">IF($C24-K$1&lt;År1,0,J23*(1-VLOOKUP($A24,[1]Hugst!$R$5:$W$9,MATCH(ROUNDUP((K$1)/10,0)*10,[1]Hugst!$R$4:$W$4,0))))</f>
        <v>0</v>
      </c>
      <c r="L24">
        <f ca="1">IF($C24-L$1&lt;År1,0,K23*(1-VLOOKUP($A24,[1]Hugst!$R$5:$W$9,MATCH(ROUNDUP((L$1)/10,0)*10,[1]Hugst!$R$4:$W$4,0))))</f>
        <v>0</v>
      </c>
      <c r="M24">
        <f ca="1">IF($C24-M$1&lt;År1,0,L23*(1-VLOOKUP($A24,[1]Hugst!$R$5:$W$9,MATCH(ROUNDUP((M$1)/10,0)*10,[1]Hugst!$R$4:$W$4,0))))</f>
        <v>0</v>
      </c>
      <c r="N24">
        <f ca="1">IF($C24-N$1&lt;År1,0,M23*(1-VLOOKUP($A24,[1]Hugst!$R$5:$W$9,MATCH(ROUNDUP((N$1)/10,0)*10,[1]Hugst!$R$4:$W$4,0))))</f>
        <v>0</v>
      </c>
      <c r="O24">
        <f ca="1">IF($C24-O$1&lt;År1,0,N23*(1-VLOOKUP($A24,[1]Hugst!$R$5:$W$9,MATCH(ROUNDUP((O$1)/10,0)*10,[1]Hugst!$R$4:$W$4,0))))</f>
        <v>0</v>
      </c>
      <c r="P24">
        <f ca="1">IF($C24-P$1&lt;År1,0,O23*(1-VLOOKUP($A24,[1]Hugst!$R$5:$W$9,MATCH(ROUNDUP((P$1)/10,0)*10,[1]Hugst!$R$4:$W$4,0))))</f>
        <v>0</v>
      </c>
      <c r="Q24">
        <f ca="1">IF($C24-Q$1&lt;År1,0,P23*(1-VLOOKUP($A24,[1]Hugst!$R$5:$W$9,MATCH(ROUNDUP((Q$1)/10,0)*10,[1]Hugst!$R$4:$W$4,0))))</f>
        <v>0</v>
      </c>
      <c r="R24">
        <f ca="1">IF($C24-R$1&lt;År1,0,Q23*(1-VLOOKUP($A24,[1]Hugst!$R$5:$W$9,MATCH(ROUNDUP((R$1)/10,0)*10,[1]Hugst!$R$4:$W$4,0))))</f>
        <v>0</v>
      </c>
      <c r="S24">
        <f ca="1">IF($C24-S$1&lt;År1,0,R23*(1-VLOOKUP($A24,[1]Hugst!$R$5:$W$9,MATCH(ROUNDUP((S$1)/10,0)*10,[1]Hugst!$R$4:$W$4,0))))</f>
        <v>0</v>
      </c>
      <c r="T24">
        <f ca="1">IF($C24-T$1&lt;År1,0,S23*(1-VLOOKUP($A24,[1]Hugst!$R$5:$W$9,MATCH(ROUNDUP((T$1)/10,0)*10,[1]Hugst!$R$4:$W$4,0))))</f>
        <v>0</v>
      </c>
      <c r="U24">
        <f ca="1">IF($C24-U$1&lt;År1,0,T23*(1-VLOOKUP($A24,[1]Hugst!$R$5:$W$9,MATCH(ROUNDUP((U$1)/10,0)*10,[1]Hugst!$R$4:$W$4,0))))</f>
        <v>0</v>
      </c>
      <c r="V24">
        <f ca="1">IF($C24-V$1&lt;År1,0,U23*(1-VLOOKUP($A24,[1]Hugst!$R$5:$W$9,MATCH(ROUNDUP((V$1)/10,0)*10,[1]Hugst!$R$4:$W$4,0))))</f>
        <v>0</v>
      </c>
      <c r="W24">
        <f ca="1">IF($C24-W$1&lt;År1,0,V23*(1-VLOOKUP($A24,[1]Hugst!$R$5:$W$9,MATCH(ROUNDUP((W$1)/10,0)*10,[1]Hugst!$R$4:$W$4,0))))</f>
        <v>0</v>
      </c>
      <c r="X24">
        <f ca="1">IF($C24-X$1&lt;År1,0,W23*(1-VLOOKUP($A24,[1]Hugst!$R$5:$W$9,MATCH(ROUNDUP((X$1)/10,0)*10,[1]Hugst!$R$4:$W$4,0))))</f>
        <v>0</v>
      </c>
      <c r="Y24">
        <f ca="1">IF($C24-Y$1&lt;År1,0,X23*(1-VLOOKUP($A24,[1]Hugst!$R$5:$W$9,MATCH(ROUNDUP((Y$1)/10,0)*10,[1]Hugst!$R$4:$W$4,0))))</f>
        <v>0</v>
      </c>
      <c r="Z24">
        <f ca="1">IF($C24-Z$1&lt;År1,0,Y23*(1-VLOOKUP($A24,[1]Hugst!$R$5:$W$9,MATCH(ROUNDUP((Z$1)/10,0)*10,[1]Hugst!$R$4:$W$4,0))))</f>
        <v>0</v>
      </c>
      <c r="AA24">
        <f ca="1">IF($C24-AA$1&lt;År1,0,Z23*(1-VLOOKUP($A24,[1]Hugst!$R$5:$W$9,MATCH(ROUNDUP((AA$1)/10,0)*10,[1]Hugst!$R$4:$W$4,0))))</f>
        <v>0</v>
      </c>
      <c r="AB24">
        <f ca="1">IF($C24-AB$1&lt;År1,0,AA23*(1-VLOOKUP($A24,[1]Hugst!$R$5:$W$9,MATCH(ROUNDUP((AB$1)/10,0)*10,[1]Hugst!$R$4:$W$4,0))))</f>
        <v>0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0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>
        <f ca="1">IF($C25-G$1&lt;År1,0,F24*(1-VLOOKUP($A25,[1]Hugst!$R$5:$W$9,MATCH(ROUNDUP((G$1)/10,0)*10,[1]Hugst!$R$4:$W$4,0))))</f>
        <v>0</v>
      </c>
      <c r="H25">
        <f ca="1">IF($C25-H$1&lt;År1,0,G24*(1-VLOOKUP($A25,[1]Hugst!$R$5:$W$9,MATCH(ROUNDUP((H$1)/10,0)*10,[1]Hugst!$R$4:$W$4,0))))</f>
        <v>0</v>
      </c>
      <c r="I25">
        <f ca="1">IF($C25-I$1&lt;År1,0,H24*(1-VLOOKUP($A25,[1]Hugst!$R$5:$W$9,MATCH(ROUNDUP((I$1)/10,0)*10,[1]Hugst!$R$4:$W$4,0))))</f>
        <v>0</v>
      </c>
      <c r="J25">
        <f ca="1">IF($C25-J$1&lt;År1,0,I24*(1-VLOOKUP($A25,[1]Hugst!$R$5:$W$9,MATCH(ROUNDUP((J$1)/10,0)*10,[1]Hugst!$R$4:$W$4,0))))</f>
        <v>0</v>
      </c>
      <c r="K25">
        <f ca="1">IF($C25-K$1&lt;År1,0,J24*(1-VLOOKUP($A25,[1]Hugst!$R$5:$W$9,MATCH(ROUNDUP((K$1)/10,0)*10,[1]Hugst!$R$4:$W$4,0))))</f>
        <v>0</v>
      </c>
      <c r="L25">
        <f ca="1">IF($C25-L$1&lt;År1,0,K24*(1-VLOOKUP($A25,[1]Hugst!$R$5:$W$9,MATCH(ROUNDUP((L$1)/10,0)*10,[1]Hugst!$R$4:$W$4,0))))</f>
        <v>0</v>
      </c>
      <c r="M25">
        <f ca="1">IF($C25-M$1&lt;År1,0,L24*(1-VLOOKUP($A25,[1]Hugst!$R$5:$W$9,MATCH(ROUNDUP((M$1)/10,0)*10,[1]Hugst!$R$4:$W$4,0))))</f>
        <v>0</v>
      </c>
      <c r="N25">
        <f ca="1">IF($C25-N$1&lt;År1,0,M24*(1-VLOOKUP($A25,[1]Hugst!$R$5:$W$9,MATCH(ROUNDUP((N$1)/10,0)*10,[1]Hugst!$R$4:$W$4,0))))</f>
        <v>0</v>
      </c>
      <c r="O25">
        <f ca="1">IF($C25-O$1&lt;År1,0,N24*(1-VLOOKUP($A25,[1]Hugst!$R$5:$W$9,MATCH(ROUNDUP((O$1)/10,0)*10,[1]Hugst!$R$4:$W$4,0))))</f>
        <v>0</v>
      </c>
      <c r="P25">
        <f ca="1">IF($C25-P$1&lt;År1,0,O24*(1-VLOOKUP($A25,[1]Hugst!$R$5:$W$9,MATCH(ROUNDUP((P$1)/10,0)*10,[1]Hugst!$R$4:$W$4,0))))</f>
        <v>0</v>
      </c>
      <c r="Q25">
        <f ca="1">IF($C25-Q$1&lt;År1,0,P24*(1-VLOOKUP($A25,[1]Hugst!$R$5:$W$9,MATCH(ROUNDUP((Q$1)/10,0)*10,[1]Hugst!$R$4:$W$4,0))))</f>
        <v>0</v>
      </c>
      <c r="R25">
        <f ca="1">IF($C25-R$1&lt;År1,0,Q24*(1-VLOOKUP($A25,[1]Hugst!$R$5:$W$9,MATCH(ROUNDUP((R$1)/10,0)*10,[1]Hugst!$R$4:$W$4,0))))</f>
        <v>0</v>
      </c>
      <c r="S25">
        <f ca="1">IF($C25-S$1&lt;År1,0,R24*(1-VLOOKUP($A25,[1]Hugst!$R$5:$W$9,MATCH(ROUNDUP((S$1)/10,0)*10,[1]Hugst!$R$4:$W$4,0))))</f>
        <v>0</v>
      </c>
      <c r="T25">
        <f ca="1">IF($C25-T$1&lt;År1,0,S24*(1-VLOOKUP($A25,[1]Hugst!$R$5:$W$9,MATCH(ROUNDUP((T$1)/10,0)*10,[1]Hugst!$R$4:$W$4,0))))</f>
        <v>0</v>
      </c>
      <c r="U25">
        <f ca="1">IF($C25-U$1&lt;År1,0,T24*(1-VLOOKUP($A25,[1]Hugst!$R$5:$W$9,MATCH(ROUNDUP((U$1)/10,0)*10,[1]Hugst!$R$4:$W$4,0))))</f>
        <v>0</v>
      </c>
      <c r="V25">
        <f ca="1">IF($C25-V$1&lt;År1,0,U24*(1-VLOOKUP($A25,[1]Hugst!$R$5:$W$9,MATCH(ROUNDUP((V$1)/10,0)*10,[1]Hugst!$R$4:$W$4,0))))</f>
        <v>0</v>
      </c>
      <c r="W25">
        <f ca="1">IF($C25-W$1&lt;År1,0,V24*(1-VLOOKUP($A25,[1]Hugst!$R$5:$W$9,MATCH(ROUNDUP((W$1)/10,0)*10,[1]Hugst!$R$4:$W$4,0))))</f>
        <v>0</v>
      </c>
      <c r="X25">
        <f ca="1">IF($C25-X$1&lt;År1,0,W24*(1-VLOOKUP($A25,[1]Hugst!$R$5:$W$9,MATCH(ROUNDUP((X$1)/10,0)*10,[1]Hugst!$R$4:$W$4,0))))</f>
        <v>0</v>
      </c>
      <c r="Y25">
        <f ca="1">IF($C25-Y$1&lt;År1,0,X24*(1-VLOOKUP($A25,[1]Hugst!$R$5:$W$9,MATCH(ROUNDUP((Y$1)/10,0)*10,[1]Hugst!$R$4:$W$4,0))))</f>
        <v>0</v>
      </c>
      <c r="Z25">
        <f ca="1">IF($C25-Z$1&lt;År1,0,Y24*(1-VLOOKUP($A25,[1]Hugst!$R$5:$W$9,MATCH(ROUNDUP((Z$1)/10,0)*10,[1]Hugst!$R$4:$W$4,0))))</f>
        <v>0</v>
      </c>
      <c r="AA25">
        <f ca="1">IF($C25-AA$1&lt;År1,0,Z24*(1-VLOOKUP($A25,[1]Hugst!$R$5:$W$9,MATCH(ROUNDUP((AA$1)/10,0)*10,[1]Hugst!$R$4:$W$4,0))))</f>
        <v>0</v>
      </c>
      <c r="AB25">
        <f ca="1">IF($C25-AB$1&lt;År1,0,AA24*(1-VLOOKUP($A25,[1]Hugst!$R$5:$W$9,MATCH(ROUNDUP((AB$1)/10,0)*10,[1]Hugst!$R$4:$W$4,0))))</f>
        <v>0</v>
      </c>
      <c r="AC25">
        <f ca="1">IF($C25-AC$1&lt;År1,0,AB24*(1-VLOOKUP($A25,[1]Hugst!$R$5:$W$9,MATCH(ROUNDUP((AC$1)/10,0)*10,[1]Hugst!$R$4:$W$4,0))))</f>
        <v>0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0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>
        <f ca="1">IF($C26-G$1&lt;År1,0,F25*(1-VLOOKUP($A26,[1]Hugst!$R$5:$W$9,MATCH(ROUNDUP((G$1)/10,0)*10,[1]Hugst!$R$4:$W$4,0))))</f>
        <v>0</v>
      </c>
      <c r="H26">
        <f ca="1">IF($C26-H$1&lt;År1,0,G25*(1-VLOOKUP($A26,[1]Hugst!$R$5:$W$9,MATCH(ROUNDUP((H$1)/10,0)*10,[1]Hugst!$R$4:$W$4,0))))</f>
        <v>0</v>
      </c>
      <c r="I26">
        <f ca="1">IF($C26-I$1&lt;År1,0,H25*(1-VLOOKUP($A26,[1]Hugst!$R$5:$W$9,MATCH(ROUNDUP((I$1)/10,0)*10,[1]Hugst!$R$4:$W$4,0))))</f>
        <v>0</v>
      </c>
      <c r="J26">
        <f ca="1">IF($C26-J$1&lt;År1,0,I25*(1-VLOOKUP($A26,[1]Hugst!$R$5:$W$9,MATCH(ROUNDUP((J$1)/10,0)*10,[1]Hugst!$R$4:$W$4,0))))</f>
        <v>0</v>
      </c>
      <c r="K26">
        <f ca="1">IF($C26-K$1&lt;År1,0,J25*(1-VLOOKUP($A26,[1]Hugst!$R$5:$W$9,MATCH(ROUNDUP((K$1)/10,0)*10,[1]Hugst!$R$4:$W$4,0))))</f>
        <v>0</v>
      </c>
      <c r="L26">
        <f ca="1">IF($C26-L$1&lt;År1,0,K25*(1-VLOOKUP($A26,[1]Hugst!$R$5:$W$9,MATCH(ROUNDUP((L$1)/10,0)*10,[1]Hugst!$R$4:$W$4,0))))</f>
        <v>0</v>
      </c>
      <c r="M26">
        <f ca="1">IF($C26-M$1&lt;År1,0,L25*(1-VLOOKUP($A26,[1]Hugst!$R$5:$W$9,MATCH(ROUNDUP((M$1)/10,0)*10,[1]Hugst!$R$4:$W$4,0))))</f>
        <v>0</v>
      </c>
      <c r="N26">
        <f ca="1">IF($C26-N$1&lt;År1,0,M25*(1-VLOOKUP($A26,[1]Hugst!$R$5:$W$9,MATCH(ROUNDUP((N$1)/10,0)*10,[1]Hugst!$R$4:$W$4,0))))</f>
        <v>0</v>
      </c>
      <c r="O26">
        <f ca="1">IF($C26-O$1&lt;År1,0,N25*(1-VLOOKUP($A26,[1]Hugst!$R$5:$W$9,MATCH(ROUNDUP((O$1)/10,0)*10,[1]Hugst!$R$4:$W$4,0))))</f>
        <v>0</v>
      </c>
      <c r="P26">
        <f ca="1">IF($C26-P$1&lt;År1,0,O25*(1-VLOOKUP($A26,[1]Hugst!$R$5:$W$9,MATCH(ROUNDUP((P$1)/10,0)*10,[1]Hugst!$R$4:$W$4,0))))</f>
        <v>0</v>
      </c>
      <c r="Q26">
        <f ca="1">IF($C26-Q$1&lt;År1,0,P25*(1-VLOOKUP($A26,[1]Hugst!$R$5:$W$9,MATCH(ROUNDUP((Q$1)/10,0)*10,[1]Hugst!$R$4:$W$4,0))))</f>
        <v>0</v>
      </c>
      <c r="R26">
        <f ca="1">IF($C26-R$1&lt;År1,0,Q25*(1-VLOOKUP($A26,[1]Hugst!$R$5:$W$9,MATCH(ROUNDUP((R$1)/10,0)*10,[1]Hugst!$R$4:$W$4,0))))</f>
        <v>0</v>
      </c>
      <c r="S26">
        <f ca="1">IF($C26-S$1&lt;År1,0,R25*(1-VLOOKUP($A26,[1]Hugst!$R$5:$W$9,MATCH(ROUNDUP((S$1)/10,0)*10,[1]Hugst!$R$4:$W$4,0))))</f>
        <v>0</v>
      </c>
      <c r="T26">
        <f ca="1">IF($C26-T$1&lt;År1,0,S25*(1-VLOOKUP($A26,[1]Hugst!$R$5:$W$9,MATCH(ROUNDUP((T$1)/10,0)*10,[1]Hugst!$R$4:$W$4,0))))</f>
        <v>0</v>
      </c>
      <c r="U26">
        <f ca="1">IF($C26-U$1&lt;År1,0,T25*(1-VLOOKUP($A26,[1]Hugst!$R$5:$W$9,MATCH(ROUNDUP((U$1)/10,0)*10,[1]Hugst!$R$4:$W$4,0))))</f>
        <v>0</v>
      </c>
      <c r="V26">
        <f ca="1">IF($C26-V$1&lt;År1,0,U25*(1-VLOOKUP($A26,[1]Hugst!$R$5:$W$9,MATCH(ROUNDUP((V$1)/10,0)*10,[1]Hugst!$R$4:$W$4,0))))</f>
        <v>0</v>
      </c>
      <c r="W26">
        <f ca="1">IF($C26-W$1&lt;År1,0,V25*(1-VLOOKUP($A26,[1]Hugst!$R$5:$W$9,MATCH(ROUNDUP((W$1)/10,0)*10,[1]Hugst!$R$4:$W$4,0))))</f>
        <v>0</v>
      </c>
      <c r="X26">
        <f ca="1">IF($C26-X$1&lt;År1,0,W25*(1-VLOOKUP($A26,[1]Hugst!$R$5:$W$9,MATCH(ROUNDUP((X$1)/10,0)*10,[1]Hugst!$R$4:$W$4,0))))</f>
        <v>0</v>
      </c>
      <c r="Y26">
        <f ca="1">IF($C26-Y$1&lt;År1,0,X25*(1-VLOOKUP($A26,[1]Hugst!$R$5:$W$9,MATCH(ROUNDUP((Y$1)/10,0)*10,[1]Hugst!$R$4:$W$4,0))))</f>
        <v>0</v>
      </c>
      <c r="Z26">
        <f ca="1">IF($C26-Z$1&lt;År1,0,Y25*(1-VLOOKUP($A26,[1]Hugst!$R$5:$W$9,MATCH(ROUNDUP((Z$1)/10,0)*10,[1]Hugst!$R$4:$W$4,0))))</f>
        <v>0</v>
      </c>
      <c r="AA26">
        <f ca="1">IF($C26-AA$1&lt;År1,0,Z25*(1-VLOOKUP($A26,[1]Hugst!$R$5:$W$9,MATCH(ROUNDUP((AA$1)/10,0)*10,[1]Hugst!$R$4:$W$4,0))))</f>
        <v>0</v>
      </c>
      <c r="AB26">
        <f ca="1">IF($C26-AB$1&lt;År1,0,AA25*(1-VLOOKUP($A26,[1]Hugst!$R$5:$W$9,MATCH(ROUNDUP((AB$1)/10,0)*10,[1]Hugst!$R$4:$W$4,0))))</f>
        <v>0</v>
      </c>
      <c r="AC26">
        <f ca="1">IF($C26-AC$1&lt;År1,0,AB25*(1-VLOOKUP($A26,[1]Hugst!$R$5:$W$9,MATCH(ROUNDUP((AC$1)/10,0)*10,[1]Hugst!$R$4:$W$4,0))))</f>
        <v>0</v>
      </c>
      <c r="AD26">
        <f ca="1">IF($C26-AD$1&lt;År1,0,AC25*(1-VLOOKUP($A26,[1]Hugst!$R$5:$W$9,MATCH(ROUNDUP((AD$1)/10,0)*10,[1]Hugst!$R$4:$W$4,0))))</f>
        <v>0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0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>
        <f ca="1">IF($C27-G$1&lt;År1,0,F26*(1-VLOOKUP($A27,[1]Hugst!$R$5:$W$9,MATCH(ROUNDUP((G$1)/10,0)*10,[1]Hugst!$R$4:$W$4,0))))</f>
        <v>0</v>
      </c>
      <c r="H27">
        <f ca="1">IF($C27-H$1&lt;År1,0,G26*(1-VLOOKUP($A27,[1]Hugst!$R$5:$W$9,MATCH(ROUNDUP((H$1)/10,0)*10,[1]Hugst!$R$4:$W$4,0))))</f>
        <v>0</v>
      </c>
      <c r="I27">
        <f ca="1">IF($C27-I$1&lt;År1,0,H26*(1-VLOOKUP($A27,[1]Hugst!$R$5:$W$9,MATCH(ROUNDUP((I$1)/10,0)*10,[1]Hugst!$R$4:$W$4,0))))</f>
        <v>0</v>
      </c>
      <c r="J27">
        <f ca="1">IF($C27-J$1&lt;År1,0,I26*(1-VLOOKUP($A27,[1]Hugst!$R$5:$W$9,MATCH(ROUNDUP((J$1)/10,0)*10,[1]Hugst!$R$4:$W$4,0))))</f>
        <v>0</v>
      </c>
      <c r="K27">
        <f ca="1">IF($C27-K$1&lt;År1,0,J26*(1-VLOOKUP($A27,[1]Hugst!$R$5:$W$9,MATCH(ROUNDUP((K$1)/10,0)*10,[1]Hugst!$R$4:$W$4,0))))</f>
        <v>0</v>
      </c>
      <c r="L27">
        <f ca="1">IF($C27-L$1&lt;År1,0,K26*(1-VLOOKUP($A27,[1]Hugst!$R$5:$W$9,MATCH(ROUNDUP((L$1)/10,0)*10,[1]Hugst!$R$4:$W$4,0))))</f>
        <v>0</v>
      </c>
      <c r="M27">
        <f ca="1">IF($C27-M$1&lt;År1,0,L26*(1-VLOOKUP($A27,[1]Hugst!$R$5:$W$9,MATCH(ROUNDUP((M$1)/10,0)*10,[1]Hugst!$R$4:$W$4,0))))</f>
        <v>0</v>
      </c>
      <c r="N27">
        <f ca="1">IF($C27-N$1&lt;År1,0,M26*(1-VLOOKUP($A27,[1]Hugst!$R$5:$W$9,MATCH(ROUNDUP((N$1)/10,0)*10,[1]Hugst!$R$4:$W$4,0))))</f>
        <v>0</v>
      </c>
      <c r="O27">
        <f ca="1">IF($C27-O$1&lt;År1,0,N26*(1-VLOOKUP($A27,[1]Hugst!$R$5:$W$9,MATCH(ROUNDUP((O$1)/10,0)*10,[1]Hugst!$R$4:$W$4,0))))</f>
        <v>0</v>
      </c>
      <c r="P27">
        <f ca="1">IF($C27-P$1&lt;År1,0,O26*(1-VLOOKUP($A27,[1]Hugst!$R$5:$W$9,MATCH(ROUNDUP((P$1)/10,0)*10,[1]Hugst!$R$4:$W$4,0))))</f>
        <v>0</v>
      </c>
      <c r="Q27">
        <f ca="1">IF($C27-Q$1&lt;År1,0,P26*(1-VLOOKUP($A27,[1]Hugst!$R$5:$W$9,MATCH(ROUNDUP((Q$1)/10,0)*10,[1]Hugst!$R$4:$W$4,0))))</f>
        <v>0</v>
      </c>
      <c r="R27">
        <f ca="1">IF($C27-R$1&lt;År1,0,Q26*(1-VLOOKUP($A27,[1]Hugst!$R$5:$W$9,MATCH(ROUNDUP((R$1)/10,0)*10,[1]Hugst!$R$4:$W$4,0))))</f>
        <v>0</v>
      </c>
      <c r="S27">
        <f ca="1">IF($C27-S$1&lt;År1,0,R26*(1-VLOOKUP($A27,[1]Hugst!$R$5:$W$9,MATCH(ROUNDUP((S$1)/10,0)*10,[1]Hugst!$R$4:$W$4,0))))</f>
        <v>0</v>
      </c>
      <c r="T27">
        <f ca="1">IF($C27-T$1&lt;År1,0,S26*(1-VLOOKUP($A27,[1]Hugst!$R$5:$W$9,MATCH(ROUNDUP((T$1)/10,0)*10,[1]Hugst!$R$4:$W$4,0))))</f>
        <v>0</v>
      </c>
      <c r="U27">
        <f ca="1">IF($C27-U$1&lt;År1,0,T26*(1-VLOOKUP($A27,[1]Hugst!$R$5:$W$9,MATCH(ROUNDUP((U$1)/10,0)*10,[1]Hugst!$R$4:$W$4,0))))</f>
        <v>0</v>
      </c>
      <c r="V27">
        <f ca="1">IF($C27-V$1&lt;År1,0,U26*(1-VLOOKUP($A27,[1]Hugst!$R$5:$W$9,MATCH(ROUNDUP((V$1)/10,0)*10,[1]Hugst!$R$4:$W$4,0))))</f>
        <v>0</v>
      </c>
      <c r="W27">
        <f ca="1">IF($C27-W$1&lt;År1,0,V26*(1-VLOOKUP($A27,[1]Hugst!$R$5:$W$9,MATCH(ROUNDUP((W$1)/10,0)*10,[1]Hugst!$R$4:$W$4,0))))</f>
        <v>0</v>
      </c>
      <c r="X27">
        <f ca="1">IF($C27-X$1&lt;År1,0,W26*(1-VLOOKUP($A27,[1]Hugst!$R$5:$W$9,MATCH(ROUNDUP((X$1)/10,0)*10,[1]Hugst!$R$4:$W$4,0))))</f>
        <v>0</v>
      </c>
      <c r="Y27">
        <f ca="1">IF($C27-Y$1&lt;År1,0,X26*(1-VLOOKUP($A27,[1]Hugst!$R$5:$W$9,MATCH(ROUNDUP((Y$1)/10,0)*10,[1]Hugst!$R$4:$W$4,0))))</f>
        <v>0</v>
      </c>
      <c r="Z27">
        <f ca="1">IF($C27-Z$1&lt;År1,0,Y26*(1-VLOOKUP($A27,[1]Hugst!$R$5:$W$9,MATCH(ROUNDUP((Z$1)/10,0)*10,[1]Hugst!$R$4:$W$4,0))))</f>
        <v>0</v>
      </c>
      <c r="AA27">
        <f ca="1">IF($C27-AA$1&lt;År1,0,Z26*(1-VLOOKUP($A27,[1]Hugst!$R$5:$W$9,MATCH(ROUNDUP((AA$1)/10,0)*10,[1]Hugst!$R$4:$W$4,0))))</f>
        <v>0</v>
      </c>
      <c r="AB27">
        <f ca="1">IF($C27-AB$1&lt;År1,0,AA26*(1-VLOOKUP($A27,[1]Hugst!$R$5:$W$9,MATCH(ROUNDUP((AB$1)/10,0)*10,[1]Hugst!$R$4:$W$4,0))))</f>
        <v>0</v>
      </c>
      <c r="AC27">
        <f ca="1">IF($C27-AC$1&lt;År1,0,AB26*(1-VLOOKUP($A27,[1]Hugst!$R$5:$W$9,MATCH(ROUNDUP((AC$1)/10,0)*10,[1]Hugst!$R$4:$W$4,0))))</f>
        <v>0</v>
      </c>
      <c r="AD27">
        <f ca="1">IF($C27-AD$1&lt;År1,0,AC26*(1-VLOOKUP($A27,[1]Hugst!$R$5:$W$9,MATCH(ROUNDUP((AD$1)/10,0)*10,[1]Hugst!$R$4:$W$4,0))))</f>
        <v>0</v>
      </c>
      <c r="AE27">
        <f ca="1">IF($C27-AE$1&lt;År1,0,AD26*(1-VLOOKUP($A27,[1]Hugst!$R$5:$W$9,MATCH(ROUNDUP((AE$1)/10,0)*10,[1]Hugst!$R$4:$W$4,0))))</f>
        <v>0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0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>
        <f ca="1">IF($C28-G$1&lt;År1,0,F27*(1-VLOOKUP($A28,[1]Hugst!$R$5:$W$9,MATCH(ROUNDUP((G$1)/10,0)*10,[1]Hugst!$R$4:$W$4,0))))</f>
        <v>0</v>
      </c>
      <c r="H28">
        <f ca="1">IF($C28-H$1&lt;År1,0,G27*(1-VLOOKUP($A28,[1]Hugst!$R$5:$W$9,MATCH(ROUNDUP((H$1)/10,0)*10,[1]Hugst!$R$4:$W$4,0))))</f>
        <v>0</v>
      </c>
      <c r="I28">
        <f ca="1">IF($C28-I$1&lt;År1,0,H27*(1-VLOOKUP($A28,[1]Hugst!$R$5:$W$9,MATCH(ROUNDUP((I$1)/10,0)*10,[1]Hugst!$R$4:$W$4,0))))</f>
        <v>0</v>
      </c>
      <c r="J28">
        <f ca="1">IF($C28-J$1&lt;År1,0,I27*(1-VLOOKUP($A28,[1]Hugst!$R$5:$W$9,MATCH(ROUNDUP((J$1)/10,0)*10,[1]Hugst!$R$4:$W$4,0))))</f>
        <v>0</v>
      </c>
      <c r="K28">
        <f ca="1">IF($C28-K$1&lt;År1,0,J27*(1-VLOOKUP($A28,[1]Hugst!$R$5:$W$9,MATCH(ROUNDUP((K$1)/10,0)*10,[1]Hugst!$R$4:$W$4,0))))</f>
        <v>0</v>
      </c>
      <c r="L28">
        <f ca="1">IF($C28-L$1&lt;År1,0,K27*(1-VLOOKUP($A28,[1]Hugst!$R$5:$W$9,MATCH(ROUNDUP((L$1)/10,0)*10,[1]Hugst!$R$4:$W$4,0))))</f>
        <v>0</v>
      </c>
      <c r="M28">
        <f ca="1">IF($C28-M$1&lt;År1,0,L27*(1-VLOOKUP($A28,[1]Hugst!$R$5:$W$9,MATCH(ROUNDUP((M$1)/10,0)*10,[1]Hugst!$R$4:$W$4,0))))</f>
        <v>0</v>
      </c>
      <c r="N28">
        <f ca="1">IF($C28-N$1&lt;År1,0,M27*(1-VLOOKUP($A28,[1]Hugst!$R$5:$W$9,MATCH(ROUNDUP((N$1)/10,0)*10,[1]Hugst!$R$4:$W$4,0))))</f>
        <v>0</v>
      </c>
      <c r="O28">
        <f ca="1">IF($C28-O$1&lt;År1,0,N27*(1-VLOOKUP($A28,[1]Hugst!$R$5:$W$9,MATCH(ROUNDUP((O$1)/10,0)*10,[1]Hugst!$R$4:$W$4,0))))</f>
        <v>0</v>
      </c>
      <c r="P28">
        <f ca="1">IF($C28-P$1&lt;År1,0,O27*(1-VLOOKUP($A28,[1]Hugst!$R$5:$W$9,MATCH(ROUNDUP((P$1)/10,0)*10,[1]Hugst!$R$4:$W$4,0))))</f>
        <v>0</v>
      </c>
      <c r="Q28">
        <f ca="1">IF($C28-Q$1&lt;År1,0,P27*(1-VLOOKUP($A28,[1]Hugst!$R$5:$W$9,MATCH(ROUNDUP((Q$1)/10,0)*10,[1]Hugst!$R$4:$W$4,0))))</f>
        <v>0</v>
      </c>
      <c r="R28">
        <f ca="1">IF($C28-R$1&lt;År1,0,Q27*(1-VLOOKUP($A28,[1]Hugst!$R$5:$W$9,MATCH(ROUNDUP((R$1)/10,0)*10,[1]Hugst!$R$4:$W$4,0))))</f>
        <v>0</v>
      </c>
      <c r="S28">
        <f ca="1">IF($C28-S$1&lt;År1,0,R27*(1-VLOOKUP($A28,[1]Hugst!$R$5:$W$9,MATCH(ROUNDUP((S$1)/10,0)*10,[1]Hugst!$R$4:$W$4,0))))</f>
        <v>0</v>
      </c>
      <c r="T28">
        <f ca="1">IF($C28-T$1&lt;År1,0,S27*(1-VLOOKUP($A28,[1]Hugst!$R$5:$W$9,MATCH(ROUNDUP((T$1)/10,0)*10,[1]Hugst!$R$4:$W$4,0))))</f>
        <v>0</v>
      </c>
      <c r="U28">
        <f ca="1">IF($C28-U$1&lt;År1,0,T27*(1-VLOOKUP($A28,[1]Hugst!$R$5:$W$9,MATCH(ROUNDUP((U$1)/10,0)*10,[1]Hugst!$R$4:$W$4,0))))</f>
        <v>0</v>
      </c>
      <c r="V28">
        <f ca="1">IF($C28-V$1&lt;År1,0,U27*(1-VLOOKUP($A28,[1]Hugst!$R$5:$W$9,MATCH(ROUNDUP((V$1)/10,0)*10,[1]Hugst!$R$4:$W$4,0))))</f>
        <v>0</v>
      </c>
      <c r="W28">
        <f ca="1">IF($C28-W$1&lt;År1,0,V27*(1-VLOOKUP($A28,[1]Hugst!$R$5:$W$9,MATCH(ROUNDUP((W$1)/10,0)*10,[1]Hugst!$R$4:$W$4,0))))</f>
        <v>0</v>
      </c>
      <c r="X28">
        <f ca="1">IF($C28-X$1&lt;År1,0,W27*(1-VLOOKUP($A28,[1]Hugst!$R$5:$W$9,MATCH(ROUNDUP((X$1)/10,0)*10,[1]Hugst!$R$4:$W$4,0))))</f>
        <v>0</v>
      </c>
      <c r="Y28">
        <f ca="1">IF($C28-Y$1&lt;År1,0,X27*(1-VLOOKUP($A28,[1]Hugst!$R$5:$W$9,MATCH(ROUNDUP((Y$1)/10,0)*10,[1]Hugst!$R$4:$W$4,0))))</f>
        <v>0</v>
      </c>
      <c r="Z28">
        <f ca="1">IF($C28-Z$1&lt;År1,0,Y27*(1-VLOOKUP($A28,[1]Hugst!$R$5:$W$9,MATCH(ROUNDUP((Z$1)/10,0)*10,[1]Hugst!$R$4:$W$4,0))))</f>
        <v>0</v>
      </c>
      <c r="AA28">
        <f ca="1">IF($C28-AA$1&lt;År1,0,Z27*(1-VLOOKUP($A28,[1]Hugst!$R$5:$W$9,MATCH(ROUNDUP((AA$1)/10,0)*10,[1]Hugst!$R$4:$W$4,0))))</f>
        <v>0</v>
      </c>
      <c r="AB28">
        <f ca="1">IF($C28-AB$1&lt;År1,0,AA27*(1-VLOOKUP($A28,[1]Hugst!$R$5:$W$9,MATCH(ROUNDUP((AB$1)/10,0)*10,[1]Hugst!$R$4:$W$4,0))))</f>
        <v>0</v>
      </c>
      <c r="AC28">
        <f ca="1">IF($C28-AC$1&lt;År1,0,AB27*(1-VLOOKUP($A28,[1]Hugst!$R$5:$W$9,MATCH(ROUNDUP((AC$1)/10,0)*10,[1]Hugst!$R$4:$W$4,0))))</f>
        <v>0</v>
      </c>
      <c r="AD28">
        <f ca="1">IF($C28-AD$1&lt;År1,0,AC27*(1-VLOOKUP($A28,[1]Hugst!$R$5:$W$9,MATCH(ROUNDUP((AD$1)/10,0)*10,[1]Hugst!$R$4:$W$4,0))))</f>
        <v>0</v>
      </c>
      <c r="AE28">
        <f ca="1">IF($C28-AE$1&lt;År1,0,AD27*(1-VLOOKUP($A28,[1]Hugst!$R$5:$W$9,MATCH(ROUNDUP((AE$1)/10,0)*10,[1]Hugst!$R$4:$W$4,0))))</f>
        <v>0</v>
      </c>
      <c r="AF28">
        <f ca="1">IF($C28-AF$1&lt;År1,0,AE27*(1-VLOOKUP($A28,[1]Hugst!$R$5:$W$9,MATCH(ROUNDUP((AF$1)/10,0)*10,[1]Hugst!$R$4:$W$4,0))))</f>
        <v>0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0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>
        <f ca="1">IF($C29-G$1&lt;År1,0,F28*(1-VLOOKUP($A29,[1]Hugst!$R$5:$W$9,MATCH(ROUNDUP((G$1)/10,0)*10,[1]Hugst!$R$4:$W$4,0))))</f>
        <v>0</v>
      </c>
      <c r="H29">
        <f ca="1">IF($C29-H$1&lt;År1,0,G28*(1-VLOOKUP($A29,[1]Hugst!$R$5:$W$9,MATCH(ROUNDUP((H$1)/10,0)*10,[1]Hugst!$R$4:$W$4,0))))</f>
        <v>0</v>
      </c>
      <c r="I29">
        <f ca="1">IF($C29-I$1&lt;År1,0,H28*(1-VLOOKUP($A29,[1]Hugst!$R$5:$W$9,MATCH(ROUNDUP((I$1)/10,0)*10,[1]Hugst!$R$4:$W$4,0))))</f>
        <v>0</v>
      </c>
      <c r="J29">
        <f ca="1">IF($C29-J$1&lt;År1,0,I28*(1-VLOOKUP($A29,[1]Hugst!$R$5:$W$9,MATCH(ROUNDUP((J$1)/10,0)*10,[1]Hugst!$R$4:$W$4,0))))</f>
        <v>0</v>
      </c>
      <c r="K29">
        <f ca="1">IF($C29-K$1&lt;År1,0,J28*(1-VLOOKUP($A29,[1]Hugst!$R$5:$W$9,MATCH(ROUNDUP((K$1)/10,0)*10,[1]Hugst!$R$4:$W$4,0))))</f>
        <v>0</v>
      </c>
      <c r="L29">
        <f ca="1">IF($C29-L$1&lt;År1,0,K28*(1-VLOOKUP($A29,[1]Hugst!$R$5:$W$9,MATCH(ROUNDUP((L$1)/10,0)*10,[1]Hugst!$R$4:$W$4,0))))</f>
        <v>0</v>
      </c>
      <c r="M29">
        <f ca="1">IF($C29-M$1&lt;År1,0,L28*(1-VLOOKUP($A29,[1]Hugst!$R$5:$W$9,MATCH(ROUNDUP((M$1)/10,0)*10,[1]Hugst!$R$4:$W$4,0))))</f>
        <v>0</v>
      </c>
      <c r="N29">
        <f ca="1">IF($C29-N$1&lt;År1,0,M28*(1-VLOOKUP($A29,[1]Hugst!$R$5:$W$9,MATCH(ROUNDUP((N$1)/10,0)*10,[1]Hugst!$R$4:$W$4,0))))</f>
        <v>0</v>
      </c>
      <c r="O29">
        <f ca="1">IF($C29-O$1&lt;År1,0,N28*(1-VLOOKUP($A29,[1]Hugst!$R$5:$W$9,MATCH(ROUNDUP((O$1)/10,0)*10,[1]Hugst!$R$4:$W$4,0))))</f>
        <v>0</v>
      </c>
      <c r="P29">
        <f ca="1">IF($C29-P$1&lt;År1,0,O28*(1-VLOOKUP($A29,[1]Hugst!$R$5:$W$9,MATCH(ROUNDUP((P$1)/10,0)*10,[1]Hugst!$R$4:$W$4,0))))</f>
        <v>0</v>
      </c>
      <c r="Q29">
        <f ca="1">IF($C29-Q$1&lt;År1,0,P28*(1-VLOOKUP($A29,[1]Hugst!$R$5:$W$9,MATCH(ROUNDUP((Q$1)/10,0)*10,[1]Hugst!$R$4:$W$4,0))))</f>
        <v>0</v>
      </c>
      <c r="R29">
        <f ca="1">IF($C29-R$1&lt;År1,0,Q28*(1-VLOOKUP($A29,[1]Hugst!$R$5:$W$9,MATCH(ROUNDUP((R$1)/10,0)*10,[1]Hugst!$R$4:$W$4,0))))</f>
        <v>0</v>
      </c>
      <c r="S29">
        <f ca="1">IF($C29-S$1&lt;År1,0,R28*(1-VLOOKUP($A29,[1]Hugst!$R$5:$W$9,MATCH(ROUNDUP((S$1)/10,0)*10,[1]Hugst!$R$4:$W$4,0))))</f>
        <v>0</v>
      </c>
      <c r="T29">
        <f ca="1">IF($C29-T$1&lt;År1,0,S28*(1-VLOOKUP($A29,[1]Hugst!$R$5:$W$9,MATCH(ROUNDUP((T$1)/10,0)*10,[1]Hugst!$R$4:$W$4,0))))</f>
        <v>0</v>
      </c>
      <c r="U29">
        <f ca="1">IF($C29-U$1&lt;År1,0,T28*(1-VLOOKUP($A29,[1]Hugst!$R$5:$W$9,MATCH(ROUNDUP((U$1)/10,0)*10,[1]Hugst!$R$4:$W$4,0))))</f>
        <v>0</v>
      </c>
      <c r="V29">
        <f ca="1">IF($C29-V$1&lt;År1,0,U28*(1-VLOOKUP($A29,[1]Hugst!$R$5:$W$9,MATCH(ROUNDUP((V$1)/10,0)*10,[1]Hugst!$R$4:$W$4,0))))</f>
        <v>0</v>
      </c>
      <c r="W29">
        <f ca="1">IF($C29-W$1&lt;År1,0,V28*(1-VLOOKUP($A29,[1]Hugst!$R$5:$W$9,MATCH(ROUNDUP((W$1)/10,0)*10,[1]Hugst!$R$4:$W$4,0))))</f>
        <v>0</v>
      </c>
      <c r="X29">
        <f ca="1">IF($C29-X$1&lt;År1,0,W28*(1-VLOOKUP($A29,[1]Hugst!$R$5:$W$9,MATCH(ROUNDUP((X$1)/10,0)*10,[1]Hugst!$R$4:$W$4,0))))</f>
        <v>0</v>
      </c>
      <c r="Y29">
        <f ca="1">IF($C29-Y$1&lt;År1,0,X28*(1-VLOOKUP($A29,[1]Hugst!$R$5:$W$9,MATCH(ROUNDUP((Y$1)/10,0)*10,[1]Hugst!$R$4:$W$4,0))))</f>
        <v>0</v>
      </c>
      <c r="Z29">
        <f ca="1">IF($C29-Z$1&lt;År1,0,Y28*(1-VLOOKUP($A29,[1]Hugst!$R$5:$W$9,MATCH(ROUNDUP((Z$1)/10,0)*10,[1]Hugst!$R$4:$W$4,0))))</f>
        <v>0</v>
      </c>
      <c r="AA29">
        <f ca="1">IF($C29-AA$1&lt;År1,0,Z28*(1-VLOOKUP($A29,[1]Hugst!$R$5:$W$9,MATCH(ROUNDUP((AA$1)/10,0)*10,[1]Hugst!$R$4:$W$4,0))))</f>
        <v>0</v>
      </c>
      <c r="AB29">
        <f ca="1">IF($C29-AB$1&lt;År1,0,AA28*(1-VLOOKUP($A29,[1]Hugst!$R$5:$W$9,MATCH(ROUNDUP((AB$1)/10,0)*10,[1]Hugst!$R$4:$W$4,0))))</f>
        <v>0</v>
      </c>
      <c r="AC29">
        <f ca="1">IF($C29-AC$1&lt;År1,0,AB28*(1-VLOOKUP($A29,[1]Hugst!$R$5:$W$9,MATCH(ROUNDUP((AC$1)/10,0)*10,[1]Hugst!$R$4:$W$4,0))))</f>
        <v>0</v>
      </c>
      <c r="AD29">
        <f ca="1">IF($C29-AD$1&lt;År1,0,AC28*(1-VLOOKUP($A29,[1]Hugst!$R$5:$W$9,MATCH(ROUNDUP((AD$1)/10,0)*10,[1]Hugst!$R$4:$W$4,0))))</f>
        <v>0</v>
      </c>
      <c r="AE29">
        <f ca="1">IF($C29-AE$1&lt;År1,0,AD28*(1-VLOOKUP($A29,[1]Hugst!$R$5:$W$9,MATCH(ROUNDUP((AE$1)/10,0)*10,[1]Hugst!$R$4:$W$4,0))))</f>
        <v>0</v>
      </c>
      <c r="AF29">
        <f ca="1">IF($C29-AF$1&lt;År1,0,AE28*(1-VLOOKUP($A29,[1]Hugst!$R$5:$W$9,MATCH(ROUNDUP((AF$1)/10,0)*10,[1]Hugst!$R$4:$W$4,0))))</f>
        <v>0</v>
      </c>
      <c r="AG29">
        <f ca="1">IF($C29-AG$1&lt;År1,0,AF28*(1-VLOOKUP($A29,[1]Hugst!$R$5:$W$9,MATCH(ROUNDUP((AG$1)/10,0)*10,[1]Hugst!$R$4:$W$4,0))))</f>
        <v>0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0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>
        <f ca="1">IF($C30-G$1&lt;År1,0,F29*(1-VLOOKUP($A30,[1]Hugst!$R$5:$W$9,MATCH(ROUNDUP((G$1)/10,0)*10,[1]Hugst!$R$4:$W$4,0))))</f>
        <v>0</v>
      </c>
      <c r="H30">
        <f ca="1">IF($C30-H$1&lt;År1,0,G29*(1-VLOOKUP($A30,[1]Hugst!$R$5:$W$9,MATCH(ROUNDUP((H$1)/10,0)*10,[1]Hugst!$R$4:$W$4,0))))</f>
        <v>0</v>
      </c>
      <c r="I30">
        <f ca="1">IF($C30-I$1&lt;År1,0,H29*(1-VLOOKUP($A30,[1]Hugst!$R$5:$W$9,MATCH(ROUNDUP((I$1)/10,0)*10,[1]Hugst!$R$4:$W$4,0))))</f>
        <v>0</v>
      </c>
      <c r="J30">
        <f ca="1">IF($C30-J$1&lt;År1,0,I29*(1-VLOOKUP($A30,[1]Hugst!$R$5:$W$9,MATCH(ROUNDUP((J$1)/10,0)*10,[1]Hugst!$R$4:$W$4,0))))</f>
        <v>0</v>
      </c>
      <c r="K30">
        <f ca="1">IF($C30-K$1&lt;År1,0,J29*(1-VLOOKUP($A30,[1]Hugst!$R$5:$W$9,MATCH(ROUNDUP((K$1)/10,0)*10,[1]Hugst!$R$4:$W$4,0))))</f>
        <v>0</v>
      </c>
      <c r="L30">
        <f ca="1">IF($C30-L$1&lt;År1,0,K29*(1-VLOOKUP($A30,[1]Hugst!$R$5:$W$9,MATCH(ROUNDUP((L$1)/10,0)*10,[1]Hugst!$R$4:$W$4,0))))</f>
        <v>0</v>
      </c>
      <c r="M30">
        <f ca="1">IF($C30-M$1&lt;År1,0,L29*(1-VLOOKUP($A30,[1]Hugst!$R$5:$W$9,MATCH(ROUNDUP((M$1)/10,0)*10,[1]Hugst!$R$4:$W$4,0))))</f>
        <v>0</v>
      </c>
      <c r="N30">
        <f ca="1">IF($C30-N$1&lt;År1,0,M29*(1-VLOOKUP($A30,[1]Hugst!$R$5:$W$9,MATCH(ROUNDUP((N$1)/10,0)*10,[1]Hugst!$R$4:$W$4,0))))</f>
        <v>0</v>
      </c>
      <c r="O30">
        <f ca="1">IF($C30-O$1&lt;År1,0,N29*(1-VLOOKUP($A30,[1]Hugst!$R$5:$W$9,MATCH(ROUNDUP((O$1)/10,0)*10,[1]Hugst!$R$4:$W$4,0))))</f>
        <v>0</v>
      </c>
      <c r="P30">
        <f ca="1">IF($C30-P$1&lt;År1,0,O29*(1-VLOOKUP($A30,[1]Hugst!$R$5:$W$9,MATCH(ROUNDUP((P$1)/10,0)*10,[1]Hugst!$R$4:$W$4,0))))</f>
        <v>0</v>
      </c>
      <c r="Q30">
        <f ca="1">IF($C30-Q$1&lt;År1,0,P29*(1-VLOOKUP($A30,[1]Hugst!$R$5:$W$9,MATCH(ROUNDUP((Q$1)/10,0)*10,[1]Hugst!$R$4:$W$4,0))))</f>
        <v>0</v>
      </c>
      <c r="R30">
        <f ca="1">IF($C30-R$1&lt;År1,0,Q29*(1-VLOOKUP($A30,[1]Hugst!$R$5:$W$9,MATCH(ROUNDUP((R$1)/10,0)*10,[1]Hugst!$R$4:$W$4,0))))</f>
        <v>0</v>
      </c>
      <c r="S30">
        <f ca="1">IF($C30-S$1&lt;År1,0,R29*(1-VLOOKUP($A30,[1]Hugst!$R$5:$W$9,MATCH(ROUNDUP((S$1)/10,0)*10,[1]Hugst!$R$4:$W$4,0))))</f>
        <v>0</v>
      </c>
      <c r="T30">
        <f ca="1">IF($C30-T$1&lt;År1,0,S29*(1-VLOOKUP($A30,[1]Hugst!$R$5:$W$9,MATCH(ROUNDUP((T$1)/10,0)*10,[1]Hugst!$R$4:$W$4,0))))</f>
        <v>0</v>
      </c>
      <c r="U30">
        <f ca="1">IF($C30-U$1&lt;År1,0,T29*(1-VLOOKUP($A30,[1]Hugst!$R$5:$W$9,MATCH(ROUNDUP((U$1)/10,0)*10,[1]Hugst!$R$4:$W$4,0))))</f>
        <v>0</v>
      </c>
      <c r="V30">
        <f ca="1">IF($C30-V$1&lt;År1,0,U29*(1-VLOOKUP($A30,[1]Hugst!$R$5:$W$9,MATCH(ROUNDUP((V$1)/10,0)*10,[1]Hugst!$R$4:$W$4,0))))</f>
        <v>0</v>
      </c>
      <c r="W30">
        <f ca="1">IF($C30-W$1&lt;År1,0,V29*(1-VLOOKUP($A30,[1]Hugst!$R$5:$W$9,MATCH(ROUNDUP((W$1)/10,0)*10,[1]Hugst!$R$4:$W$4,0))))</f>
        <v>0</v>
      </c>
      <c r="X30">
        <f ca="1">IF($C30-X$1&lt;År1,0,W29*(1-VLOOKUP($A30,[1]Hugst!$R$5:$W$9,MATCH(ROUNDUP((X$1)/10,0)*10,[1]Hugst!$R$4:$W$4,0))))</f>
        <v>0</v>
      </c>
      <c r="Y30">
        <f ca="1">IF($C30-Y$1&lt;År1,0,X29*(1-VLOOKUP($A30,[1]Hugst!$R$5:$W$9,MATCH(ROUNDUP((Y$1)/10,0)*10,[1]Hugst!$R$4:$W$4,0))))</f>
        <v>0</v>
      </c>
      <c r="Z30">
        <f ca="1">IF($C30-Z$1&lt;År1,0,Y29*(1-VLOOKUP($A30,[1]Hugst!$R$5:$W$9,MATCH(ROUNDUP((Z$1)/10,0)*10,[1]Hugst!$R$4:$W$4,0))))</f>
        <v>0</v>
      </c>
      <c r="AA30">
        <f ca="1">IF($C30-AA$1&lt;År1,0,Z29*(1-VLOOKUP($A30,[1]Hugst!$R$5:$W$9,MATCH(ROUNDUP((AA$1)/10,0)*10,[1]Hugst!$R$4:$W$4,0))))</f>
        <v>0</v>
      </c>
      <c r="AB30">
        <f ca="1">IF($C30-AB$1&lt;År1,0,AA29*(1-VLOOKUP($A30,[1]Hugst!$R$5:$W$9,MATCH(ROUNDUP((AB$1)/10,0)*10,[1]Hugst!$R$4:$W$4,0))))</f>
        <v>0</v>
      </c>
      <c r="AC30">
        <f ca="1">IF($C30-AC$1&lt;År1,0,AB29*(1-VLOOKUP($A30,[1]Hugst!$R$5:$W$9,MATCH(ROUNDUP((AC$1)/10,0)*10,[1]Hugst!$R$4:$W$4,0))))</f>
        <v>0</v>
      </c>
      <c r="AD30">
        <f ca="1">IF($C30-AD$1&lt;År1,0,AC29*(1-VLOOKUP($A30,[1]Hugst!$R$5:$W$9,MATCH(ROUNDUP((AD$1)/10,0)*10,[1]Hugst!$R$4:$W$4,0))))</f>
        <v>0</v>
      </c>
      <c r="AE30">
        <f ca="1">IF($C30-AE$1&lt;År1,0,AD29*(1-VLOOKUP($A30,[1]Hugst!$R$5:$W$9,MATCH(ROUNDUP((AE$1)/10,0)*10,[1]Hugst!$R$4:$W$4,0))))</f>
        <v>0</v>
      </c>
      <c r="AF30">
        <f ca="1">IF($C30-AF$1&lt;År1,0,AE29*(1-VLOOKUP($A30,[1]Hugst!$R$5:$W$9,MATCH(ROUNDUP((AF$1)/10,0)*10,[1]Hugst!$R$4:$W$4,0))))</f>
        <v>0</v>
      </c>
      <c r="AG30">
        <f ca="1">IF($C30-AG$1&lt;År1,0,AF29*(1-VLOOKUP($A30,[1]Hugst!$R$5:$W$9,MATCH(ROUNDUP((AG$1)/10,0)*10,[1]Hugst!$R$4:$W$4,0))))</f>
        <v>0</v>
      </c>
      <c r="AH30">
        <f ca="1">IF($C30-AH$1&lt;År1,0,AG29*(1-VLOOKUP($A30,[1]Hugst!$R$5:$W$9,MATCH(ROUNDUP((AH$1)/10,0)*10,[1]Hugst!$R$4:$W$4,0))))</f>
        <v>0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0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>
        <f ca="1">IF($C31-G$1&lt;År1,0,F30*(1-VLOOKUP($A31,[1]Hugst!$R$5:$W$9,MATCH(ROUNDUP((G$1)/10,0)*10,[1]Hugst!$R$4:$W$4,0))))</f>
        <v>0</v>
      </c>
      <c r="H31">
        <f ca="1">IF($C31-H$1&lt;År1,0,G30*(1-VLOOKUP($A31,[1]Hugst!$R$5:$W$9,MATCH(ROUNDUP((H$1)/10,0)*10,[1]Hugst!$R$4:$W$4,0))))</f>
        <v>0</v>
      </c>
      <c r="I31">
        <f ca="1">IF($C31-I$1&lt;År1,0,H30*(1-VLOOKUP($A31,[1]Hugst!$R$5:$W$9,MATCH(ROUNDUP((I$1)/10,0)*10,[1]Hugst!$R$4:$W$4,0))))</f>
        <v>0</v>
      </c>
      <c r="J31">
        <f ca="1">IF($C31-J$1&lt;År1,0,I30*(1-VLOOKUP($A31,[1]Hugst!$R$5:$W$9,MATCH(ROUNDUP((J$1)/10,0)*10,[1]Hugst!$R$4:$W$4,0))))</f>
        <v>0</v>
      </c>
      <c r="K31">
        <f ca="1">IF($C31-K$1&lt;År1,0,J30*(1-VLOOKUP($A31,[1]Hugst!$R$5:$W$9,MATCH(ROUNDUP((K$1)/10,0)*10,[1]Hugst!$R$4:$W$4,0))))</f>
        <v>0</v>
      </c>
      <c r="L31">
        <f ca="1">IF($C31-L$1&lt;År1,0,K30*(1-VLOOKUP($A31,[1]Hugst!$R$5:$W$9,MATCH(ROUNDUP((L$1)/10,0)*10,[1]Hugst!$R$4:$W$4,0))))</f>
        <v>0</v>
      </c>
      <c r="M31">
        <f ca="1">IF($C31-M$1&lt;År1,0,L30*(1-VLOOKUP($A31,[1]Hugst!$R$5:$W$9,MATCH(ROUNDUP((M$1)/10,0)*10,[1]Hugst!$R$4:$W$4,0))))</f>
        <v>0</v>
      </c>
      <c r="N31">
        <f ca="1">IF($C31-N$1&lt;År1,0,M30*(1-VLOOKUP($A31,[1]Hugst!$R$5:$W$9,MATCH(ROUNDUP((N$1)/10,0)*10,[1]Hugst!$R$4:$W$4,0))))</f>
        <v>0</v>
      </c>
      <c r="O31">
        <f ca="1">IF($C31-O$1&lt;År1,0,N30*(1-VLOOKUP($A31,[1]Hugst!$R$5:$W$9,MATCH(ROUNDUP((O$1)/10,0)*10,[1]Hugst!$R$4:$W$4,0))))</f>
        <v>0</v>
      </c>
      <c r="P31">
        <f ca="1">IF($C31-P$1&lt;År1,0,O30*(1-VLOOKUP($A31,[1]Hugst!$R$5:$W$9,MATCH(ROUNDUP((P$1)/10,0)*10,[1]Hugst!$R$4:$W$4,0))))</f>
        <v>0</v>
      </c>
      <c r="Q31">
        <f ca="1">IF($C31-Q$1&lt;År1,0,P30*(1-VLOOKUP($A31,[1]Hugst!$R$5:$W$9,MATCH(ROUNDUP((Q$1)/10,0)*10,[1]Hugst!$R$4:$W$4,0))))</f>
        <v>0</v>
      </c>
      <c r="R31">
        <f ca="1">IF($C31-R$1&lt;År1,0,Q30*(1-VLOOKUP($A31,[1]Hugst!$R$5:$W$9,MATCH(ROUNDUP((R$1)/10,0)*10,[1]Hugst!$R$4:$W$4,0))))</f>
        <v>0</v>
      </c>
      <c r="S31">
        <f ca="1">IF($C31-S$1&lt;År1,0,R30*(1-VLOOKUP($A31,[1]Hugst!$R$5:$W$9,MATCH(ROUNDUP((S$1)/10,0)*10,[1]Hugst!$R$4:$W$4,0))))</f>
        <v>0</v>
      </c>
      <c r="T31">
        <f ca="1">IF($C31-T$1&lt;År1,0,S30*(1-VLOOKUP($A31,[1]Hugst!$R$5:$W$9,MATCH(ROUNDUP((T$1)/10,0)*10,[1]Hugst!$R$4:$W$4,0))))</f>
        <v>0</v>
      </c>
      <c r="U31">
        <f ca="1">IF($C31-U$1&lt;År1,0,T30*(1-VLOOKUP($A31,[1]Hugst!$R$5:$W$9,MATCH(ROUNDUP((U$1)/10,0)*10,[1]Hugst!$R$4:$W$4,0))))</f>
        <v>0</v>
      </c>
      <c r="V31">
        <f ca="1">IF($C31-V$1&lt;År1,0,U30*(1-VLOOKUP($A31,[1]Hugst!$R$5:$W$9,MATCH(ROUNDUP((V$1)/10,0)*10,[1]Hugst!$R$4:$W$4,0))))</f>
        <v>0</v>
      </c>
      <c r="W31">
        <f ca="1">IF($C31-W$1&lt;År1,0,V30*(1-VLOOKUP($A31,[1]Hugst!$R$5:$W$9,MATCH(ROUNDUP((W$1)/10,0)*10,[1]Hugst!$R$4:$W$4,0))))</f>
        <v>0</v>
      </c>
      <c r="X31">
        <f ca="1">IF($C31-X$1&lt;År1,0,W30*(1-VLOOKUP($A31,[1]Hugst!$R$5:$W$9,MATCH(ROUNDUP((X$1)/10,0)*10,[1]Hugst!$R$4:$W$4,0))))</f>
        <v>0</v>
      </c>
      <c r="Y31">
        <f ca="1">IF($C31-Y$1&lt;År1,0,X30*(1-VLOOKUP($A31,[1]Hugst!$R$5:$W$9,MATCH(ROUNDUP((Y$1)/10,0)*10,[1]Hugst!$R$4:$W$4,0))))</f>
        <v>0</v>
      </c>
      <c r="Z31">
        <f ca="1">IF($C31-Z$1&lt;År1,0,Y30*(1-VLOOKUP($A31,[1]Hugst!$R$5:$W$9,MATCH(ROUNDUP((Z$1)/10,0)*10,[1]Hugst!$R$4:$W$4,0))))</f>
        <v>0</v>
      </c>
      <c r="AA31">
        <f ca="1">IF($C31-AA$1&lt;År1,0,Z30*(1-VLOOKUP($A31,[1]Hugst!$R$5:$W$9,MATCH(ROUNDUP((AA$1)/10,0)*10,[1]Hugst!$R$4:$W$4,0))))</f>
        <v>0</v>
      </c>
      <c r="AB31">
        <f ca="1">IF($C31-AB$1&lt;År1,0,AA30*(1-VLOOKUP($A31,[1]Hugst!$R$5:$W$9,MATCH(ROUNDUP((AB$1)/10,0)*10,[1]Hugst!$R$4:$W$4,0))))</f>
        <v>0</v>
      </c>
      <c r="AC31">
        <f ca="1">IF($C31-AC$1&lt;År1,0,AB30*(1-VLOOKUP($A31,[1]Hugst!$R$5:$W$9,MATCH(ROUNDUP((AC$1)/10,0)*10,[1]Hugst!$R$4:$W$4,0))))</f>
        <v>0</v>
      </c>
      <c r="AD31">
        <f ca="1">IF($C31-AD$1&lt;År1,0,AC30*(1-VLOOKUP($A31,[1]Hugst!$R$5:$W$9,MATCH(ROUNDUP((AD$1)/10,0)*10,[1]Hugst!$R$4:$W$4,0))))</f>
        <v>0</v>
      </c>
      <c r="AE31">
        <f ca="1">IF($C31-AE$1&lt;År1,0,AD30*(1-VLOOKUP($A31,[1]Hugst!$R$5:$W$9,MATCH(ROUNDUP((AE$1)/10,0)*10,[1]Hugst!$R$4:$W$4,0))))</f>
        <v>0</v>
      </c>
      <c r="AF31">
        <f ca="1">IF($C31-AF$1&lt;År1,0,AE30*(1-VLOOKUP($A31,[1]Hugst!$R$5:$W$9,MATCH(ROUNDUP((AF$1)/10,0)*10,[1]Hugst!$R$4:$W$4,0))))</f>
        <v>0</v>
      </c>
      <c r="AG31">
        <f ca="1">IF($C31-AG$1&lt;År1,0,AF30*(1-VLOOKUP($A31,[1]Hugst!$R$5:$W$9,MATCH(ROUNDUP((AG$1)/10,0)*10,[1]Hugst!$R$4:$W$4,0))))</f>
        <v>0</v>
      </c>
      <c r="AH31">
        <f ca="1">IF($C31-AH$1&lt;År1,0,AG30*(1-VLOOKUP($A31,[1]Hugst!$R$5:$W$9,MATCH(ROUNDUP((AH$1)/10,0)*10,[1]Hugst!$R$4:$W$4,0))))</f>
        <v>0</v>
      </c>
      <c r="AI31">
        <f ca="1">IF($C31-AI$1&lt;År1,0,AH30*(1-VLOOKUP($A31,[1]Hugst!$R$5:$W$9,MATCH(ROUNDUP((AI$1)/10,0)*10,[1]Hugst!$R$4:$W$4,0))))</f>
        <v>0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0</v>
      </c>
      <c r="E32">
        <f t="shared" ca="1" si="0"/>
        <v>0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>
        <f ca="1">IF($C32-G$1&lt;År1,0,F31*(1-VLOOKUP($A32,[1]Hugst!$R$5:$W$9,MATCH(ROUNDUP((G$1)/10,0)*10,[1]Hugst!$R$4:$W$4,0))))</f>
        <v>0</v>
      </c>
      <c r="H32">
        <f ca="1">IF($C32-H$1&lt;År1,0,G31*(1-VLOOKUP($A32,[1]Hugst!$R$5:$W$9,MATCH(ROUNDUP((H$1)/10,0)*10,[1]Hugst!$R$4:$W$4,0))))</f>
        <v>0</v>
      </c>
      <c r="I32">
        <f ca="1">IF($C32-I$1&lt;År1,0,H31*(1-VLOOKUP($A32,[1]Hugst!$R$5:$W$9,MATCH(ROUNDUP((I$1)/10,0)*10,[1]Hugst!$R$4:$W$4,0))))</f>
        <v>0</v>
      </c>
      <c r="J32">
        <f ca="1">IF($C32-J$1&lt;År1,0,I31*(1-VLOOKUP($A32,[1]Hugst!$R$5:$W$9,MATCH(ROUNDUP((J$1)/10,0)*10,[1]Hugst!$R$4:$W$4,0))))</f>
        <v>0</v>
      </c>
      <c r="K32">
        <f ca="1">IF($C32-K$1&lt;År1,0,J31*(1-VLOOKUP($A32,[1]Hugst!$R$5:$W$9,MATCH(ROUNDUP((K$1)/10,0)*10,[1]Hugst!$R$4:$W$4,0))))</f>
        <v>0</v>
      </c>
      <c r="L32">
        <f ca="1">IF($C32-L$1&lt;År1,0,K31*(1-VLOOKUP($A32,[1]Hugst!$R$5:$W$9,MATCH(ROUNDUP((L$1)/10,0)*10,[1]Hugst!$R$4:$W$4,0))))</f>
        <v>0</v>
      </c>
      <c r="M32">
        <f ca="1">IF($C32-M$1&lt;År1,0,L31*(1-VLOOKUP($A32,[1]Hugst!$R$5:$W$9,MATCH(ROUNDUP((M$1)/10,0)*10,[1]Hugst!$R$4:$W$4,0))))</f>
        <v>0</v>
      </c>
      <c r="N32">
        <f ca="1">IF($C32-N$1&lt;År1,0,M31*(1-VLOOKUP($A32,[1]Hugst!$R$5:$W$9,MATCH(ROUNDUP((N$1)/10,0)*10,[1]Hugst!$R$4:$W$4,0))))</f>
        <v>0</v>
      </c>
      <c r="O32">
        <f ca="1">IF($C32-O$1&lt;År1,0,N31*(1-VLOOKUP($A32,[1]Hugst!$R$5:$W$9,MATCH(ROUNDUP((O$1)/10,0)*10,[1]Hugst!$R$4:$W$4,0))))</f>
        <v>0</v>
      </c>
      <c r="P32">
        <f ca="1">IF($C32-P$1&lt;År1,0,O31*(1-VLOOKUP($A32,[1]Hugst!$R$5:$W$9,MATCH(ROUNDUP((P$1)/10,0)*10,[1]Hugst!$R$4:$W$4,0))))</f>
        <v>0</v>
      </c>
      <c r="Q32">
        <f ca="1">IF($C32-Q$1&lt;År1,0,P31*(1-VLOOKUP($A32,[1]Hugst!$R$5:$W$9,MATCH(ROUNDUP((Q$1)/10,0)*10,[1]Hugst!$R$4:$W$4,0))))</f>
        <v>0</v>
      </c>
      <c r="R32">
        <f ca="1">IF($C32-R$1&lt;År1,0,Q31*(1-VLOOKUP($A32,[1]Hugst!$R$5:$W$9,MATCH(ROUNDUP((R$1)/10,0)*10,[1]Hugst!$R$4:$W$4,0))))</f>
        <v>0</v>
      </c>
      <c r="S32">
        <f ca="1">IF($C32-S$1&lt;År1,0,R31*(1-VLOOKUP($A32,[1]Hugst!$R$5:$W$9,MATCH(ROUNDUP((S$1)/10,0)*10,[1]Hugst!$R$4:$W$4,0))))</f>
        <v>0</v>
      </c>
      <c r="T32">
        <f ca="1">IF($C32-T$1&lt;År1,0,S31*(1-VLOOKUP($A32,[1]Hugst!$R$5:$W$9,MATCH(ROUNDUP((T$1)/10,0)*10,[1]Hugst!$R$4:$W$4,0))))</f>
        <v>0</v>
      </c>
      <c r="U32">
        <f ca="1">IF($C32-U$1&lt;År1,0,T31*(1-VLOOKUP($A32,[1]Hugst!$R$5:$W$9,MATCH(ROUNDUP((U$1)/10,0)*10,[1]Hugst!$R$4:$W$4,0))))</f>
        <v>0</v>
      </c>
      <c r="V32">
        <f ca="1">IF($C32-V$1&lt;År1,0,U31*(1-VLOOKUP($A32,[1]Hugst!$R$5:$W$9,MATCH(ROUNDUP((V$1)/10,0)*10,[1]Hugst!$R$4:$W$4,0))))</f>
        <v>0</v>
      </c>
      <c r="W32">
        <f ca="1">IF($C32-W$1&lt;År1,0,V31*(1-VLOOKUP($A32,[1]Hugst!$R$5:$W$9,MATCH(ROUNDUP((W$1)/10,0)*10,[1]Hugst!$R$4:$W$4,0))))</f>
        <v>0</v>
      </c>
      <c r="X32">
        <f ca="1">IF($C32-X$1&lt;År1,0,W31*(1-VLOOKUP($A32,[1]Hugst!$R$5:$W$9,MATCH(ROUNDUP((X$1)/10,0)*10,[1]Hugst!$R$4:$W$4,0))))</f>
        <v>0</v>
      </c>
      <c r="Y32">
        <f ca="1">IF($C32-Y$1&lt;År1,0,X31*(1-VLOOKUP($A32,[1]Hugst!$R$5:$W$9,MATCH(ROUNDUP((Y$1)/10,0)*10,[1]Hugst!$R$4:$W$4,0))))</f>
        <v>0</v>
      </c>
      <c r="Z32">
        <f ca="1">IF($C32-Z$1&lt;År1,0,Y31*(1-VLOOKUP($A32,[1]Hugst!$R$5:$W$9,MATCH(ROUNDUP((Z$1)/10,0)*10,[1]Hugst!$R$4:$W$4,0))))</f>
        <v>0</v>
      </c>
      <c r="AA32">
        <f ca="1">IF($C32-AA$1&lt;År1,0,Z31*(1-VLOOKUP($A32,[1]Hugst!$R$5:$W$9,MATCH(ROUNDUP((AA$1)/10,0)*10,[1]Hugst!$R$4:$W$4,0))))</f>
        <v>0</v>
      </c>
      <c r="AB32">
        <f ca="1">IF($C32-AB$1&lt;År1,0,AA31*(1-VLOOKUP($A32,[1]Hugst!$R$5:$W$9,MATCH(ROUNDUP((AB$1)/10,0)*10,[1]Hugst!$R$4:$W$4,0))))</f>
        <v>0</v>
      </c>
      <c r="AC32">
        <f ca="1">IF($C32-AC$1&lt;År1,0,AB31*(1-VLOOKUP($A32,[1]Hugst!$R$5:$W$9,MATCH(ROUNDUP((AC$1)/10,0)*10,[1]Hugst!$R$4:$W$4,0))))</f>
        <v>0</v>
      </c>
      <c r="AD32">
        <f ca="1">IF($C32-AD$1&lt;År1,0,AC31*(1-VLOOKUP($A32,[1]Hugst!$R$5:$W$9,MATCH(ROUNDUP((AD$1)/10,0)*10,[1]Hugst!$R$4:$W$4,0))))</f>
        <v>0</v>
      </c>
      <c r="AE32">
        <f ca="1">IF($C32-AE$1&lt;År1,0,AD31*(1-VLOOKUP($A32,[1]Hugst!$R$5:$W$9,MATCH(ROUNDUP((AE$1)/10,0)*10,[1]Hugst!$R$4:$W$4,0))))</f>
        <v>0</v>
      </c>
      <c r="AF32">
        <f ca="1">IF($C32-AF$1&lt;År1,0,AE31*(1-VLOOKUP($A32,[1]Hugst!$R$5:$W$9,MATCH(ROUNDUP((AF$1)/10,0)*10,[1]Hugst!$R$4:$W$4,0))))</f>
        <v>0</v>
      </c>
      <c r="AG32">
        <f ca="1">IF($C32-AG$1&lt;År1,0,AF31*(1-VLOOKUP($A32,[1]Hugst!$R$5:$W$9,MATCH(ROUNDUP((AG$1)/10,0)*10,[1]Hugst!$R$4:$W$4,0))))</f>
        <v>0</v>
      </c>
      <c r="AH32">
        <f ca="1">IF($C32-AH$1&lt;År1,0,AG31*(1-VLOOKUP($A32,[1]Hugst!$R$5:$W$9,MATCH(ROUNDUP((AH$1)/10,0)*10,[1]Hugst!$R$4:$W$4,0))))</f>
        <v>0</v>
      </c>
      <c r="AI32">
        <f ca="1">IF($C32-AI$1&lt;År1,0,AH31*(1-VLOOKUP($A32,[1]Hugst!$R$5:$W$9,MATCH(ROUNDUP((AI$1)/10,0)*10,[1]Hugst!$R$4:$W$4,0))))</f>
        <v>0</v>
      </c>
      <c r="AJ32">
        <f ca="1">IF($C32-AJ$1&lt;År1,0,AI31*(1-VLOOKUP($A32,[1]Hugst!$R$5:$W$9,MATCH(ROUNDUP((AJ$1)/10,0)*10,[1]Hugst!$R$4:$W$4,0))))</f>
        <v>0</v>
      </c>
      <c r="AL32">
        <f ca="1">SUM(F32:AJ32)</f>
        <v>0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0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0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>
        <f ca="1">IF($C34-G$1&lt;År1,0,F33*(1-VLOOKUP($A34,[1]Hugst!$R$5:$W$9,MATCH(ROUNDUP((G$1)/10,0)*10,[1]Hugst!$R$4:$W$4,0))))</f>
        <v>0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0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>
        <f ca="1">IF($C35-G$1&lt;År1,0,F34*(1-VLOOKUP($A35,[1]Hugst!$R$5:$W$9,MATCH(ROUNDUP((G$1)/10,0)*10,[1]Hugst!$R$4:$W$4,0))))</f>
        <v>0</v>
      </c>
      <c r="H35">
        <f ca="1">IF($C35-H$1&lt;År1,0,G34*(1-VLOOKUP($A35,[1]Hugst!$R$5:$W$9,MATCH(ROUNDUP((H$1)/10,0)*10,[1]Hugst!$R$4:$W$4,0))))</f>
        <v>0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0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>
        <f ca="1">IF($C36-G$1&lt;År1,0,F35*(1-VLOOKUP($A36,[1]Hugst!$R$5:$W$9,MATCH(ROUNDUP((G$1)/10,0)*10,[1]Hugst!$R$4:$W$4,0))))</f>
        <v>0</v>
      </c>
      <c r="H36">
        <f ca="1">IF($C36-H$1&lt;År1,0,G35*(1-VLOOKUP($A36,[1]Hugst!$R$5:$W$9,MATCH(ROUNDUP((H$1)/10,0)*10,[1]Hugst!$R$4:$W$4,0))))</f>
        <v>0</v>
      </c>
      <c r="I36">
        <f ca="1">IF($C36-I$1&lt;År1,0,H35*(1-VLOOKUP($A36,[1]Hugst!$R$5:$W$9,MATCH(ROUNDUP((I$1)/10,0)*10,[1]Hugst!$R$4:$W$4,0))))</f>
        <v>0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0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>
        <f ca="1">IF($C37-G$1&lt;År1,0,F36*(1-VLOOKUP($A37,[1]Hugst!$R$5:$W$9,MATCH(ROUNDUP((G$1)/10,0)*10,[1]Hugst!$R$4:$W$4,0))))</f>
        <v>0</v>
      </c>
      <c r="H37">
        <f ca="1">IF($C37-H$1&lt;År1,0,G36*(1-VLOOKUP($A37,[1]Hugst!$R$5:$W$9,MATCH(ROUNDUP((H$1)/10,0)*10,[1]Hugst!$R$4:$W$4,0))))</f>
        <v>0</v>
      </c>
      <c r="I37">
        <f ca="1">IF($C37-I$1&lt;År1,0,H36*(1-VLOOKUP($A37,[1]Hugst!$R$5:$W$9,MATCH(ROUNDUP((I$1)/10,0)*10,[1]Hugst!$R$4:$W$4,0))))</f>
        <v>0</v>
      </c>
      <c r="J37">
        <f ca="1">IF($C37-J$1&lt;År1,0,I36*(1-VLOOKUP($A37,[1]Hugst!$R$5:$W$9,MATCH(ROUNDUP((J$1)/10,0)*10,[1]Hugst!$R$4:$W$4,0))))</f>
        <v>0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0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>
        <f ca="1">IF($C38-G$1&lt;År1,0,F37*(1-VLOOKUP($A38,[1]Hugst!$R$5:$W$9,MATCH(ROUNDUP((G$1)/10,0)*10,[1]Hugst!$R$4:$W$4,0))))</f>
        <v>0</v>
      </c>
      <c r="H38">
        <f ca="1">IF($C38-H$1&lt;År1,0,G37*(1-VLOOKUP($A38,[1]Hugst!$R$5:$W$9,MATCH(ROUNDUP((H$1)/10,0)*10,[1]Hugst!$R$4:$W$4,0))))</f>
        <v>0</v>
      </c>
      <c r="I38">
        <f ca="1">IF($C38-I$1&lt;År1,0,H37*(1-VLOOKUP($A38,[1]Hugst!$R$5:$W$9,MATCH(ROUNDUP((I$1)/10,0)*10,[1]Hugst!$R$4:$W$4,0))))</f>
        <v>0</v>
      </c>
      <c r="J38">
        <f ca="1">IF($C38-J$1&lt;År1,0,I37*(1-VLOOKUP($A38,[1]Hugst!$R$5:$W$9,MATCH(ROUNDUP((J$1)/10,0)*10,[1]Hugst!$R$4:$W$4,0))))</f>
        <v>0</v>
      </c>
      <c r="K38">
        <f ca="1">IF($C38-K$1&lt;År1,0,J37*(1-VLOOKUP($A38,[1]Hugst!$R$5:$W$9,MATCH(ROUNDUP((K$1)/10,0)*10,[1]Hugst!$R$4:$W$4,0))))</f>
        <v>0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0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>
        <f ca="1">IF($C39-G$1&lt;År1,0,F38*(1-VLOOKUP($A39,[1]Hugst!$R$5:$W$9,MATCH(ROUNDUP((G$1)/10,0)*10,[1]Hugst!$R$4:$W$4,0))))</f>
        <v>0</v>
      </c>
      <c r="H39">
        <f ca="1">IF($C39-H$1&lt;År1,0,G38*(1-VLOOKUP($A39,[1]Hugst!$R$5:$W$9,MATCH(ROUNDUP((H$1)/10,0)*10,[1]Hugst!$R$4:$W$4,0))))</f>
        <v>0</v>
      </c>
      <c r="I39">
        <f ca="1">IF($C39-I$1&lt;År1,0,H38*(1-VLOOKUP($A39,[1]Hugst!$R$5:$W$9,MATCH(ROUNDUP((I$1)/10,0)*10,[1]Hugst!$R$4:$W$4,0))))</f>
        <v>0</v>
      </c>
      <c r="J39">
        <f ca="1">IF($C39-J$1&lt;År1,0,I38*(1-VLOOKUP($A39,[1]Hugst!$R$5:$W$9,MATCH(ROUNDUP((J$1)/10,0)*10,[1]Hugst!$R$4:$W$4,0))))</f>
        <v>0</v>
      </c>
      <c r="K39">
        <f ca="1">IF($C39-K$1&lt;År1,0,J38*(1-VLOOKUP($A39,[1]Hugst!$R$5:$W$9,MATCH(ROUNDUP((K$1)/10,0)*10,[1]Hugst!$R$4:$W$4,0))))</f>
        <v>0</v>
      </c>
      <c r="L39">
        <f ca="1">IF($C39-L$1&lt;År1,0,K38*(1-VLOOKUP($A39,[1]Hugst!$R$5:$W$9,MATCH(ROUNDUP((L$1)/10,0)*10,[1]Hugst!$R$4:$W$4,0))))</f>
        <v>0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0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>
        <f ca="1">IF($C40-G$1&lt;År1,0,F39*(1-VLOOKUP($A40,[1]Hugst!$R$5:$W$9,MATCH(ROUNDUP((G$1)/10,0)*10,[1]Hugst!$R$4:$W$4,0))))</f>
        <v>0</v>
      </c>
      <c r="H40">
        <f ca="1">IF($C40-H$1&lt;År1,0,G39*(1-VLOOKUP($A40,[1]Hugst!$R$5:$W$9,MATCH(ROUNDUP((H$1)/10,0)*10,[1]Hugst!$R$4:$W$4,0))))</f>
        <v>0</v>
      </c>
      <c r="I40">
        <f ca="1">IF($C40-I$1&lt;År1,0,H39*(1-VLOOKUP($A40,[1]Hugst!$R$5:$W$9,MATCH(ROUNDUP((I$1)/10,0)*10,[1]Hugst!$R$4:$W$4,0))))</f>
        <v>0</v>
      </c>
      <c r="J40">
        <f ca="1">IF($C40-J$1&lt;År1,0,I39*(1-VLOOKUP($A40,[1]Hugst!$R$5:$W$9,MATCH(ROUNDUP((J$1)/10,0)*10,[1]Hugst!$R$4:$W$4,0))))</f>
        <v>0</v>
      </c>
      <c r="K40">
        <f ca="1">IF($C40-K$1&lt;År1,0,J39*(1-VLOOKUP($A40,[1]Hugst!$R$5:$W$9,MATCH(ROUNDUP((K$1)/10,0)*10,[1]Hugst!$R$4:$W$4,0))))</f>
        <v>0</v>
      </c>
      <c r="L40">
        <f ca="1">IF($C40-L$1&lt;År1,0,K39*(1-VLOOKUP($A40,[1]Hugst!$R$5:$W$9,MATCH(ROUNDUP((L$1)/10,0)*10,[1]Hugst!$R$4:$W$4,0))))</f>
        <v>0</v>
      </c>
      <c r="M40">
        <f ca="1">IF($C40-M$1&lt;År1,0,L39*(1-VLOOKUP($A40,[1]Hugst!$R$5:$W$9,MATCH(ROUNDUP((M$1)/10,0)*10,[1]Hugst!$R$4:$W$4,0))))</f>
        <v>0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0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>
        <f ca="1">IF($C41-G$1&lt;År1,0,F40*(1-VLOOKUP($A41,[1]Hugst!$R$5:$W$9,MATCH(ROUNDUP((G$1)/10,0)*10,[1]Hugst!$R$4:$W$4,0))))</f>
        <v>0</v>
      </c>
      <c r="H41">
        <f ca="1">IF($C41-H$1&lt;År1,0,G40*(1-VLOOKUP($A41,[1]Hugst!$R$5:$W$9,MATCH(ROUNDUP((H$1)/10,0)*10,[1]Hugst!$R$4:$W$4,0))))</f>
        <v>0</v>
      </c>
      <c r="I41">
        <f ca="1">IF($C41-I$1&lt;År1,0,H40*(1-VLOOKUP($A41,[1]Hugst!$R$5:$W$9,MATCH(ROUNDUP((I$1)/10,0)*10,[1]Hugst!$R$4:$W$4,0))))</f>
        <v>0</v>
      </c>
      <c r="J41">
        <f ca="1">IF($C41-J$1&lt;År1,0,I40*(1-VLOOKUP($A41,[1]Hugst!$R$5:$W$9,MATCH(ROUNDUP((J$1)/10,0)*10,[1]Hugst!$R$4:$W$4,0))))</f>
        <v>0</v>
      </c>
      <c r="K41">
        <f ca="1">IF($C41-K$1&lt;År1,0,J40*(1-VLOOKUP($A41,[1]Hugst!$R$5:$W$9,MATCH(ROUNDUP((K$1)/10,0)*10,[1]Hugst!$R$4:$W$4,0))))</f>
        <v>0</v>
      </c>
      <c r="L41">
        <f ca="1">IF($C41-L$1&lt;År1,0,K40*(1-VLOOKUP($A41,[1]Hugst!$R$5:$W$9,MATCH(ROUNDUP((L$1)/10,0)*10,[1]Hugst!$R$4:$W$4,0))))</f>
        <v>0</v>
      </c>
      <c r="M41">
        <f ca="1">IF($C41-M$1&lt;År1,0,L40*(1-VLOOKUP($A41,[1]Hugst!$R$5:$W$9,MATCH(ROUNDUP((M$1)/10,0)*10,[1]Hugst!$R$4:$W$4,0))))</f>
        <v>0</v>
      </c>
      <c r="N41">
        <f ca="1">IF($C41-N$1&lt;År1,0,M40*(1-VLOOKUP($A41,[1]Hugst!$R$5:$W$9,MATCH(ROUNDUP((N$1)/10,0)*10,[1]Hugst!$R$4:$W$4,0))))</f>
        <v>0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0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>
        <f ca="1">IF($C42-G$1&lt;År1,0,F41*(1-VLOOKUP($A42,[1]Hugst!$R$5:$W$9,MATCH(ROUNDUP((G$1)/10,0)*10,[1]Hugst!$R$4:$W$4,0))))</f>
        <v>0</v>
      </c>
      <c r="H42">
        <f ca="1">IF($C42-H$1&lt;År1,0,G41*(1-VLOOKUP($A42,[1]Hugst!$R$5:$W$9,MATCH(ROUNDUP((H$1)/10,0)*10,[1]Hugst!$R$4:$W$4,0))))</f>
        <v>0</v>
      </c>
      <c r="I42">
        <f ca="1">IF($C42-I$1&lt;År1,0,H41*(1-VLOOKUP($A42,[1]Hugst!$R$5:$W$9,MATCH(ROUNDUP((I$1)/10,0)*10,[1]Hugst!$R$4:$W$4,0))))</f>
        <v>0</v>
      </c>
      <c r="J42">
        <f ca="1">IF($C42-J$1&lt;År1,0,I41*(1-VLOOKUP($A42,[1]Hugst!$R$5:$W$9,MATCH(ROUNDUP((J$1)/10,0)*10,[1]Hugst!$R$4:$W$4,0))))</f>
        <v>0</v>
      </c>
      <c r="K42">
        <f ca="1">IF($C42-K$1&lt;År1,0,J41*(1-VLOOKUP($A42,[1]Hugst!$R$5:$W$9,MATCH(ROUNDUP((K$1)/10,0)*10,[1]Hugst!$R$4:$W$4,0))))</f>
        <v>0</v>
      </c>
      <c r="L42">
        <f ca="1">IF($C42-L$1&lt;År1,0,K41*(1-VLOOKUP($A42,[1]Hugst!$R$5:$W$9,MATCH(ROUNDUP((L$1)/10,0)*10,[1]Hugst!$R$4:$W$4,0))))</f>
        <v>0</v>
      </c>
      <c r="M42">
        <f ca="1">IF($C42-M$1&lt;År1,0,L41*(1-VLOOKUP($A42,[1]Hugst!$R$5:$W$9,MATCH(ROUNDUP((M$1)/10,0)*10,[1]Hugst!$R$4:$W$4,0))))</f>
        <v>0</v>
      </c>
      <c r="N42">
        <f ca="1">IF($C42-N$1&lt;År1,0,M41*(1-VLOOKUP($A42,[1]Hugst!$R$5:$W$9,MATCH(ROUNDUP((N$1)/10,0)*10,[1]Hugst!$R$4:$W$4,0))))</f>
        <v>0</v>
      </c>
      <c r="O42">
        <f ca="1">IF($C42-O$1&lt;År1,0,N41*(1-VLOOKUP($A42,[1]Hugst!$R$5:$W$9,MATCH(ROUNDUP((O$1)/10,0)*10,[1]Hugst!$R$4:$W$4,0))))</f>
        <v>0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0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>
        <f ca="1">IF($C43-G$1&lt;År1,0,F42*(1-VLOOKUP($A43,[1]Hugst!$R$5:$W$9,MATCH(ROUNDUP((G$1)/10,0)*10,[1]Hugst!$R$4:$W$4,0))))</f>
        <v>0</v>
      </c>
      <c r="H43">
        <f ca="1">IF($C43-H$1&lt;År1,0,G42*(1-VLOOKUP($A43,[1]Hugst!$R$5:$W$9,MATCH(ROUNDUP((H$1)/10,0)*10,[1]Hugst!$R$4:$W$4,0))))</f>
        <v>0</v>
      </c>
      <c r="I43">
        <f ca="1">IF($C43-I$1&lt;År1,0,H42*(1-VLOOKUP($A43,[1]Hugst!$R$5:$W$9,MATCH(ROUNDUP((I$1)/10,0)*10,[1]Hugst!$R$4:$W$4,0))))</f>
        <v>0</v>
      </c>
      <c r="J43">
        <f ca="1">IF($C43-J$1&lt;År1,0,I42*(1-VLOOKUP($A43,[1]Hugst!$R$5:$W$9,MATCH(ROUNDUP((J$1)/10,0)*10,[1]Hugst!$R$4:$W$4,0))))</f>
        <v>0</v>
      </c>
      <c r="K43">
        <f ca="1">IF($C43-K$1&lt;År1,0,J42*(1-VLOOKUP($A43,[1]Hugst!$R$5:$W$9,MATCH(ROUNDUP((K$1)/10,0)*10,[1]Hugst!$R$4:$W$4,0))))</f>
        <v>0</v>
      </c>
      <c r="L43">
        <f ca="1">IF($C43-L$1&lt;År1,0,K42*(1-VLOOKUP($A43,[1]Hugst!$R$5:$W$9,MATCH(ROUNDUP((L$1)/10,0)*10,[1]Hugst!$R$4:$W$4,0))))</f>
        <v>0</v>
      </c>
      <c r="M43">
        <f ca="1">IF($C43-M$1&lt;År1,0,L42*(1-VLOOKUP($A43,[1]Hugst!$R$5:$W$9,MATCH(ROUNDUP((M$1)/10,0)*10,[1]Hugst!$R$4:$W$4,0))))</f>
        <v>0</v>
      </c>
      <c r="N43">
        <f ca="1">IF($C43-N$1&lt;År1,0,M42*(1-VLOOKUP($A43,[1]Hugst!$R$5:$W$9,MATCH(ROUNDUP((N$1)/10,0)*10,[1]Hugst!$R$4:$W$4,0))))</f>
        <v>0</v>
      </c>
      <c r="O43">
        <f ca="1">IF($C43-O$1&lt;År1,0,N42*(1-VLOOKUP($A43,[1]Hugst!$R$5:$W$9,MATCH(ROUNDUP((O$1)/10,0)*10,[1]Hugst!$R$4:$W$4,0))))</f>
        <v>0</v>
      </c>
      <c r="P43">
        <f ca="1">IF($C43-P$1&lt;År1,0,O42*(1-VLOOKUP($A43,[1]Hugst!$R$5:$W$9,MATCH(ROUNDUP((P$1)/10,0)*10,[1]Hugst!$R$4:$W$4,0))))</f>
        <v>0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0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>
        <f ca="1">IF($C44-G$1&lt;År1,0,F43*(1-VLOOKUP($A44,[1]Hugst!$R$5:$W$9,MATCH(ROUNDUP((G$1)/10,0)*10,[1]Hugst!$R$4:$W$4,0))))</f>
        <v>0</v>
      </c>
      <c r="H44">
        <f ca="1">IF($C44-H$1&lt;År1,0,G43*(1-VLOOKUP($A44,[1]Hugst!$R$5:$W$9,MATCH(ROUNDUP((H$1)/10,0)*10,[1]Hugst!$R$4:$W$4,0))))</f>
        <v>0</v>
      </c>
      <c r="I44">
        <f ca="1">IF($C44-I$1&lt;År1,0,H43*(1-VLOOKUP($A44,[1]Hugst!$R$5:$W$9,MATCH(ROUNDUP((I$1)/10,0)*10,[1]Hugst!$R$4:$W$4,0))))</f>
        <v>0</v>
      </c>
      <c r="J44">
        <f ca="1">IF($C44-J$1&lt;År1,0,I43*(1-VLOOKUP($A44,[1]Hugst!$R$5:$W$9,MATCH(ROUNDUP((J$1)/10,0)*10,[1]Hugst!$R$4:$W$4,0))))</f>
        <v>0</v>
      </c>
      <c r="K44">
        <f ca="1">IF($C44-K$1&lt;År1,0,J43*(1-VLOOKUP($A44,[1]Hugst!$R$5:$W$9,MATCH(ROUNDUP((K$1)/10,0)*10,[1]Hugst!$R$4:$W$4,0))))</f>
        <v>0</v>
      </c>
      <c r="L44">
        <f ca="1">IF($C44-L$1&lt;År1,0,K43*(1-VLOOKUP($A44,[1]Hugst!$R$5:$W$9,MATCH(ROUNDUP((L$1)/10,0)*10,[1]Hugst!$R$4:$W$4,0))))</f>
        <v>0</v>
      </c>
      <c r="M44">
        <f ca="1">IF($C44-M$1&lt;År1,0,L43*(1-VLOOKUP($A44,[1]Hugst!$R$5:$W$9,MATCH(ROUNDUP((M$1)/10,0)*10,[1]Hugst!$R$4:$W$4,0))))</f>
        <v>0</v>
      </c>
      <c r="N44">
        <f ca="1">IF($C44-N$1&lt;År1,0,M43*(1-VLOOKUP($A44,[1]Hugst!$R$5:$W$9,MATCH(ROUNDUP((N$1)/10,0)*10,[1]Hugst!$R$4:$W$4,0))))</f>
        <v>0</v>
      </c>
      <c r="O44">
        <f ca="1">IF($C44-O$1&lt;År1,0,N43*(1-VLOOKUP($A44,[1]Hugst!$R$5:$W$9,MATCH(ROUNDUP((O$1)/10,0)*10,[1]Hugst!$R$4:$W$4,0))))</f>
        <v>0</v>
      </c>
      <c r="P44">
        <f ca="1">IF($C44-P$1&lt;År1,0,O43*(1-VLOOKUP($A44,[1]Hugst!$R$5:$W$9,MATCH(ROUNDUP((P$1)/10,0)*10,[1]Hugst!$R$4:$W$4,0))))</f>
        <v>0</v>
      </c>
      <c r="Q44">
        <f ca="1">IF($C44-Q$1&lt;År1,0,P43*(1-VLOOKUP($A44,[1]Hugst!$R$5:$W$9,MATCH(ROUNDUP((Q$1)/10,0)*10,[1]Hugst!$R$4:$W$4,0))))</f>
        <v>0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0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>
        <f ca="1">IF($C45-G$1&lt;År1,0,F44*(1-VLOOKUP($A45,[1]Hugst!$R$5:$W$9,MATCH(ROUNDUP((G$1)/10,0)*10,[1]Hugst!$R$4:$W$4,0))))</f>
        <v>0</v>
      </c>
      <c r="H45">
        <f ca="1">IF($C45-H$1&lt;År1,0,G44*(1-VLOOKUP($A45,[1]Hugst!$R$5:$W$9,MATCH(ROUNDUP((H$1)/10,0)*10,[1]Hugst!$R$4:$W$4,0))))</f>
        <v>0</v>
      </c>
      <c r="I45">
        <f ca="1">IF($C45-I$1&lt;År1,0,H44*(1-VLOOKUP($A45,[1]Hugst!$R$5:$W$9,MATCH(ROUNDUP((I$1)/10,0)*10,[1]Hugst!$R$4:$W$4,0))))</f>
        <v>0</v>
      </c>
      <c r="J45">
        <f ca="1">IF($C45-J$1&lt;År1,0,I44*(1-VLOOKUP($A45,[1]Hugst!$R$5:$W$9,MATCH(ROUNDUP((J$1)/10,0)*10,[1]Hugst!$R$4:$W$4,0))))</f>
        <v>0</v>
      </c>
      <c r="K45">
        <f ca="1">IF($C45-K$1&lt;År1,0,J44*(1-VLOOKUP($A45,[1]Hugst!$R$5:$W$9,MATCH(ROUNDUP((K$1)/10,0)*10,[1]Hugst!$R$4:$W$4,0))))</f>
        <v>0</v>
      </c>
      <c r="L45">
        <f ca="1">IF($C45-L$1&lt;År1,0,K44*(1-VLOOKUP($A45,[1]Hugst!$R$5:$W$9,MATCH(ROUNDUP((L$1)/10,0)*10,[1]Hugst!$R$4:$W$4,0))))</f>
        <v>0</v>
      </c>
      <c r="M45">
        <f ca="1">IF($C45-M$1&lt;År1,0,L44*(1-VLOOKUP($A45,[1]Hugst!$R$5:$W$9,MATCH(ROUNDUP((M$1)/10,0)*10,[1]Hugst!$R$4:$W$4,0))))</f>
        <v>0</v>
      </c>
      <c r="N45">
        <f ca="1">IF($C45-N$1&lt;År1,0,M44*(1-VLOOKUP($A45,[1]Hugst!$R$5:$W$9,MATCH(ROUNDUP((N$1)/10,0)*10,[1]Hugst!$R$4:$W$4,0))))</f>
        <v>0</v>
      </c>
      <c r="O45">
        <f ca="1">IF($C45-O$1&lt;År1,0,N44*(1-VLOOKUP($A45,[1]Hugst!$R$5:$W$9,MATCH(ROUNDUP((O$1)/10,0)*10,[1]Hugst!$R$4:$W$4,0))))</f>
        <v>0</v>
      </c>
      <c r="P45">
        <f ca="1">IF($C45-P$1&lt;År1,0,O44*(1-VLOOKUP($A45,[1]Hugst!$R$5:$W$9,MATCH(ROUNDUP((P$1)/10,0)*10,[1]Hugst!$R$4:$W$4,0))))</f>
        <v>0</v>
      </c>
      <c r="Q45">
        <f ca="1">IF($C45-Q$1&lt;År1,0,P44*(1-VLOOKUP($A45,[1]Hugst!$R$5:$W$9,MATCH(ROUNDUP((Q$1)/10,0)*10,[1]Hugst!$R$4:$W$4,0))))</f>
        <v>0</v>
      </c>
      <c r="R45">
        <f ca="1">IF($C45-R$1&lt;År1,0,Q44*(1-VLOOKUP($A45,[1]Hugst!$R$5:$W$9,MATCH(ROUNDUP((R$1)/10,0)*10,[1]Hugst!$R$4:$W$4,0))))</f>
        <v>0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0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>
        <f ca="1">IF($C46-G$1&lt;År1,0,F45*(1-VLOOKUP($A46,[1]Hugst!$R$5:$W$9,MATCH(ROUNDUP((G$1)/10,0)*10,[1]Hugst!$R$4:$W$4,0))))</f>
        <v>0</v>
      </c>
      <c r="H46">
        <f ca="1">IF($C46-H$1&lt;År1,0,G45*(1-VLOOKUP($A46,[1]Hugst!$R$5:$W$9,MATCH(ROUNDUP((H$1)/10,0)*10,[1]Hugst!$R$4:$W$4,0))))</f>
        <v>0</v>
      </c>
      <c r="I46">
        <f ca="1">IF($C46-I$1&lt;År1,0,H45*(1-VLOOKUP($A46,[1]Hugst!$R$5:$W$9,MATCH(ROUNDUP((I$1)/10,0)*10,[1]Hugst!$R$4:$W$4,0))))</f>
        <v>0</v>
      </c>
      <c r="J46">
        <f ca="1">IF($C46-J$1&lt;År1,0,I45*(1-VLOOKUP($A46,[1]Hugst!$R$5:$W$9,MATCH(ROUNDUP((J$1)/10,0)*10,[1]Hugst!$R$4:$W$4,0))))</f>
        <v>0</v>
      </c>
      <c r="K46">
        <f ca="1">IF($C46-K$1&lt;År1,0,J45*(1-VLOOKUP($A46,[1]Hugst!$R$5:$W$9,MATCH(ROUNDUP((K$1)/10,0)*10,[1]Hugst!$R$4:$W$4,0))))</f>
        <v>0</v>
      </c>
      <c r="L46">
        <f ca="1">IF($C46-L$1&lt;År1,0,K45*(1-VLOOKUP($A46,[1]Hugst!$R$5:$W$9,MATCH(ROUNDUP((L$1)/10,0)*10,[1]Hugst!$R$4:$W$4,0))))</f>
        <v>0</v>
      </c>
      <c r="M46">
        <f ca="1">IF($C46-M$1&lt;År1,0,L45*(1-VLOOKUP($A46,[1]Hugst!$R$5:$W$9,MATCH(ROUNDUP((M$1)/10,0)*10,[1]Hugst!$R$4:$W$4,0))))</f>
        <v>0</v>
      </c>
      <c r="N46">
        <f ca="1">IF($C46-N$1&lt;År1,0,M45*(1-VLOOKUP($A46,[1]Hugst!$R$5:$W$9,MATCH(ROUNDUP((N$1)/10,0)*10,[1]Hugst!$R$4:$W$4,0))))</f>
        <v>0</v>
      </c>
      <c r="O46">
        <f ca="1">IF($C46-O$1&lt;År1,0,N45*(1-VLOOKUP($A46,[1]Hugst!$R$5:$W$9,MATCH(ROUNDUP((O$1)/10,0)*10,[1]Hugst!$R$4:$W$4,0))))</f>
        <v>0</v>
      </c>
      <c r="P46">
        <f ca="1">IF($C46-P$1&lt;År1,0,O45*(1-VLOOKUP($A46,[1]Hugst!$R$5:$W$9,MATCH(ROUNDUP((P$1)/10,0)*10,[1]Hugst!$R$4:$W$4,0))))</f>
        <v>0</v>
      </c>
      <c r="Q46">
        <f ca="1">IF($C46-Q$1&lt;År1,0,P45*(1-VLOOKUP($A46,[1]Hugst!$R$5:$W$9,MATCH(ROUNDUP((Q$1)/10,0)*10,[1]Hugst!$R$4:$W$4,0))))</f>
        <v>0</v>
      </c>
      <c r="R46">
        <f ca="1">IF($C46-R$1&lt;År1,0,Q45*(1-VLOOKUP($A46,[1]Hugst!$R$5:$W$9,MATCH(ROUNDUP((R$1)/10,0)*10,[1]Hugst!$R$4:$W$4,0))))</f>
        <v>0</v>
      </c>
      <c r="S46">
        <f ca="1">IF($C46-S$1&lt;År1,0,R45*(1-VLOOKUP($A46,[1]Hugst!$R$5:$W$9,MATCH(ROUNDUP((S$1)/10,0)*10,[1]Hugst!$R$4:$W$4,0))))</f>
        <v>0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0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>
        <f ca="1">IF($C47-G$1&lt;År1,0,F46*(1-VLOOKUP($A47,[1]Hugst!$R$5:$W$9,MATCH(ROUNDUP((G$1)/10,0)*10,[1]Hugst!$R$4:$W$4,0))))</f>
        <v>0</v>
      </c>
      <c r="H47">
        <f ca="1">IF($C47-H$1&lt;År1,0,G46*(1-VLOOKUP($A47,[1]Hugst!$R$5:$W$9,MATCH(ROUNDUP((H$1)/10,0)*10,[1]Hugst!$R$4:$W$4,0))))</f>
        <v>0</v>
      </c>
      <c r="I47">
        <f ca="1">IF($C47-I$1&lt;År1,0,H46*(1-VLOOKUP($A47,[1]Hugst!$R$5:$W$9,MATCH(ROUNDUP((I$1)/10,0)*10,[1]Hugst!$R$4:$W$4,0))))</f>
        <v>0</v>
      </c>
      <c r="J47">
        <f ca="1">IF($C47-J$1&lt;År1,0,I46*(1-VLOOKUP($A47,[1]Hugst!$R$5:$W$9,MATCH(ROUNDUP((J$1)/10,0)*10,[1]Hugst!$R$4:$W$4,0))))</f>
        <v>0</v>
      </c>
      <c r="K47">
        <f ca="1">IF($C47-K$1&lt;År1,0,J46*(1-VLOOKUP($A47,[1]Hugst!$R$5:$W$9,MATCH(ROUNDUP((K$1)/10,0)*10,[1]Hugst!$R$4:$W$4,0))))</f>
        <v>0</v>
      </c>
      <c r="L47">
        <f ca="1">IF($C47-L$1&lt;År1,0,K46*(1-VLOOKUP($A47,[1]Hugst!$R$5:$W$9,MATCH(ROUNDUP((L$1)/10,0)*10,[1]Hugst!$R$4:$W$4,0))))</f>
        <v>0</v>
      </c>
      <c r="M47">
        <f ca="1">IF($C47-M$1&lt;År1,0,L46*(1-VLOOKUP($A47,[1]Hugst!$R$5:$W$9,MATCH(ROUNDUP((M$1)/10,0)*10,[1]Hugst!$R$4:$W$4,0))))</f>
        <v>0</v>
      </c>
      <c r="N47">
        <f ca="1">IF($C47-N$1&lt;År1,0,M46*(1-VLOOKUP($A47,[1]Hugst!$R$5:$W$9,MATCH(ROUNDUP((N$1)/10,0)*10,[1]Hugst!$R$4:$W$4,0))))</f>
        <v>0</v>
      </c>
      <c r="O47">
        <f ca="1">IF($C47-O$1&lt;År1,0,N46*(1-VLOOKUP($A47,[1]Hugst!$R$5:$W$9,MATCH(ROUNDUP((O$1)/10,0)*10,[1]Hugst!$R$4:$W$4,0))))</f>
        <v>0</v>
      </c>
      <c r="P47">
        <f ca="1">IF($C47-P$1&lt;År1,0,O46*(1-VLOOKUP($A47,[1]Hugst!$R$5:$W$9,MATCH(ROUNDUP((P$1)/10,0)*10,[1]Hugst!$R$4:$W$4,0))))</f>
        <v>0</v>
      </c>
      <c r="Q47">
        <f ca="1">IF($C47-Q$1&lt;År1,0,P46*(1-VLOOKUP($A47,[1]Hugst!$R$5:$W$9,MATCH(ROUNDUP((Q$1)/10,0)*10,[1]Hugst!$R$4:$W$4,0))))</f>
        <v>0</v>
      </c>
      <c r="R47">
        <f ca="1">IF($C47-R$1&lt;År1,0,Q46*(1-VLOOKUP($A47,[1]Hugst!$R$5:$W$9,MATCH(ROUNDUP((R$1)/10,0)*10,[1]Hugst!$R$4:$W$4,0))))</f>
        <v>0</v>
      </c>
      <c r="S47">
        <f ca="1">IF($C47-S$1&lt;År1,0,R46*(1-VLOOKUP($A47,[1]Hugst!$R$5:$W$9,MATCH(ROUNDUP((S$1)/10,0)*10,[1]Hugst!$R$4:$W$4,0))))</f>
        <v>0</v>
      </c>
      <c r="T47">
        <f ca="1">IF($C47-T$1&lt;År1,0,S46*(1-VLOOKUP($A47,[1]Hugst!$R$5:$W$9,MATCH(ROUNDUP((T$1)/10,0)*10,[1]Hugst!$R$4:$W$4,0))))</f>
        <v>0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0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>
        <f ca="1">IF($C48-G$1&lt;År1,0,F47*(1-VLOOKUP($A48,[1]Hugst!$R$5:$W$9,MATCH(ROUNDUP((G$1)/10,0)*10,[1]Hugst!$R$4:$W$4,0))))</f>
        <v>0</v>
      </c>
      <c r="H48">
        <f ca="1">IF($C48-H$1&lt;År1,0,G47*(1-VLOOKUP($A48,[1]Hugst!$R$5:$W$9,MATCH(ROUNDUP((H$1)/10,0)*10,[1]Hugst!$R$4:$W$4,0))))</f>
        <v>0</v>
      </c>
      <c r="I48">
        <f ca="1">IF($C48-I$1&lt;År1,0,H47*(1-VLOOKUP($A48,[1]Hugst!$R$5:$W$9,MATCH(ROUNDUP((I$1)/10,0)*10,[1]Hugst!$R$4:$W$4,0))))</f>
        <v>0</v>
      </c>
      <c r="J48">
        <f ca="1">IF($C48-J$1&lt;År1,0,I47*(1-VLOOKUP($A48,[1]Hugst!$R$5:$W$9,MATCH(ROUNDUP((J$1)/10,0)*10,[1]Hugst!$R$4:$W$4,0))))</f>
        <v>0</v>
      </c>
      <c r="K48">
        <f ca="1">IF($C48-K$1&lt;År1,0,J47*(1-VLOOKUP($A48,[1]Hugst!$R$5:$W$9,MATCH(ROUNDUP((K$1)/10,0)*10,[1]Hugst!$R$4:$W$4,0))))</f>
        <v>0</v>
      </c>
      <c r="L48">
        <f ca="1">IF($C48-L$1&lt;År1,0,K47*(1-VLOOKUP($A48,[1]Hugst!$R$5:$W$9,MATCH(ROUNDUP((L$1)/10,0)*10,[1]Hugst!$R$4:$W$4,0))))</f>
        <v>0</v>
      </c>
      <c r="M48">
        <f ca="1">IF($C48-M$1&lt;År1,0,L47*(1-VLOOKUP($A48,[1]Hugst!$R$5:$W$9,MATCH(ROUNDUP((M$1)/10,0)*10,[1]Hugst!$R$4:$W$4,0))))</f>
        <v>0</v>
      </c>
      <c r="N48">
        <f ca="1">IF($C48-N$1&lt;År1,0,M47*(1-VLOOKUP($A48,[1]Hugst!$R$5:$W$9,MATCH(ROUNDUP((N$1)/10,0)*10,[1]Hugst!$R$4:$W$4,0))))</f>
        <v>0</v>
      </c>
      <c r="O48">
        <f ca="1">IF($C48-O$1&lt;År1,0,N47*(1-VLOOKUP($A48,[1]Hugst!$R$5:$W$9,MATCH(ROUNDUP((O$1)/10,0)*10,[1]Hugst!$R$4:$W$4,0))))</f>
        <v>0</v>
      </c>
      <c r="P48">
        <f ca="1">IF($C48-P$1&lt;År1,0,O47*(1-VLOOKUP($A48,[1]Hugst!$R$5:$W$9,MATCH(ROUNDUP((P$1)/10,0)*10,[1]Hugst!$R$4:$W$4,0))))</f>
        <v>0</v>
      </c>
      <c r="Q48">
        <f ca="1">IF($C48-Q$1&lt;År1,0,P47*(1-VLOOKUP($A48,[1]Hugst!$R$5:$W$9,MATCH(ROUNDUP((Q$1)/10,0)*10,[1]Hugst!$R$4:$W$4,0))))</f>
        <v>0</v>
      </c>
      <c r="R48">
        <f ca="1">IF($C48-R$1&lt;År1,0,Q47*(1-VLOOKUP($A48,[1]Hugst!$R$5:$W$9,MATCH(ROUNDUP((R$1)/10,0)*10,[1]Hugst!$R$4:$W$4,0))))</f>
        <v>0</v>
      </c>
      <c r="S48">
        <f ca="1">IF($C48-S$1&lt;År1,0,R47*(1-VLOOKUP($A48,[1]Hugst!$R$5:$W$9,MATCH(ROUNDUP((S$1)/10,0)*10,[1]Hugst!$R$4:$W$4,0))))</f>
        <v>0</v>
      </c>
      <c r="T48">
        <f ca="1">IF($C48-T$1&lt;År1,0,S47*(1-VLOOKUP($A48,[1]Hugst!$R$5:$W$9,MATCH(ROUNDUP((T$1)/10,0)*10,[1]Hugst!$R$4:$W$4,0))))</f>
        <v>0</v>
      </c>
      <c r="U48">
        <f ca="1">IF($C48-U$1&lt;År1,0,T47*(1-VLOOKUP($A48,[1]Hugst!$R$5:$W$9,MATCH(ROUNDUP((U$1)/10,0)*10,[1]Hugst!$R$4:$W$4,0))))</f>
        <v>0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0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>
        <f ca="1">IF($C49-G$1&lt;År1,0,F48*(1-VLOOKUP($A49,[1]Hugst!$R$5:$W$9,MATCH(ROUNDUP((G$1)/10,0)*10,[1]Hugst!$R$4:$W$4,0))))</f>
        <v>0</v>
      </c>
      <c r="H49">
        <f ca="1">IF($C49-H$1&lt;År1,0,G48*(1-VLOOKUP($A49,[1]Hugst!$R$5:$W$9,MATCH(ROUNDUP((H$1)/10,0)*10,[1]Hugst!$R$4:$W$4,0))))</f>
        <v>0</v>
      </c>
      <c r="I49">
        <f ca="1">IF($C49-I$1&lt;År1,0,H48*(1-VLOOKUP($A49,[1]Hugst!$R$5:$W$9,MATCH(ROUNDUP((I$1)/10,0)*10,[1]Hugst!$R$4:$W$4,0))))</f>
        <v>0</v>
      </c>
      <c r="J49">
        <f ca="1">IF($C49-J$1&lt;År1,0,I48*(1-VLOOKUP($A49,[1]Hugst!$R$5:$W$9,MATCH(ROUNDUP((J$1)/10,0)*10,[1]Hugst!$R$4:$W$4,0))))</f>
        <v>0</v>
      </c>
      <c r="K49">
        <f ca="1">IF($C49-K$1&lt;År1,0,J48*(1-VLOOKUP($A49,[1]Hugst!$R$5:$W$9,MATCH(ROUNDUP((K$1)/10,0)*10,[1]Hugst!$R$4:$W$4,0))))</f>
        <v>0</v>
      </c>
      <c r="L49">
        <f ca="1">IF($C49-L$1&lt;År1,0,K48*(1-VLOOKUP($A49,[1]Hugst!$R$5:$W$9,MATCH(ROUNDUP((L$1)/10,0)*10,[1]Hugst!$R$4:$W$4,0))))</f>
        <v>0</v>
      </c>
      <c r="M49">
        <f ca="1">IF($C49-M$1&lt;År1,0,L48*(1-VLOOKUP($A49,[1]Hugst!$R$5:$W$9,MATCH(ROUNDUP((M$1)/10,0)*10,[1]Hugst!$R$4:$W$4,0))))</f>
        <v>0</v>
      </c>
      <c r="N49">
        <f ca="1">IF($C49-N$1&lt;År1,0,M48*(1-VLOOKUP($A49,[1]Hugst!$R$5:$W$9,MATCH(ROUNDUP((N$1)/10,0)*10,[1]Hugst!$R$4:$W$4,0))))</f>
        <v>0</v>
      </c>
      <c r="O49">
        <f ca="1">IF($C49-O$1&lt;År1,0,N48*(1-VLOOKUP($A49,[1]Hugst!$R$5:$W$9,MATCH(ROUNDUP((O$1)/10,0)*10,[1]Hugst!$R$4:$W$4,0))))</f>
        <v>0</v>
      </c>
      <c r="P49">
        <f ca="1">IF($C49-P$1&lt;År1,0,O48*(1-VLOOKUP($A49,[1]Hugst!$R$5:$W$9,MATCH(ROUNDUP((P$1)/10,0)*10,[1]Hugst!$R$4:$W$4,0))))</f>
        <v>0</v>
      </c>
      <c r="Q49">
        <f ca="1">IF($C49-Q$1&lt;År1,0,P48*(1-VLOOKUP($A49,[1]Hugst!$R$5:$W$9,MATCH(ROUNDUP((Q$1)/10,0)*10,[1]Hugst!$R$4:$W$4,0))))</f>
        <v>0</v>
      </c>
      <c r="R49">
        <f ca="1">IF($C49-R$1&lt;År1,0,Q48*(1-VLOOKUP($A49,[1]Hugst!$R$5:$W$9,MATCH(ROUNDUP((R$1)/10,0)*10,[1]Hugst!$R$4:$W$4,0))))</f>
        <v>0</v>
      </c>
      <c r="S49">
        <f ca="1">IF($C49-S$1&lt;År1,0,R48*(1-VLOOKUP($A49,[1]Hugst!$R$5:$W$9,MATCH(ROUNDUP((S$1)/10,0)*10,[1]Hugst!$R$4:$W$4,0))))</f>
        <v>0</v>
      </c>
      <c r="T49">
        <f ca="1">IF($C49-T$1&lt;År1,0,S48*(1-VLOOKUP($A49,[1]Hugst!$R$5:$W$9,MATCH(ROUNDUP((T$1)/10,0)*10,[1]Hugst!$R$4:$W$4,0))))</f>
        <v>0</v>
      </c>
      <c r="U49">
        <f ca="1">IF($C49-U$1&lt;År1,0,T48*(1-VLOOKUP($A49,[1]Hugst!$R$5:$W$9,MATCH(ROUNDUP((U$1)/10,0)*10,[1]Hugst!$R$4:$W$4,0))))</f>
        <v>0</v>
      </c>
      <c r="V49">
        <f ca="1">IF($C49-V$1&lt;År1,0,U48*(1-VLOOKUP($A49,[1]Hugst!$R$5:$W$9,MATCH(ROUNDUP((V$1)/10,0)*10,[1]Hugst!$R$4:$W$4,0))))</f>
        <v>0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0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>
        <f ca="1">IF($C50-G$1&lt;År1,0,F49*(1-VLOOKUP($A50,[1]Hugst!$R$5:$W$9,MATCH(ROUNDUP((G$1)/10,0)*10,[1]Hugst!$R$4:$W$4,0))))</f>
        <v>0</v>
      </c>
      <c r="H50">
        <f ca="1">IF($C50-H$1&lt;År1,0,G49*(1-VLOOKUP($A50,[1]Hugst!$R$5:$W$9,MATCH(ROUNDUP((H$1)/10,0)*10,[1]Hugst!$R$4:$W$4,0))))</f>
        <v>0</v>
      </c>
      <c r="I50">
        <f ca="1">IF($C50-I$1&lt;År1,0,H49*(1-VLOOKUP($A50,[1]Hugst!$R$5:$W$9,MATCH(ROUNDUP((I$1)/10,0)*10,[1]Hugst!$R$4:$W$4,0))))</f>
        <v>0</v>
      </c>
      <c r="J50">
        <f ca="1">IF($C50-J$1&lt;År1,0,I49*(1-VLOOKUP($A50,[1]Hugst!$R$5:$W$9,MATCH(ROUNDUP((J$1)/10,0)*10,[1]Hugst!$R$4:$W$4,0))))</f>
        <v>0</v>
      </c>
      <c r="K50">
        <f ca="1">IF($C50-K$1&lt;År1,0,J49*(1-VLOOKUP($A50,[1]Hugst!$R$5:$W$9,MATCH(ROUNDUP((K$1)/10,0)*10,[1]Hugst!$R$4:$W$4,0))))</f>
        <v>0</v>
      </c>
      <c r="L50">
        <f ca="1">IF($C50-L$1&lt;År1,0,K49*(1-VLOOKUP($A50,[1]Hugst!$R$5:$W$9,MATCH(ROUNDUP((L$1)/10,0)*10,[1]Hugst!$R$4:$W$4,0))))</f>
        <v>0</v>
      </c>
      <c r="M50">
        <f ca="1">IF($C50-M$1&lt;År1,0,L49*(1-VLOOKUP($A50,[1]Hugst!$R$5:$W$9,MATCH(ROUNDUP((M$1)/10,0)*10,[1]Hugst!$R$4:$W$4,0))))</f>
        <v>0</v>
      </c>
      <c r="N50">
        <f ca="1">IF($C50-N$1&lt;År1,0,M49*(1-VLOOKUP($A50,[1]Hugst!$R$5:$W$9,MATCH(ROUNDUP((N$1)/10,0)*10,[1]Hugst!$R$4:$W$4,0))))</f>
        <v>0</v>
      </c>
      <c r="O50">
        <f ca="1">IF($C50-O$1&lt;År1,0,N49*(1-VLOOKUP($A50,[1]Hugst!$R$5:$W$9,MATCH(ROUNDUP((O$1)/10,0)*10,[1]Hugst!$R$4:$W$4,0))))</f>
        <v>0</v>
      </c>
      <c r="P50">
        <f ca="1">IF($C50-P$1&lt;År1,0,O49*(1-VLOOKUP($A50,[1]Hugst!$R$5:$W$9,MATCH(ROUNDUP((P$1)/10,0)*10,[1]Hugst!$R$4:$W$4,0))))</f>
        <v>0</v>
      </c>
      <c r="Q50">
        <f ca="1">IF($C50-Q$1&lt;År1,0,P49*(1-VLOOKUP($A50,[1]Hugst!$R$5:$W$9,MATCH(ROUNDUP((Q$1)/10,0)*10,[1]Hugst!$R$4:$W$4,0))))</f>
        <v>0</v>
      </c>
      <c r="R50">
        <f ca="1">IF($C50-R$1&lt;År1,0,Q49*(1-VLOOKUP($A50,[1]Hugst!$R$5:$W$9,MATCH(ROUNDUP((R$1)/10,0)*10,[1]Hugst!$R$4:$W$4,0))))</f>
        <v>0</v>
      </c>
      <c r="S50">
        <f ca="1">IF($C50-S$1&lt;År1,0,R49*(1-VLOOKUP($A50,[1]Hugst!$R$5:$W$9,MATCH(ROUNDUP((S$1)/10,0)*10,[1]Hugst!$R$4:$W$4,0))))</f>
        <v>0</v>
      </c>
      <c r="T50">
        <f ca="1">IF($C50-T$1&lt;År1,0,S49*(1-VLOOKUP($A50,[1]Hugst!$R$5:$W$9,MATCH(ROUNDUP((T$1)/10,0)*10,[1]Hugst!$R$4:$W$4,0))))</f>
        <v>0</v>
      </c>
      <c r="U50">
        <f ca="1">IF($C50-U$1&lt;År1,0,T49*(1-VLOOKUP($A50,[1]Hugst!$R$5:$W$9,MATCH(ROUNDUP((U$1)/10,0)*10,[1]Hugst!$R$4:$W$4,0))))</f>
        <v>0</v>
      </c>
      <c r="V50">
        <f ca="1">IF($C50-V$1&lt;År1,0,U49*(1-VLOOKUP($A50,[1]Hugst!$R$5:$W$9,MATCH(ROUNDUP((V$1)/10,0)*10,[1]Hugst!$R$4:$W$4,0))))</f>
        <v>0</v>
      </c>
      <c r="W50">
        <f ca="1">IF($C50-W$1&lt;År1,0,V49*(1-VLOOKUP($A50,[1]Hugst!$R$5:$W$9,MATCH(ROUNDUP((W$1)/10,0)*10,[1]Hugst!$R$4:$W$4,0))))</f>
        <v>0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0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>
        <f ca="1">IF($C51-G$1&lt;År1,0,F50*(1-VLOOKUP($A51,[1]Hugst!$R$5:$W$9,MATCH(ROUNDUP((G$1)/10,0)*10,[1]Hugst!$R$4:$W$4,0))))</f>
        <v>0</v>
      </c>
      <c r="H51">
        <f ca="1">IF($C51-H$1&lt;År1,0,G50*(1-VLOOKUP($A51,[1]Hugst!$R$5:$W$9,MATCH(ROUNDUP((H$1)/10,0)*10,[1]Hugst!$R$4:$W$4,0))))</f>
        <v>0</v>
      </c>
      <c r="I51">
        <f ca="1">IF($C51-I$1&lt;År1,0,H50*(1-VLOOKUP($A51,[1]Hugst!$R$5:$W$9,MATCH(ROUNDUP((I$1)/10,0)*10,[1]Hugst!$R$4:$W$4,0))))</f>
        <v>0</v>
      </c>
      <c r="J51">
        <f ca="1">IF($C51-J$1&lt;År1,0,I50*(1-VLOOKUP($A51,[1]Hugst!$R$5:$W$9,MATCH(ROUNDUP((J$1)/10,0)*10,[1]Hugst!$R$4:$W$4,0))))</f>
        <v>0</v>
      </c>
      <c r="K51">
        <f ca="1">IF($C51-K$1&lt;År1,0,J50*(1-VLOOKUP($A51,[1]Hugst!$R$5:$W$9,MATCH(ROUNDUP((K$1)/10,0)*10,[1]Hugst!$R$4:$W$4,0))))</f>
        <v>0</v>
      </c>
      <c r="L51">
        <f ca="1">IF($C51-L$1&lt;År1,0,K50*(1-VLOOKUP($A51,[1]Hugst!$R$5:$W$9,MATCH(ROUNDUP((L$1)/10,0)*10,[1]Hugst!$R$4:$W$4,0))))</f>
        <v>0</v>
      </c>
      <c r="M51">
        <f ca="1">IF($C51-M$1&lt;År1,0,L50*(1-VLOOKUP($A51,[1]Hugst!$R$5:$W$9,MATCH(ROUNDUP((M$1)/10,0)*10,[1]Hugst!$R$4:$W$4,0))))</f>
        <v>0</v>
      </c>
      <c r="N51">
        <f ca="1">IF($C51-N$1&lt;År1,0,M50*(1-VLOOKUP($A51,[1]Hugst!$R$5:$W$9,MATCH(ROUNDUP((N$1)/10,0)*10,[1]Hugst!$R$4:$W$4,0))))</f>
        <v>0</v>
      </c>
      <c r="O51">
        <f ca="1">IF($C51-O$1&lt;År1,0,N50*(1-VLOOKUP($A51,[1]Hugst!$R$5:$W$9,MATCH(ROUNDUP((O$1)/10,0)*10,[1]Hugst!$R$4:$W$4,0))))</f>
        <v>0</v>
      </c>
      <c r="P51">
        <f ca="1">IF($C51-P$1&lt;År1,0,O50*(1-VLOOKUP($A51,[1]Hugst!$R$5:$W$9,MATCH(ROUNDUP((P$1)/10,0)*10,[1]Hugst!$R$4:$W$4,0))))</f>
        <v>0</v>
      </c>
      <c r="Q51">
        <f ca="1">IF($C51-Q$1&lt;År1,0,P50*(1-VLOOKUP($A51,[1]Hugst!$R$5:$W$9,MATCH(ROUNDUP((Q$1)/10,0)*10,[1]Hugst!$R$4:$W$4,0))))</f>
        <v>0</v>
      </c>
      <c r="R51">
        <f ca="1">IF($C51-R$1&lt;År1,0,Q50*(1-VLOOKUP($A51,[1]Hugst!$R$5:$W$9,MATCH(ROUNDUP((R$1)/10,0)*10,[1]Hugst!$R$4:$W$4,0))))</f>
        <v>0</v>
      </c>
      <c r="S51">
        <f ca="1">IF($C51-S$1&lt;År1,0,R50*(1-VLOOKUP($A51,[1]Hugst!$R$5:$W$9,MATCH(ROUNDUP((S$1)/10,0)*10,[1]Hugst!$R$4:$W$4,0))))</f>
        <v>0</v>
      </c>
      <c r="T51">
        <f ca="1">IF($C51-T$1&lt;År1,0,S50*(1-VLOOKUP($A51,[1]Hugst!$R$5:$W$9,MATCH(ROUNDUP((T$1)/10,0)*10,[1]Hugst!$R$4:$W$4,0))))</f>
        <v>0</v>
      </c>
      <c r="U51">
        <f ca="1">IF($C51-U$1&lt;År1,0,T50*(1-VLOOKUP($A51,[1]Hugst!$R$5:$W$9,MATCH(ROUNDUP((U$1)/10,0)*10,[1]Hugst!$R$4:$W$4,0))))</f>
        <v>0</v>
      </c>
      <c r="V51">
        <f ca="1">IF($C51-V$1&lt;År1,0,U50*(1-VLOOKUP($A51,[1]Hugst!$R$5:$W$9,MATCH(ROUNDUP((V$1)/10,0)*10,[1]Hugst!$R$4:$W$4,0))))</f>
        <v>0</v>
      </c>
      <c r="W51">
        <f ca="1">IF($C51-W$1&lt;År1,0,V50*(1-VLOOKUP($A51,[1]Hugst!$R$5:$W$9,MATCH(ROUNDUP((W$1)/10,0)*10,[1]Hugst!$R$4:$W$4,0))))</f>
        <v>0</v>
      </c>
      <c r="X51">
        <f ca="1">IF($C51-X$1&lt;År1,0,W50*(1-VLOOKUP($A51,[1]Hugst!$R$5:$W$9,MATCH(ROUNDUP((X$1)/10,0)*10,[1]Hugst!$R$4:$W$4,0))))</f>
        <v>0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0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>
        <f ca="1">IF($C52-G$1&lt;År1,0,F51*(1-VLOOKUP($A52,[1]Hugst!$R$5:$W$9,MATCH(ROUNDUP((G$1)/10,0)*10,[1]Hugst!$R$4:$W$4,0))))</f>
        <v>0</v>
      </c>
      <c r="H52">
        <f ca="1">IF($C52-H$1&lt;År1,0,G51*(1-VLOOKUP($A52,[1]Hugst!$R$5:$W$9,MATCH(ROUNDUP((H$1)/10,0)*10,[1]Hugst!$R$4:$W$4,0))))</f>
        <v>0</v>
      </c>
      <c r="I52">
        <f ca="1">IF($C52-I$1&lt;År1,0,H51*(1-VLOOKUP($A52,[1]Hugst!$R$5:$W$9,MATCH(ROUNDUP((I$1)/10,0)*10,[1]Hugst!$R$4:$W$4,0))))</f>
        <v>0</v>
      </c>
      <c r="J52">
        <f ca="1">IF($C52-J$1&lt;År1,0,I51*(1-VLOOKUP($A52,[1]Hugst!$R$5:$W$9,MATCH(ROUNDUP((J$1)/10,0)*10,[1]Hugst!$R$4:$W$4,0))))</f>
        <v>0</v>
      </c>
      <c r="K52">
        <f ca="1">IF($C52-K$1&lt;År1,0,J51*(1-VLOOKUP($A52,[1]Hugst!$R$5:$W$9,MATCH(ROUNDUP((K$1)/10,0)*10,[1]Hugst!$R$4:$W$4,0))))</f>
        <v>0</v>
      </c>
      <c r="L52">
        <f ca="1">IF($C52-L$1&lt;År1,0,K51*(1-VLOOKUP($A52,[1]Hugst!$R$5:$W$9,MATCH(ROUNDUP((L$1)/10,0)*10,[1]Hugst!$R$4:$W$4,0))))</f>
        <v>0</v>
      </c>
      <c r="M52">
        <f ca="1">IF($C52-M$1&lt;År1,0,L51*(1-VLOOKUP($A52,[1]Hugst!$R$5:$W$9,MATCH(ROUNDUP((M$1)/10,0)*10,[1]Hugst!$R$4:$W$4,0))))</f>
        <v>0</v>
      </c>
      <c r="N52">
        <f ca="1">IF($C52-N$1&lt;År1,0,M51*(1-VLOOKUP($A52,[1]Hugst!$R$5:$W$9,MATCH(ROUNDUP((N$1)/10,0)*10,[1]Hugst!$R$4:$W$4,0))))</f>
        <v>0</v>
      </c>
      <c r="O52">
        <f ca="1">IF($C52-O$1&lt;År1,0,N51*(1-VLOOKUP($A52,[1]Hugst!$R$5:$W$9,MATCH(ROUNDUP((O$1)/10,0)*10,[1]Hugst!$R$4:$W$4,0))))</f>
        <v>0</v>
      </c>
      <c r="P52">
        <f ca="1">IF($C52-P$1&lt;År1,0,O51*(1-VLOOKUP($A52,[1]Hugst!$R$5:$W$9,MATCH(ROUNDUP((P$1)/10,0)*10,[1]Hugst!$R$4:$W$4,0))))</f>
        <v>0</v>
      </c>
      <c r="Q52">
        <f ca="1">IF($C52-Q$1&lt;År1,0,P51*(1-VLOOKUP($A52,[1]Hugst!$R$5:$W$9,MATCH(ROUNDUP((Q$1)/10,0)*10,[1]Hugst!$R$4:$W$4,0))))</f>
        <v>0</v>
      </c>
      <c r="R52">
        <f ca="1">IF($C52-R$1&lt;År1,0,Q51*(1-VLOOKUP($A52,[1]Hugst!$R$5:$W$9,MATCH(ROUNDUP((R$1)/10,0)*10,[1]Hugst!$R$4:$W$4,0))))</f>
        <v>0</v>
      </c>
      <c r="S52">
        <f ca="1">IF($C52-S$1&lt;År1,0,R51*(1-VLOOKUP($A52,[1]Hugst!$R$5:$W$9,MATCH(ROUNDUP((S$1)/10,0)*10,[1]Hugst!$R$4:$W$4,0))))</f>
        <v>0</v>
      </c>
      <c r="T52">
        <f ca="1">IF($C52-T$1&lt;År1,0,S51*(1-VLOOKUP($A52,[1]Hugst!$R$5:$W$9,MATCH(ROUNDUP((T$1)/10,0)*10,[1]Hugst!$R$4:$W$4,0))))</f>
        <v>0</v>
      </c>
      <c r="U52">
        <f ca="1">IF($C52-U$1&lt;År1,0,T51*(1-VLOOKUP($A52,[1]Hugst!$R$5:$W$9,MATCH(ROUNDUP((U$1)/10,0)*10,[1]Hugst!$R$4:$W$4,0))))</f>
        <v>0</v>
      </c>
      <c r="V52">
        <f ca="1">IF($C52-V$1&lt;År1,0,U51*(1-VLOOKUP($A52,[1]Hugst!$R$5:$W$9,MATCH(ROUNDUP((V$1)/10,0)*10,[1]Hugst!$R$4:$W$4,0))))</f>
        <v>0</v>
      </c>
      <c r="W52">
        <f ca="1">IF($C52-W$1&lt;År1,0,V51*(1-VLOOKUP($A52,[1]Hugst!$R$5:$W$9,MATCH(ROUNDUP((W$1)/10,0)*10,[1]Hugst!$R$4:$W$4,0))))</f>
        <v>0</v>
      </c>
      <c r="X52">
        <f ca="1">IF($C52-X$1&lt;År1,0,W51*(1-VLOOKUP($A52,[1]Hugst!$R$5:$W$9,MATCH(ROUNDUP((X$1)/10,0)*10,[1]Hugst!$R$4:$W$4,0))))</f>
        <v>0</v>
      </c>
      <c r="Y52">
        <f ca="1">IF($C52-Y$1&lt;År1,0,X51*(1-VLOOKUP($A52,[1]Hugst!$R$5:$W$9,MATCH(ROUNDUP((Y$1)/10,0)*10,[1]Hugst!$R$4:$W$4,0))))</f>
        <v>0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0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>
        <f ca="1">IF($C53-G$1&lt;År1,0,F52*(1-VLOOKUP($A53,[1]Hugst!$R$5:$W$9,MATCH(ROUNDUP((G$1)/10,0)*10,[1]Hugst!$R$4:$W$4,0))))</f>
        <v>0</v>
      </c>
      <c r="H53">
        <f ca="1">IF($C53-H$1&lt;År1,0,G52*(1-VLOOKUP($A53,[1]Hugst!$R$5:$W$9,MATCH(ROUNDUP((H$1)/10,0)*10,[1]Hugst!$R$4:$W$4,0))))</f>
        <v>0</v>
      </c>
      <c r="I53">
        <f ca="1">IF($C53-I$1&lt;År1,0,H52*(1-VLOOKUP($A53,[1]Hugst!$R$5:$W$9,MATCH(ROUNDUP((I$1)/10,0)*10,[1]Hugst!$R$4:$W$4,0))))</f>
        <v>0</v>
      </c>
      <c r="J53">
        <f ca="1">IF($C53-J$1&lt;År1,0,I52*(1-VLOOKUP($A53,[1]Hugst!$R$5:$W$9,MATCH(ROUNDUP((J$1)/10,0)*10,[1]Hugst!$R$4:$W$4,0))))</f>
        <v>0</v>
      </c>
      <c r="K53">
        <f ca="1">IF($C53-K$1&lt;År1,0,J52*(1-VLOOKUP($A53,[1]Hugst!$R$5:$W$9,MATCH(ROUNDUP((K$1)/10,0)*10,[1]Hugst!$R$4:$W$4,0))))</f>
        <v>0</v>
      </c>
      <c r="L53">
        <f ca="1">IF($C53-L$1&lt;År1,0,K52*(1-VLOOKUP($A53,[1]Hugst!$R$5:$W$9,MATCH(ROUNDUP((L$1)/10,0)*10,[1]Hugst!$R$4:$W$4,0))))</f>
        <v>0</v>
      </c>
      <c r="M53">
        <f ca="1">IF($C53-M$1&lt;År1,0,L52*(1-VLOOKUP($A53,[1]Hugst!$R$5:$W$9,MATCH(ROUNDUP((M$1)/10,0)*10,[1]Hugst!$R$4:$W$4,0))))</f>
        <v>0</v>
      </c>
      <c r="N53">
        <f ca="1">IF($C53-N$1&lt;År1,0,M52*(1-VLOOKUP($A53,[1]Hugst!$R$5:$W$9,MATCH(ROUNDUP((N$1)/10,0)*10,[1]Hugst!$R$4:$W$4,0))))</f>
        <v>0</v>
      </c>
      <c r="O53">
        <f ca="1">IF($C53-O$1&lt;År1,0,N52*(1-VLOOKUP($A53,[1]Hugst!$R$5:$W$9,MATCH(ROUNDUP((O$1)/10,0)*10,[1]Hugst!$R$4:$W$4,0))))</f>
        <v>0</v>
      </c>
      <c r="P53">
        <f ca="1">IF($C53-P$1&lt;År1,0,O52*(1-VLOOKUP($A53,[1]Hugst!$R$5:$W$9,MATCH(ROUNDUP((P$1)/10,0)*10,[1]Hugst!$R$4:$W$4,0))))</f>
        <v>0</v>
      </c>
      <c r="Q53">
        <f ca="1">IF($C53-Q$1&lt;År1,0,P52*(1-VLOOKUP($A53,[1]Hugst!$R$5:$W$9,MATCH(ROUNDUP((Q$1)/10,0)*10,[1]Hugst!$R$4:$W$4,0))))</f>
        <v>0</v>
      </c>
      <c r="R53">
        <f ca="1">IF($C53-R$1&lt;År1,0,Q52*(1-VLOOKUP($A53,[1]Hugst!$R$5:$W$9,MATCH(ROUNDUP((R$1)/10,0)*10,[1]Hugst!$R$4:$W$4,0))))</f>
        <v>0</v>
      </c>
      <c r="S53">
        <f ca="1">IF($C53-S$1&lt;År1,0,R52*(1-VLOOKUP($A53,[1]Hugst!$R$5:$W$9,MATCH(ROUNDUP((S$1)/10,0)*10,[1]Hugst!$R$4:$W$4,0))))</f>
        <v>0</v>
      </c>
      <c r="T53">
        <f ca="1">IF($C53-T$1&lt;År1,0,S52*(1-VLOOKUP($A53,[1]Hugst!$R$5:$W$9,MATCH(ROUNDUP((T$1)/10,0)*10,[1]Hugst!$R$4:$W$4,0))))</f>
        <v>0</v>
      </c>
      <c r="U53">
        <f ca="1">IF($C53-U$1&lt;År1,0,T52*(1-VLOOKUP($A53,[1]Hugst!$R$5:$W$9,MATCH(ROUNDUP((U$1)/10,0)*10,[1]Hugst!$R$4:$W$4,0))))</f>
        <v>0</v>
      </c>
      <c r="V53">
        <f ca="1">IF($C53-V$1&lt;År1,0,U52*(1-VLOOKUP($A53,[1]Hugst!$R$5:$W$9,MATCH(ROUNDUP((V$1)/10,0)*10,[1]Hugst!$R$4:$W$4,0))))</f>
        <v>0</v>
      </c>
      <c r="W53">
        <f ca="1">IF($C53-W$1&lt;År1,0,V52*(1-VLOOKUP($A53,[1]Hugst!$R$5:$W$9,MATCH(ROUNDUP((W$1)/10,0)*10,[1]Hugst!$R$4:$W$4,0))))</f>
        <v>0</v>
      </c>
      <c r="X53">
        <f ca="1">IF($C53-X$1&lt;År1,0,W52*(1-VLOOKUP($A53,[1]Hugst!$R$5:$W$9,MATCH(ROUNDUP((X$1)/10,0)*10,[1]Hugst!$R$4:$W$4,0))))</f>
        <v>0</v>
      </c>
      <c r="Y53">
        <f ca="1">IF($C53-Y$1&lt;År1,0,X52*(1-VLOOKUP($A53,[1]Hugst!$R$5:$W$9,MATCH(ROUNDUP((Y$1)/10,0)*10,[1]Hugst!$R$4:$W$4,0))))</f>
        <v>0</v>
      </c>
      <c r="Z53">
        <f ca="1">IF($C53-Z$1&lt;År1,0,Y52*(1-VLOOKUP($A53,[1]Hugst!$R$5:$W$9,MATCH(ROUNDUP((Z$1)/10,0)*10,[1]Hugst!$R$4:$W$4,0))))</f>
        <v>0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0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>
        <f ca="1">IF($C54-G$1&lt;År1,0,F53*(1-VLOOKUP($A54,[1]Hugst!$R$5:$W$9,MATCH(ROUNDUP((G$1)/10,0)*10,[1]Hugst!$R$4:$W$4,0))))</f>
        <v>0</v>
      </c>
      <c r="H54">
        <f ca="1">IF($C54-H$1&lt;År1,0,G53*(1-VLOOKUP($A54,[1]Hugst!$R$5:$W$9,MATCH(ROUNDUP((H$1)/10,0)*10,[1]Hugst!$R$4:$W$4,0))))</f>
        <v>0</v>
      </c>
      <c r="I54">
        <f ca="1">IF($C54-I$1&lt;År1,0,H53*(1-VLOOKUP($A54,[1]Hugst!$R$5:$W$9,MATCH(ROUNDUP((I$1)/10,0)*10,[1]Hugst!$R$4:$W$4,0))))</f>
        <v>0</v>
      </c>
      <c r="J54">
        <f ca="1">IF($C54-J$1&lt;År1,0,I53*(1-VLOOKUP($A54,[1]Hugst!$R$5:$W$9,MATCH(ROUNDUP((J$1)/10,0)*10,[1]Hugst!$R$4:$W$4,0))))</f>
        <v>0</v>
      </c>
      <c r="K54">
        <f ca="1">IF($C54-K$1&lt;År1,0,J53*(1-VLOOKUP($A54,[1]Hugst!$R$5:$W$9,MATCH(ROUNDUP((K$1)/10,0)*10,[1]Hugst!$R$4:$W$4,0))))</f>
        <v>0</v>
      </c>
      <c r="L54">
        <f ca="1">IF($C54-L$1&lt;År1,0,K53*(1-VLOOKUP($A54,[1]Hugst!$R$5:$W$9,MATCH(ROUNDUP((L$1)/10,0)*10,[1]Hugst!$R$4:$W$4,0))))</f>
        <v>0</v>
      </c>
      <c r="M54">
        <f ca="1">IF($C54-M$1&lt;År1,0,L53*(1-VLOOKUP($A54,[1]Hugst!$R$5:$W$9,MATCH(ROUNDUP((M$1)/10,0)*10,[1]Hugst!$R$4:$W$4,0))))</f>
        <v>0</v>
      </c>
      <c r="N54">
        <f ca="1">IF($C54-N$1&lt;År1,0,M53*(1-VLOOKUP($A54,[1]Hugst!$R$5:$W$9,MATCH(ROUNDUP((N$1)/10,0)*10,[1]Hugst!$R$4:$W$4,0))))</f>
        <v>0</v>
      </c>
      <c r="O54">
        <f ca="1">IF($C54-O$1&lt;År1,0,N53*(1-VLOOKUP($A54,[1]Hugst!$R$5:$W$9,MATCH(ROUNDUP((O$1)/10,0)*10,[1]Hugst!$R$4:$W$4,0))))</f>
        <v>0</v>
      </c>
      <c r="P54">
        <f ca="1">IF($C54-P$1&lt;År1,0,O53*(1-VLOOKUP($A54,[1]Hugst!$R$5:$W$9,MATCH(ROUNDUP((P$1)/10,0)*10,[1]Hugst!$R$4:$W$4,0))))</f>
        <v>0</v>
      </c>
      <c r="Q54">
        <f ca="1">IF($C54-Q$1&lt;År1,0,P53*(1-VLOOKUP($A54,[1]Hugst!$R$5:$W$9,MATCH(ROUNDUP((Q$1)/10,0)*10,[1]Hugst!$R$4:$W$4,0))))</f>
        <v>0</v>
      </c>
      <c r="R54">
        <f ca="1">IF($C54-R$1&lt;År1,0,Q53*(1-VLOOKUP($A54,[1]Hugst!$R$5:$W$9,MATCH(ROUNDUP((R$1)/10,0)*10,[1]Hugst!$R$4:$W$4,0))))</f>
        <v>0</v>
      </c>
      <c r="S54">
        <f ca="1">IF($C54-S$1&lt;År1,0,R53*(1-VLOOKUP($A54,[1]Hugst!$R$5:$W$9,MATCH(ROUNDUP((S$1)/10,0)*10,[1]Hugst!$R$4:$W$4,0))))</f>
        <v>0</v>
      </c>
      <c r="T54">
        <f ca="1">IF($C54-T$1&lt;År1,0,S53*(1-VLOOKUP($A54,[1]Hugst!$R$5:$W$9,MATCH(ROUNDUP((T$1)/10,0)*10,[1]Hugst!$R$4:$W$4,0))))</f>
        <v>0</v>
      </c>
      <c r="U54">
        <f ca="1">IF($C54-U$1&lt;År1,0,T53*(1-VLOOKUP($A54,[1]Hugst!$R$5:$W$9,MATCH(ROUNDUP((U$1)/10,0)*10,[1]Hugst!$R$4:$W$4,0))))</f>
        <v>0</v>
      </c>
      <c r="V54">
        <f ca="1">IF($C54-V$1&lt;År1,0,U53*(1-VLOOKUP($A54,[1]Hugst!$R$5:$W$9,MATCH(ROUNDUP((V$1)/10,0)*10,[1]Hugst!$R$4:$W$4,0))))</f>
        <v>0</v>
      </c>
      <c r="W54">
        <f ca="1">IF($C54-W$1&lt;År1,0,V53*(1-VLOOKUP($A54,[1]Hugst!$R$5:$W$9,MATCH(ROUNDUP((W$1)/10,0)*10,[1]Hugst!$R$4:$W$4,0))))</f>
        <v>0</v>
      </c>
      <c r="X54">
        <f ca="1">IF($C54-X$1&lt;År1,0,W53*(1-VLOOKUP($A54,[1]Hugst!$R$5:$W$9,MATCH(ROUNDUP((X$1)/10,0)*10,[1]Hugst!$R$4:$W$4,0))))</f>
        <v>0</v>
      </c>
      <c r="Y54">
        <f ca="1">IF($C54-Y$1&lt;År1,0,X53*(1-VLOOKUP($A54,[1]Hugst!$R$5:$W$9,MATCH(ROUNDUP((Y$1)/10,0)*10,[1]Hugst!$R$4:$W$4,0))))</f>
        <v>0</v>
      </c>
      <c r="Z54">
        <f ca="1">IF($C54-Z$1&lt;År1,0,Y53*(1-VLOOKUP($A54,[1]Hugst!$R$5:$W$9,MATCH(ROUNDUP((Z$1)/10,0)*10,[1]Hugst!$R$4:$W$4,0))))</f>
        <v>0</v>
      </c>
      <c r="AA54">
        <f ca="1">IF($C54-AA$1&lt;År1,0,Z53*(1-VLOOKUP($A54,[1]Hugst!$R$5:$W$9,MATCH(ROUNDUP((AA$1)/10,0)*10,[1]Hugst!$R$4:$W$4,0))))</f>
        <v>0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0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>
        <f ca="1">IF($C55-G$1&lt;År1,0,F54*(1-VLOOKUP($A55,[1]Hugst!$R$5:$W$9,MATCH(ROUNDUP((G$1)/10,0)*10,[1]Hugst!$R$4:$W$4,0))))</f>
        <v>0</v>
      </c>
      <c r="H55">
        <f ca="1">IF($C55-H$1&lt;År1,0,G54*(1-VLOOKUP($A55,[1]Hugst!$R$5:$W$9,MATCH(ROUNDUP((H$1)/10,0)*10,[1]Hugst!$R$4:$W$4,0))))</f>
        <v>0</v>
      </c>
      <c r="I55">
        <f ca="1">IF($C55-I$1&lt;År1,0,H54*(1-VLOOKUP($A55,[1]Hugst!$R$5:$W$9,MATCH(ROUNDUP((I$1)/10,0)*10,[1]Hugst!$R$4:$W$4,0))))</f>
        <v>0</v>
      </c>
      <c r="J55">
        <f ca="1">IF($C55-J$1&lt;År1,0,I54*(1-VLOOKUP($A55,[1]Hugst!$R$5:$W$9,MATCH(ROUNDUP((J$1)/10,0)*10,[1]Hugst!$R$4:$W$4,0))))</f>
        <v>0</v>
      </c>
      <c r="K55">
        <f ca="1">IF($C55-K$1&lt;År1,0,J54*(1-VLOOKUP($A55,[1]Hugst!$R$5:$W$9,MATCH(ROUNDUP((K$1)/10,0)*10,[1]Hugst!$R$4:$W$4,0))))</f>
        <v>0</v>
      </c>
      <c r="L55">
        <f ca="1">IF($C55-L$1&lt;År1,0,K54*(1-VLOOKUP($A55,[1]Hugst!$R$5:$W$9,MATCH(ROUNDUP((L$1)/10,0)*10,[1]Hugst!$R$4:$W$4,0))))</f>
        <v>0</v>
      </c>
      <c r="M55">
        <f ca="1">IF($C55-M$1&lt;År1,0,L54*(1-VLOOKUP($A55,[1]Hugst!$R$5:$W$9,MATCH(ROUNDUP((M$1)/10,0)*10,[1]Hugst!$R$4:$W$4,0))))</f>
        <v>0</v>
      </c>
      <c r="N55">
        <f ca="1">IF($C55-N$1&lt;År1,0,M54*(1-VLOOKUP($A55,[1]Hugst!$R$5:$W$9,MATCH(ROUNDUP((N$1)/10,0)*10,[1]Hugst!$R$4:$W$4,0))))</f>
        <v>0</v>
      </c>
      <c r="O55">
        <f ca="1">IF($C55-O$1&lt;År1,0,N54*(1-VLOOKUP($A55,[1]Hugst!$R$5:$W$9,MATCH(ROUNDUP((O$1)/10,0)*10,[1]Hugst!$R$4:$W$4,0))))</f>
        <v>0</v>
      </c>
      <c r="P55">
        <f ca="1">IF($C55-P$1&lt;År1,0,O54*(1-VLOOKUP($A55,[1]Hugst!$R$5:$W$9,MATCH(ROUNDUP((P$1)/10,0)*10,[1]Hugst!$R$4:$W$4,0))))</f>
        <v>0</v>
      </c>
      <c r="Q55">
        <f ca="1">IF($C55-Q$1&lt;År1,0,P54*(1-VLOOKUP($A55,[1]Hugst!$R$5:$W$9,MATCH(ROUNDUP((Q$1)/10,0)*10,[1]Hugst!$R$4:$W$4,0))))</f>
        <v>0</v>
      </c>
      <c r="R55">
        <f ca="1">IF($C55-R$1&lt;År1,0,Q54*(1-VLOOKUP($A55,[1]Hugst!$R$5:$W$9,MATCH(ROUNDUP((R$1)/10,0)*10,[1]Hugst!$R$4:$W$4,0))))</f>
        <v>0</v>
      </c>
      <c r="S55">
        <f ca="1">IF($C55-S$1&lt;År1,0,R54*(1-VLOOKUP($A55,[1]Hugst!$R$5:$W$9,MATCH(ROUNDUP((S$1)/10,0)*10,[1]Hugst!$R$4:$W$4,0))))</f>
        <v>0</v>
      </c>
      <c r="T55">
        <f ca="1">IF($C55-T$1&lt;År1,0,S54*(1-VLOOKUP($A55,[1]Hugst!$R$5:$W$9,MATCH(ROUNDUP((T$1)/10,0)*10,[1]Hugst!$R$4:$W$4,0))))</f>
        <v>0</v>
      </c>
      <c r="U55">
        <f ca="1">IF($C55-U$1&lt;År1,0,T54*(1-VLOOKUP($A55,[1]Hugst!$R$5:$W$9,MATCH(ROUNDUP((U$1)/10,0)*10,[1]Hugst!$R$4:$W$4,0))))</f>
        <v>0</v>
      </c>
      <c r="V55">
        <f ca="1">IF($C55-V$1&lt;År1,0,U54*(1-VLOOKUP($A55,[1]Hugst!$R$5:$W$9,MATCH(ROUNDUP((V$1)/10,0)*10,[1]Hugst!$R$4:$W$4,0))))</f>
        <v>0</v>
      </c>
      <c r="W55">
        <f ca="1">IF($C55-W$1&lt;År1,0,V54*(1-VLOOKUP($A55,[1]Hugst!$R$5:$W$9,MATCH(ROUNDUP((W$1)/10,0)*10,[1]Hugst!$R$4:$W$4,0))))</f>
        <v>0</v>
      </c>
      <c r="X55">
        <f ca="1">IF($C55-X$1&lt;År1,0,W54*(1-VLOOKUP($A55,[1]Hugst!$R$5:$W$9,MATCH(ROUNDUP((X$1)/10,0)*10,[1]Hugst!$R$4:$W$4,0))))</f>
        <v>0</v>
      </c>
      <c r="Y55">
        <f ca="1">IF($C55-Y$1&lt;År1,0,X54*(1-VLOOKUP($A55,[1]Hugst!$R$5:$W$9,MATCH(ROUNDUP((Y$1)/10,0)*10,[1]Hugst!$R$4:$W$4,0))))</f>
        <v>0</v>
      </c>
      <c r="Z55">
        <f ca="1">IF($C55-Z$1&lt;År1,0,Y54*(1-VLOOKUP($A55,[1]Hugst!$R$5:$W$9,MATCH(ROUNDUP((Z$1)/10,0)*10,[1]Hugst!$R$4:$W$4,0))))</f>
        <v>0</v>
      </c>
      <c r="AA55">
        <f ca="1">IF($C55-AA$1&lt;År1,0,Z54*(1-VLOOKUP($A55,[1]Hugst!$R$5:$W$9,MATCH(ROUNDUP((AA$1)/10,0)*10,[1]Hugst!$R$4:$W$4,0))))</f>
        <v>0</v>
      </c>
      <c r="AB55">
        <f ca="1">IF($C55-AB$1&lt;År1,0,AA54*(1-VLOOKUP($A55,[1]Hugst!$R$5:$W$9,MATCH(ROUNDUP((AB$1)/10,0)*10,[1]Hugst!$R$4:$W$4,0))))</f>
        <v>0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0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>
        <f ca="1">IF($C56-G$1&lt;År1,0,F55*(1-VLOOKUP($A56,[1]Hugst!$R$5:$W$9,MATCH(ROUNDUP((G$1)/10,0)*10,[1]Hugst!$R$4:$W$4,0))))</f>
        <v>0</v>
      </c>
      <c r="H56">
        <f ca="1">IF($C56-H$1&lt;År1,0,G55*(1-VLOOKUP($A56,[1]Hugst!$R$5:$W$9,MATCH(ROUNDUP((H$1)/10,0)*10,[1]Hugst!$R$4:$W$4,0))))</f>
        <v>0</v>
      </c>
      <c r="I56">
        <f ca="1">IF($C56-I$1&lt;År1,0,H55*(1-VLOOKUP($A56,[1]Hugst!$R$5:$W$9,MATCH(ROUNDUP((I$1)/10,0)*10,[1]Hugst!$R$4:$W$4,0))))</f>
        <v>0</v>
      </c>
      <c r="J56">
        <f ca="1">IF($C56-J$1&lt;År1,0,I55*(1-VLOOKUP($A56,[1]Hugst!$R$5:$W$9,MATCH(ROUNDUP((J$1)/10,0)*10,[1]Hugst!$R$4:$W$4,0))))</f>
        <v>0</v>
      </c>
      <c r="K56">
        <f ca="1">IF($C56-K$1&lt;År1,0,J55*(1-VLOOKUP($A56,[1]Hugst!$R$5:$W$9,MATCH(ROUNDUP((K$1)/10,0)*10,[1]Hugst!$R$4:$W$4,0))))</f>
        <v>0</v>
      </c>
      <c r="L56">
        <f ca="1">IF($C56-L$1&lt;År1,0,K55*(1-VLOOKUP($A56,[1]Hugst!$R$5:$W$9,MATCH(ROUNDUP((L$1)/10,0)*10,[1]Hugst!$R$4:$W$4,0))))</f>
        <v>0</v>
      </c>
      <c r="M56">
        <f ca="1">IF($C56-M$1&lt;År1,0,L55*(1-VLOOKUP($A56,[1]Hugst!$R$5:$W$9,MATCH(ROUNDUP((M$1)/10,0)*10,[1]Hugst!$R$4:$W$4,0))))</f>
        <v>0</v>
      </c>
      <c r="N56">
        <f ca="1">IF($C56-N$1&lt;År1,0,M55*(1-VLOOKUP($A56,[1]Hugst!$R$5:$W$9,MATCH(ROUNDUP((N$1)/10,0)*10,[1]Hugst!$R$4:$W$4,0))))</f>
        <v>0</v>
      </c>
      <c r="O56">
        <f ca="1">IF($C56-O$1&lt;År1,0,N55*(1-VLOOKUP($A56,[1]Hugst!$R$5:$W$9,MATCH(ROUNDUP((O$1)/10,0)*10,[1]Hugst!$R$4:$W$4,0))))</f>
        <v>0</v>
      </c>
      <c r="P56">
        <f ca="1">IF($C56-P$1&lt;År1,0,O55*(1-VLOOKUP($A56,[1]Hugst!$R$5:$W$9,MATCH(ROUNDUP((P$1)/10,0)*10,[1]Hugst!$R$4:$W$4,0))))</f>
        <v>0</v>
      </c>
      <c r="Q56">
        <f ca="1">IF($C56-Q$1&lt;År1,0,P55*(1-VLOOKUP($A56,[1]Hugst!$R$5:$W$9,MATCH(ROUNDUP((Q$1)/10,0)*10,[1]Hugst!$R$4:$W$4,0))))</f>
        <v>0</v>
      </c>
      <c r="R56">
        <f ca="1">IF($C56-R$1&lt;År1,0,Q55*(1-VLOOKUP($A56,[1]Hugst!$R$5:$W$9,MATCH(ROUNDUP((R$1)/10,0)*10,[1]Hugst!$R$4:$W$4,0))))</f>
        <v>0</v>
      </c>
      <c r="S56">
        <f ca="1">IF($C56-S$1&lt;År1,0,R55*(1-VLOOKUP($A56,[1]Hugst!$R$5:$W$9,MATCH(ROUNDUP((S$1)/10,0)*10,[1]Hugst!$R$4:$W$4,0))))</f>
        <v>0</v>
      </c>
      <c r="T56">
        <f ca="1">IF($C56-T$1&lt;År1,0,S55*(1-VLOOKUP($A56,[1]Hugst!$R$5:$W$9,MATCH(ROUNDUP((T$1)/10,0)*10,[1]Hugst!$R$4:$W$4,0))))</f>
        <v>0</v>
      </c>
      <c r="U56">
        <f ca="1">IF($C56-U$1&lt;År1,0,T55*(1-VLOOKUP($A56,[1]Hugst!$R$5:$W$9,MATCH(ROUNDUP((U$1)/10,0)*10,[1]Hugst!$R$4:$W$4,0))))</f>
        <v>0</v>
      </c>
      <c r="V56">
        <f ca="1">IF($C56-V$1&lt;År1,0,U55*(1-VLOOKUP($A56,[1]Hugst!$R$5:$W$9,MATCH(ROUNDUP((V$1)/10,0)*10,[1]Hugst!$R$4:$W$4,0))))</f>
        <v>0</v>
      </c>
      <c r="W56">
        <f ca="1">IF($C56-W$1&lt;År1,0,V55*(1-VLOOKUP($A56,[1]Hugst!$R$5:$W$9,MATCH(ROUNDUP((W$1)/10,0)*10,[1]Hugst!$R$4:$W$4,0))))</f>
        <v>0</v>
      </c>
      <c r="X56">
        <f ca="1">IF($C56-X$1&lt;År1,0,W55*(1-VLOOKUP($A56,[1]Hugst!$R$5:$W$9,MATCH(ROUNDUP((X$1)/10,0)*10,[1]Hugst!$R$4:$W$4,0))))</f>
        <v>0</v>
      </c>
      <c r="Y56">
        <f ca="1">IF($C56-Y$1&lt;År1,0,X55*(1-VLOOKUP($A56,[1]Hugst!$R$5:$W$9,MATCH(ROUNDUP((Y$1)/10,0)*10,[1]Hugst!$R$4:$W$4,0))))</f>
        <v>0</v>
      </c>
      <c r="Z56">
        <f ca="1">IF($C56-Z$1&lt;År1,0,Y55*(1-VLOOKUP($A56,[1]Hugst!$R$5:$W$9,MATCH(ROUNDUP((Z$1)/10,0)*10,[1]Hugst!$R$4:$W$4,0))))</f>
        <v>0</v>
      </c>
      <c r="AA56">
        <f ca="1">IF($C56-AA$1&lt;År1,0,Z55*(1-VLOOKUP($A56,[1]Hugst!$R$5:$W$9,MATCH(ROUNDUP((AA$1)/10,0)*10,[1]Hugst!$R$4:$W$4,0))))</f>
        <v>0</v>
      </c>
      <c r="AB56">
        <f ca="1">IF($C56-AB$1&lt;År1,0,AA55*(1-VLOOKUP($A56,[1]Hugst!$R$5:$W$9,MATCH(ROUNDUP((AB$1)/10,0)*10,[1]Hugst!$R$4:$W$4,0))))</f>
        <v>0</v>
      </c>
      <c r="AC56">
        <f ca="1">IF($C56-AC$1&lt;År1,0,AB55*(1-VLOOKUP($A56,[1]Hugst!$R$5:$W$9,MATCH(ROUNDUP((AC$1)/10,0)*10,[1]Hugst!$R$4:$W$4,0))))</f>
        <v>0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0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>
        <f ca="1">IF($C57-G$1&lt;År1,0,F56*(1-VLOOKUP($A57,[1]Hugst!$R$5:$W$9,MATCH(ROUNDUP((G$1)/10,0)*10,[1]Hugst!$R$4:$W$4,0))))</f>
        <v>0</v>
      </c>
      <c r="H57">
        <f ca="1">IF($C57-H$1&lt;År1,0,G56*(1-VLOOKUP($A57,[1]Hugst!$R$5:$W$9,MATCH(ROUNDUP((H$1)/10,0)*10,[1]Hugst!$R$4:$W$4,0))))</f>
        <v>0</v>
      </c>
      <c r="I57">
        <f ca="1">IF($C57-I$1&lt;År1,0,H56*(1-VLOOKUP($A57,[1]Hugst!$R$5:$W$9,MATCH(ROUNDUP((I$1)/10,0)*10,[1]Hugst!$R$4:$W$4,0))))</f>
        <v>0</v>
      </c>
      <c r="J57">
        <f ca="1">IF($C57-J$1&lt;År1,0,I56*(1-VLOOKUP($A57,[1]Hugst!$R$5:$W$9,MATCH(ROUNDUP((J$1)/10,0)*10,[1]Hugst!$R$4:$W$4,0))))</f>
        <v>0</v>
      </c>
      <c r="K57">
        <f ca="1">IF($C57-K$1&lt;År1,0,J56*(1-VLOOKUP($A57,[1]Hugst!$R$5:$W$9,MATCH(ROUNDUP((K$1)/10,0)*10,[1]Hugst!$R$4:$W$4,0))))</f>
        <v>0</v>
      </c>
      <c r="L57">
        <f ca="1">IF($C57-L$1&lt;År1,0,K56*(1-VLOOKUP($A57,[1]Hugst!$R$5:$W$9,MATCH(ROUNDUP((L$1)/10,0)*10,[1]Hugst!$R$4:$W$4,0))))</f>
        <v>0</v>
      </c>
      <c r="M57">
        <f ca="1">IF($C57-M$1&lt;År1,0,L56*(1-VLOOKUP($A57,[1]Hugst!$R$5:$W$9,MATCH(ROUNDUP((M$1)/10,0)*10,[1]Hugst!$R$4:$W$4,0))))</f>
        <v>0</v>
      </c>
      <c r="N57">
        <f ca="1">IF($C57-N$1&lt;År1,0,M56*(1-VLOOKUP($A57,[1]Hugst!$R$5:$W$9,MATCH(ROUNDUP((N$1)/10,0)*10,[1]Hugst!$R$4:$W$4,0))))</f>
        <v>0</v>
      </c>
      <c r="O57">
        <f ca="1">IF($C57-O$1&lt;År1,0,N56*(1-VLOOKUP($A57,[1]Hugst!$R$5:$W$9,MATCH(ROUNDUP((O$1)/10,0)*10,[1]Hugst!$R$4:$W$4,0))))</f>
        <v>0</v>
      </c>
      <c r="P57">
        <f ca="1">IF($C57-P$1&lt;År1,0,O56*(1-VLOOKUP($A57,[1]Hugst!$R$5:$W$9,MATCH(ROUNDUP((P$1)/10,0)*10,[1]Hugst!$R$4:$W$4,0))))</f>
        <v>0</v>
      </c>
      <c r="Q57">
        <f ca="1">IF($C57-Q$1&lt;År1,0,P56*(1-VLOOKUP($A57,[1]Hugst!$R$5:$W$9,MATCH(ROUNDUP((Q$1)/10,0)*10,[1]Hugst!$R$4:$W$4,0))))</f>
        <v>0</v>
      </c>
      <c r="R57">
        <f ca="1">IF($C57-R$1&lt;År1,0,Q56*(1-VLOOKUP($A57,[1]Hugst!$R$5:$W$9,MATCH(ROUNDUP((R$1)/10,0)*10,[1]Hugst!$R$4:$W$4,0))))</f>
        <v>0</v>
      </c>
      <c r="S57">
        <f ca="1">IF($C57-S$1&lt;År1,0,R56*(1-VLOOKUP($A57,[1]Hugst!$R$5:$W$9,MATCH(ROUNDUP((S$1)/10,0)*10,[1]Hugst!$R$4:$W$4,0))))</f>
        <v>0</v>
      </c>
      <c r="T57">
        <f ca="1">IF($C57-T$1&lt;År1,0,S56*(1-VLOOKUP($A57,[1]Hugst!$R$5:$W$9,MATCH(ROUNDUP((T$1)/10,0)*10,[1]Hugst!$R$4:$W$4,0))))</f>
        <v>0</v>
      </c>
      <c r="U57">
        <f ca="1">IF($C57-U$1&lt;År1,0,T56*(1-VLOOKUP($A57,[1]Hugst!$R$5:$W$9,MATCH(ROUNDUP((U$1)/10,0)*10,[1]Hugst!$R$4:$W$4,0))))</f>
        <v>0</v>
      </c>
      <c r="V57">
        <f ca="1">IF($C57-V$1&lt;År1,0,U56*(1-VLOOKUP($A57,[1]Hugst!$R$5:$W$9,MATCH(ROUNDUP((V$1)/10,0)*10,[1]Hugst!$R$4:$W$4,0))))</f>
        <v>0</v>
      </c>
      <c r="W57">
        <f ca="1">IF($C57-W$1&lt;År1,0,V56*(1-VLOOKUP($A57,[1]Hugst!$R$5:$W$9,MATCH(ROUNDUP((W$1)/10,0)*10,[1]Hugst!$R$4:$W$4,0))))</f>
        <v>0</v>
      </c>
      <c r="X57">
        <f ca="1">IF($C57-X$1&lt;År1,0,W56*(1-VLOOKUP($A57,[1]Hugst!$R$5:$W$9,MATCH(ROUNDUP((X$1)/10,0)*10,[1]Hugst!$R$4:$W$4,0))))</f>
        <v>0</v>
      </c>
      <c r="Y57">
        <f ca="1">IF($C57-Y$1&lt;År1,0,X56*(1-VLOOKUP($A57,[1]Hugst!$R$5:$W$9,MATCH(ROUNDUP((Y$1)/10,0)*10,[1]Hugst!$R$4:$W$4,0))))</f>
        <v>0</v>
      </c>
      <c r="Z57">
        <f ca="1">IF($C57-Z$1&lt;År1,0,Y56*(1-VLOOKUP($A57,[1]Hugst!$R$5:$W$9,MATCH(ROUNDUP((Z$1)/10,0)*10,[1]Hugst!$R$4:$W$4,0))))</f>
        <v>0</v>
      </c>
      <c r="AA57">
        <f ca="1">IF($C57-AA$1&lt;År1,0,Z56*(1-VLOOKUP($A57,[1]Hugst!$R$5:$W$9,MATCH(ROUNDUP((AA$1)/10,0)*10,[1]Hugst!$R$4:$W$4,0))))</f>
        <v>0</v>
      </c>
      <c r="AB57">
        <f ca="1">IF($C57-AB$1&lt;År1,0,AA56*(1-VLOOKUP($A57,[1]Hugst!$R$5:$W$9,MATCH(ROUNDUP((AB$1)/10,0)*10,[1]Hugst!$R$4:$W$4,0))))</f>
        <v>0</v>
      </c>
      <c r="AC57">
        <f ca="1">IF($C57-AC$1&lt;År1,0,AB56*(1-VLOOKUP($A57,[1]Hugst!$R$5:$W$9,MATCH(ROUNDUP((AC$1)/10,0)*10,[1]Hugst!$R$4:$W$4,0))))</f>
        <v>0</v>
      </c>
      <c r="AD57">
        <f ca="1">IF($C57-AD$1&lt;År1,0,AC56*(1-VLOOKUP($A57,[1]Hugst!$R$5:$W$9,MATCH(ROUNDUP((AD$1)/10,0)*10,[1]Hugst!$R$4:$W$4,0))))</f>
        <v>0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0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>
        <f ca="1">IF($C58-G$1&lt;År1,0,F57*(1-VLOOKUP($A58,[1]Hugst!$R$5:$W$9,MATCH(ROUNDUP((G$1)/10,0)*10,[1]Hugst!$R$4:$W$4,0))))</f>
        <v>0</v>
      </c>
      <c r="H58">
        <f ca="1">IF($C58-H$1&lt;År1,0,G57*(1-VLOOKUP($A58,[1]Hugst!$R$5:$W$9,MATCH(ROUNDUP((H$1)/10,0)*10,[1]Hugst!$R$4:$W$4,0))))</f>
        <v>0</v>
      </c>
      <c r="I58">
        <f ca="1">IF($C58-I$1&lt;År1,0,H57*(1-VLOOKUP($A58,[1]Hugst!$R$5:$W$9,MATCH(ROUNDUP((I$1)/10,0)*10,[1]Hugst!$R$4:$W$4,0))))</f>
        <v>0</v>
      </c>
      <c r="J58">
        <f ca="1">IF($C58-J$1&lt;År1,0,I57*(1-VLOOKUP($A58,[1]Hugst!$R$5:$W$9,MATCH(ROUNDUP((J$1)/10,0)*10,[1]Hugst!$R$4:$W$4,0))))</f>
        <v>0</v>
      </c>
      <c r="K58">
        <f ca="1">IF($C58-K$1&lt;År1,0,J57*(1-VLOOKUP($A58,[1]Hugst!$R$5:$W$9,MATCH(ROUNDUP((K$1)/10,0)*10,[1]Hugst!$R$4:$W$4,0))))</f>
        <v>0</v>
      </c>
      <c r="L58">
        <f ca="1">IF($C58-L$1&lt;År1,0,K57*(1-VLOOKUP($A58,[1]Hugst!$R$5:$W$9,MATCH(ROUNDUP((L$1)/10,0)*10,[1]Hugst!$R$4:$W$4,0))))</f>
        <v>0</v>
      </c>
      <c r="M58">
        <f ca="1">IF($C58-M$1&lt;År1,0,L57*(1-VLOOKUP($A58,[1]Hugst!$R$5:$W$9,MATCH(ROUNDUP((M$1)/10,0)*10,[1]Hugst!$R$4:$W$4,0))))</f>
        <v>0</v>
      </c>
      <c r="N58">
        <f ca="1">IF($C58-N$1&lt;År1,0,M57*(1-VLOOKUP($A58,[1]Hugst!$R$5:$W$9,MATCH(ROUNDUP((N$1)/10,0)*10,[1]Hugst!$R$4:$W$4,0))))</f>
        <v>0</v>
      </c>
      <c r="O58">
        <f ca="1">IF($C58-O$1&lt;År1,0,N57*(1-VLOOKUP($A58,[1]Hugst!$R$5:$W$9,MATCH(ROUNDUP((O$1)/10,0)*10,[1]Hugst!$R$4:$W$4,0))))</f>
        <v>0</v>
      </c>
      <c r="P58">
        <f ca="1">IF($C58-P$1&lt;År1,0,O57*(1-VLOOKUP($A58,[1]Hugst!$R$5:$W$9,MATCH(ROUNDUP((P$1)/10,0)*10,[1]Hugst!$R$4:$W$4,0))))</f>
        <v>0</v>
      </c>
      <c r="Q58">
        <f ca="1">IF($C58-Q$1&lt;År1,0,P57*(1-VLOOKUP($A58,[1]Hugst!$R$5:$W$9,MATCH(ROUNDUP((Q$1)/10,0)*10,[1]Hugst!$R$4:$W$4,0))))</f>
        <v>0</v>
      </c>
      <c r="R58">
        <f ca="1">IF($C58-R$1&lt;År1,0,Q57*(1-VLOOKUP($A58,[1]Hugst!$R$5:$W$9,MATCH(ROUNDUP((R$1)/10,0)*10,[1]Hugst!$R$4:$W$4,0))))</f>
        <v>0</v>
      </c>
      <c r="S58">
        <f ca="1">IF($C58-S$1&lt;År1,0,R57*(1-VLOOKUP($A58,[1]Hugst!$R$5:$W$9,MATCH(ROUNDUP((S$1)/10,0)*10,[1]Hugst!$R$4:$W$4,0))))</f>
        <v>0</v>
      </c>
      <c r="T58">
        <f ca="1">IF($C58-T$1&lt;År1,0,S57*(1-VLOOKUP($A58,[1]Hugst!$R$5:$W$9,MATCH(ROUNDUP((T$1)/10,0)*10,[1]Hugst!$R$4:$W$4,0))))</f>
        <v>0</v>
      </c>
      <c r="U58">
        <f ca="1">IF($C58-U$1&lt;År1,0,T57*(1-VLOOKUP($A58,[1]Hugst!$R$5:$W$9,MATCH(ROUNDUP((U$1)/10,0)*10,[1]Hugst!$R$4:$W$4,0))))</f>
        <v>0</v>
      </c>
      <c r="V58">
        <f ca="1">IF($C58-V$1&lt;År1,0,U57*(1-VLOOKUP($A58,[1]Hugst!$R$5:$W$9,MATCH(ROUNDUP((V$1)/10,0)*10,[1]Hugst!$R$4:$W$4,0))))</f>
        <v>0</v>
      </c>
      <c r="W58">
        <f ca="1">IF($C58-W$1&lt;År1,0,V57*(1-VLOOKUP($A58,[1]Hugst!$R$5:$W$9,MATCH(ROUNDUP((W$1)/10,0)*10,[1]Hugst!$R$4:$W$4,0))))</f>
        <v>0</v>
      </c>
      <c r="X58">
        <f ca="1">IF($C58-X$1&lt;År1,0,W57*(1-VLOOKUP($A58,[1]Hugst!$R$5:$W$9,MATCH(ROUNDUP((X$1)/10,0)*10,[1]Hugst!$R$4:$W$4,0))))</f>
        <v>0</v>
      </c>
      <c r="Y58">
        <f ca="1">IF($C58-Y$1&lt;År1,0,X57*(1-VLOOKUP($A58,[1]Hugst!$R$5:$W$9,MATCH(ROUNDUP((Y$1)/10,0)*10,[1]Hugst!$R$4:$W$4,0))))</f>
        <v>0</v>
      </c>
      <c r="Z58">
        <f ca="1">IF($C58-Z$1&lt;År1,0,Y57*(1-VLOOKUP($A58,[1]Hugst!$R$5:$W$9,MATCH(ROUNDUP((Z$1)/10,0)*10,[1]Hugst!$R$4:$W$4,0))))</f>
        <v>0</v>
      </c>
      <c r="AA58">
        <f ca="1">IF($C58-AA$1&lt;År1,0,Z57*(1-VLOOKUP($A58,[1]Hugst!$R$5:$W$9,MATCH(ROUNDUP((AA$1)/10,0)*10,[1]Hugst!$R$4:$W$4,0))))</f>
        <v>0</v>
      </c>
      <c r="AB58">
        <f ca="1">IF($C58-AB$1&lt;År1,0,AA57*(1-VLOOKUP($A58,[1]Hugst!$R$5:$W$9,MATCH(ROUNDUP((AB$1)/10,0)*10,[1]Hugst!$R$4:$W$4,0))))</f>
        <v>0</v>
      </c>
      <c r="AC58">
        <f ca="1">IF($C58-AC$1&lt;År1,0,AB57*(1-VLOOKUP($A58,[1]Hugst!$R$5:$W$9,MATCH(ROUNDUP((AC$1)/10,0)*10,[1]Hugst!$R$4:$W$4,0))))</f>
        <v>0</v>
      </c>
      <c r="AD58">
        <f ca="1">IF($C58-AD$1&lt;År1,0,AC57*(1-VLOOKUP($A58,[1]Hugst!$R$5:$W$9,MATCH(ROUNDUP((AD$1)/10,0)*10,[1]Hugst!$R$4:$W$4,0))))</f>
        <v>0</v>
      </c>
      <c r="AE58">
        <f ca="1">IF($C58-AE$1&lt;År1,0,AD57*(1-VLOOKUP($A58,[1]Hugst!$R$5:$W$9,MATCH(ROUNDUP((AE$1)/10,0)*10,[1]Hugst!$R$4:$W$4,0))))</f>
        <v>0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0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>
        <f ca="1">IF($C59-G$1&lt;År1,0,F58*(1-VLOOKUP($A59,[1]Hugst!$R$5:$W$9,MATCH(ROUNDUP((G$1)/10,0)*10,[1]Hugst!$R$4:$W$4,0))))</f>
        <v>0</v>
      </c>
      <c r="H59">
        <f ca="1">IF($C59-H$1&lt;År1,0,G58*(1-VLOOKUP($A59,[1]Hugst!$R$5:$W$9,MATCH(ROUNDUP((H$1)/10,0)*10,[1]Hugst!$R$4:$W$4,0))))</f>
        <v>0</v>
      </c>
      <c r="I59">
        <f ca="1">IF($C59-I$1&lt;År1,0,H58*(1-VLOOKUP($A59,[1]Hugst!$R$5:$W$9,MATCH(ROUNDUP((I$1)/10,0)*10,[1]Hugst!$R$4:$W$4,0))))</f>
        <v>0</v>
      </c>
      <c r="J59">
        <f ca="1">IF($C59-J$1&lt;År1,0,I58*(1-VLOOKUP($A59,[1]Hugst!$R$5:$W$9,MATCH(ROUNDUP((J$1)/10,0)*10,[1]Hugst!$R$4:$W$4,0))))</f>
        <v>0</v>
      </c>
      <c r="K59">
        <f ca="1">IF($C59-K$1&lt;År1,0,J58*(1-VLOOKUP($A59,[1]Hugst!$R$5:$W$9,MATCH(ROUNDUP((K$1)/10,0)*10,[1]Hugst!$R$4:$W$4,0))))</f>
        <v>0</v>
      </c>
      <c r="L59">
        <f ca="1">IF($C59-L$1&lt;År1,0,K58*(1-VLOOKUP($A59,[1]Hugst!$R$5:$W$9,MATCH(ROUNDUP((L$1)/10,0)*10,[1]Hugst!$R$4:$W$4,0))))</f>
        <v>0</v>
      </c>
      <c r="M59">
        <f ca="1">IF($C59-M$1&lt;År1,0,L58*(1-VLOOKUP($A59,[1]Hugst!$R$5:$W$9,MATCH(ROUNDUP((M$1)/10,0)*10,[1]Hugst!$R$4:$W$4,0))))</f>
        <v>0</v>
      </c>
      <c r="N59">
        <f ca="1">IF($C59-N$1&lt;År1,0,M58*(1-VLOOKUP($A59,[1]Hugst!$R$5:$W$9,MATCH(ROUNDUP((N$1)/10,0)*10,[1]Hugst!$R$4:$W$4,0))))</f>
        <v>0</v>
      </c>
      <c r="O59">
        <f ca="1">IF($C59-O$1&lt;År1,0,N58*(1-VLOOKUP($A59,[1]Hugst!$R$5:$W$9,MATCH(ROUNDUP((O$1)/10,0)*10,[1]Hugst!$R$4:$W$4,0))))</f>
        <v>0</v>
      </c>
      <c r="P59">
        <f ca="1">IF($C59-P$1&lt;År1,0,O58*(1-VLOOKUP($A59,[1]Hugst!$R$5:$W$9,MATCH(ROUNDUP((P$1)/10,0)*10,[1]Hugst!$R$4:$W$4,0))))</f>
        <v>0</v>
      </c>
      <c r="Q59">
        <f ca="1">IF($C59-Q$1&lt;År1,0,P58*(1-VLOOKUP($A59,[1]Hugst!$R$5:$W$9,MATCH(ROUNDUP((Q$1)/10,0)*10,[1]Hugst!$R$4:$W$4,0))))</f>
        <v>0</v>
      </c>
      <c r="R59">
        <f ca="1">IF($C59-R$1&lt;År1,0,Q58*(1-VLOOKUP($A59,[1]Hugst!$R$5:$W$9,MATCH(ROUNDUP((R$1)/10,0)*10,[1]Hugst!$R$4:$W$4,0))))</f>
        <v>0</v>
      </c>
      <c r="S59">
        <f ca="1">IF($C59-S$1&lt;År1,0,R58*(1-VLOOKUP($A59,[1]Hugst!$R$5:$W$9,MATCH(ROUNDUP((S$1)/10,0)*10,[1]Hugst!$R$4:$W$4,0))))</f>
        <v>0</v>
      </c>
      <c r="T59">
        <f ca="1">IF($C59-T$1&lt;År1,0,S58*(1-VLOOKUP($A59,[1]Hugst!$R$5:$W$9,MATCH(ROUNDUP((T$1)/10,0)*10,[1]Hugst!$R$4:$W$4,0))))</f>
        <v>0</v>
      </c>
      <c r="U59">
        <f ca="1">IF($C59-U$1&lt;År1,0,T58*(1-VLOOKUP($A59,[1]Hugst!$R$5:$W$9,MATCH(ROUNDUP((U$1)/10,0)*10,[1]Hugst!$R$4:$W$4,0))))</f>
        <v>0</v>
      </c>
      <c r="V59">
        <f ca="1">IF($C59-V$1&lt;År1,0,U58*(1-VLOOKUP($A59,[1]Hugst!$R$5:$W$9,MATCH(ROUNDUP((V$1)/10,0)*10,[1]Hugst!$R$4:$W$4,0))))</f>
        <v>0</v>
      </c>
      <c r="W59">
        <f ca="1">IF($C59-W$1&lt;År1,0,V58*(1-VLOOKUP($A59,[1]Hugst!$R$5:$W$9,MATCH(ROUNDUP((W$1)/10,0)*10,[1]Hugst!$R$4:$W$4,0))))</f>
        <v>0</v>
      </c>
      <c r="X59">
        <f ca="1">IF($C59-X$1&lt;År1,0,W58*(1-VLOOKUP($A59,[1]Hugst!$R$5:$W$9,MATCH(ROUNDUP((X$1)/10,0)*10,[1]Hugst!$R$4:$W$4,0))))</f>
        <v>0</v>
      </c>
      <c r="Y59">
        <f ca="1">IF($C59-Y$1&lt;År1,0,X58*(1-VLOOKUP($A59,[1]Hugst!$R$5:$W$9,MATCH(ROUNDUP((Y$1)/10,0)*10,[1]Hugst!$R$4:$W$4,0))))</f>
        <v>0</v>
      </c>
      <c r="Z59">
        <f ca="1">IF($C59-Z$1&lt;År1,0,Y58*(1-VLOOKUP($A59,[1]Hugst!$R$5:$W$9,MATCH(ROUNDUP((Z$1)/10,0)*10,[1]Hugst!$R$4:$W$4,0))))</f>
        <v>0</v>
      </c>
      <c r="AA59">
        <f ca="1">IF($C59-AA$1&lt;År1,0,Z58*(1-VLOOKUP($A59,[1]Hugst!$R$5:$W$9,MATCH(ROUNDUP((AA$1)/10,0)*10,[1]Hugst!$R$4:$W$4,0))))</f>
        <v>0</v>
      </c>
      <c r="AB59">
        <f ca="1">IF($C59-AB$1&lt;År1,0,AA58*(1-VLOOKUP($A59,[1]Hugst!$R$5:$W$9,MATCH(ROUNDUP((AB$1)/10,0)*10,[1]Hugst!$R$4:$W$4,0))))</f>
        <v>0</v>
      </c>
      <c r="AC59">
        <f ca="1">IF($C59-AC$1&lt;År1,0,AB58*(1-VLOOKUP($A59,[1]Hugst!$R$5:$W$9,MATCH(ROUNDUP((AC$1)/10,0)*10,[1]Hugst!$R$4:$W$4,0))))</f>
        <v>0</v>
      </c>
      <c r="AD59">
        <f ca="1">IF($C59-AD$1&lt;År1,0,AC58*(1-VLOOKUP($A59,[1]Hugst!$R$5:$W$9,MATCH(ROUNDUP((AD$1)/10,0)*10,[1]Hugst!$R$4:$W$4,0))))</f>
        <v>0</v>
      </c>
      <c r="AE59">
        <f ca="1">IF($C59-AE$1&lt;År1,0,AD58*(1-VLOOKUP($A59,[1]Hugst!$R$5:$W$9,MATCH(ROUNDUP((AE$1)/10,0)*10,[1]Hugst!$R$4:$W$4,0))))</f>
        <v>0</v>
      </c>
      <c r="AF59">
        <f ca="1">IF($C59-AF$1&lt;År1,0,AE58*(1-VLOOKUP($A59,[1]Hugst!$R$5:$W$9,MATCH(ROUNDUP((AF$1)/10,0)*10,[1]Hugst!$R$4:$W$4,0))))</f>
        <v>0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0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>
        <f ca="1">IF($C60-G$1&lt;År1,0,F59*(1-VLOOKUP($A60,[1]Hugst!$R$5:$W$9,MATCH(ROUNDUP((G$1)/10,0)*10,[1]Hugst!$R$4:$W$4,0))))</f>
        <v>0</v>
      </c>
      <c r="H60">
        <f ca="1">IF($C60-H$1&lt;År1,0,G59*(1-VLOOKUP($A60,[1]Hugst!$R$5:$W$9,MATCH(ROUNDUP((H$1)/10,0)*10,[1]Hugst!$R$4:$W$4,0))))</f>
        <v>0</v>
      </c>
      <c r="I60">
        <f ca="1">IF($C60-I$1&lt;År1,0,H59*(1-VLOOKUP($A60,[1]Hugst!$R$5:$W$9,MATCH(ROUNDUP((I$1)/10,0)*10,[1]Hugst!$R$4:$W$4,0))))</f>
        <v>0</v>
      </c>
      <c r="J60">
        <f ca="1">IF($C60-J$1&lt;År1,0,I59*(1-VLOOKUP($A60,[1]Hugst!$R$5:$W$9,MATCH(ROUNDUP((J$1)/10,0)*10,[1]Hugst!$R$4:$W$4,0))))</f>
        <v>0</v>
      </c>
      <c r="K60">
        <f ca="1">IF($C60-K$1&lt;År1,0,J59*(1-VLOOKUP($A60,[1]Hugst!$R$5:$W$9,MATCH(ROUNDUP((K$1)/10,0)*10,[1]Hugst!$R$4:$W$4,0))))</f>
        <v>0</v>
      </c>
      <c r="L60">
        <f ca="1">IF($C60-L$1&lt;År1,0,K59*(1-VLOOKUP($A60,[1]Hugst!$R$5:$W$9,MATCH(ROUNDUP((L$1)/10,0)*10,[1]Hugst!$R$4:$W$4,0))))</f>
        <v>0</v>
      </c>
      <c r="M60">
        <f ca="1">IF($C60-M$1&lt;År1,0,L59*(1-VLOOKUP($A60,[1]Hugst!$R$5:$W$9,MATCH(ROUNDUP((M$1)/10,0)*10,[1]Hugst!$R$4:$W$4,0))))</f>
        <v>0</v>
      </c>
      <c r="N60">
        <f ca="1">IF($C60-N$1&lt;År1,0,M59*(1-VLOOKUP($A60,[1]Hugst!$R$5:$W$9,MATCH(ROUNDUP((N$1)/10,0)*10,[1]Hugst!$R$4:$W$4,0))))</f>
        <v>0</v>
      </c>
      <c r="O60">
        <f ca="1">IF($C60-O$1&lt;År1,0,N59*(1-VLOOKUP($A60,[1]Hugst!$R$5:$W$9,MATCH(ROUNDUP((O$1)/10,0)*10,[1]Hugst!$R$4:$W$4,0))))</f>
        <v>0</v>
      </c>
      <c r="P60">
        <f ca="1">IF($C60-P$1&lt;År1,0,O59*(1-VLOOKUP($A60,[1]Hugst!$R$5:$W$9,MATCH(ROUNDUP((P$1)/10,0)*10,[1]Hugst!$R$4:$W$4,0))))</f>
        <v>0</v>
      </c>
      <c r="Q60">
        <f ca="1">IF($C60-Q$1&lt;År1,0,P59*(1-VLOOKUP($A60,[1]Hugst!$R$5:$W$9,MATCH(ROUNDUP((Q$1)/10,0)*10,[1]Hugst!$R$4:$W$4,0))))</f>
        <v>0</v>
      </c>
      <c r="R60">
        <f ca="1">IF($C60-R$1&lt;År1,0,Q59*(1-VLOOKUP($A60,[1]Hugst!$R$5:$W$9,MATCH(ROUNDUP((R$1)/10,0)*10,[1]Hugst!$R$4:$W$4,0))))</f>
        <v>0</v>
      </c>
      <c r="S60">
        <f ca="1">IF($C60-S$1&lt;År1,0,R59*(1-VLOOKUP($A60,[1]Hugst!$R$5:$W$9,MATCH(ROUNDUP((S$1)/10,0)*10,[1]Hugst!$R$4:$W$4,0))))</f>
        <v>0</v>
      </c>
      <c r="T60">
        <f ca="1">IF($C60-T$1&lt;År1,0,S59*(1-VLOOKUP($A60,[1]Hugst!$R$5:$W$9,MATCH(ROUNDUP((T$1)/10,0)*10,[1]Hugst!$R$4:$W$4,0))))</f>
        <v>0</v>
      </c>
      <c r="U60">
        <f ca="1">IF($C60-U$1&lt;År1,0,T59*(1-VLOOKUP($A60,[1]Hugst!$R$5:$W$9,MATCH(ROUNDUP((U$1)/10,0)*10,[1]Hugst!$R$4:$W$4,0))))</f>
        <v>0</v>
      </c>
      <c r="V60">
        <f ca="1">IF($C60-V$1&lt;År1,0,U59*(1-VLOOKUP($A60,[1]Hugst!$R$5:$W$9,MATCH(ROUNDUP((V$1)/10,0)*10,[1]Hugst!$R$4:$W$4,0))))</f>
        <v>0</v>
      </c>
      <c r="W60">
        <f ca="1">IF($C60-W$1&lt;År1,0,V59*(1-VLOOKUP($A60,[1]Hugst!$R$5:$W$9,MATCH(ROUNDUP((W$1)/10,0)*10,[1]Hugst!$R$4:$W$4,0))))</f>
        <v>0</v>
      </c>
      <c r="X60">
        <f ca="1">IF($C60-X$1&lt;År1,0,W59*(1-VLOOKUP($A60,[1]Hugst!$R$5:$W$9,MATCH(ROUNDUP((X$1)/10,0)*10,[1]Hugst!$R$4:$W$4,0))))</f>
        <v>0</v>
      </c>
      <c r="Y60">
        <f ca="1">IF($C60-Y$1&lt;År1,0,X59*(1-VLOOKUP($A60,[1]Hugst!$R$5:$W$9,MATCH(ROUNDUP((Y$1)/10,0)*10,[1]Hugst!$R$4:$W$4,0))))</f>
        <v>0</v>
      </c>
      <c r="Z60">
        <f ca="1">IF($C60-Z$1&lt;År1,0,Y59*(1-VLOOKUP($A60,[1]Hugst!$R$5:$W$9,MATCH(ROUNDUP((Z$1)/10,0)*10,[1]Hugst!$R$4:$W$4,0))))</f>
        <v>0</v>
      </c>
      <c r="AA60">
        <f ca="1">IF($C60-AA$1&lt;År1,0,Z59*(1-VLOOKUP($A60,[1]Hugst!$R$5:$W$9,MATCH(ROUNDUP((AA$1)/10,0)*10,[1]Hugst!$R$4:$W$4,0))))</f>
        <v>0</v>
      </c>
      <c r="AB60">
        <f ca="1">IF($C60-AB$1&lt;År1,0,AA59*(1-VLOOKUP($A60,[1]Hugst!$R$5:$W$9,MATCH(ROUNDUP((AB$1)/10,0)*10,[1]Hugst!$R$4:$W$4,0))))</f>
        <v>0</v>
      </c>
      <c r="AC60">
        <f ca="1">IF($C60-AC$1&lt;År1,0,AB59*(1-VLOOKUP($A60,[1]Hugst!$R$5:$W$9,MATCH(ROUNDUP((AC$1)/10,0)*10,[1]Hugst!$R$4:$W$4,0))))</f>
        <v>0</v>
      </c>
      <c r="AD60">
        <f ca="1">IF($C60-AD$1&lt;År1,0,AC59*(1-VLOOKUP($A60,[1]Hugst!$R$5:$W$9,MATCH(ROUNDUP((AD$1)/10,0)*10,[1]Hugst!$R$4:$W$4,0))))</f>
        <v>0</v>
      </c>
      <c r="AE60">
        <f ca="1">IF($C60-AE$1&lt;År1,0,AD59*(1-VLOOKUP($A60,[1]Hugst!$R$5:$W$9,MATCH(ROUNDUP((AE$1)/10,0)*10,[1]Hugst!$R$4:$W$4,0))))</f>
        <v>0</v>
      </c>
      <c r="AF60">
        <f ca="1">IF($C60-AF$1&lt;År1,0,AE59*(1-VLOOKUP($A60,[1]Hugst!$R$5:$W$9,MATCH(ROUNDUP((AF$1)/10,0)*10,[1]Hugst!$R$4:$W$4,0))))</f>
        <v>0</v>
      </c>
      <c r="AG60">
        <f ca="1">IF($C60-AG$1&lt;År1,0,AF59*(1-VLOOKUP($A60,[1]Hugst!$R$5:$W$9,MATCH(ROUNDUP((AG$1)/10,0)*10,[1]Hugst!$R$4:$W$4,0))))</f>
        <v>0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0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>
        <f ca="1">IF($C61-G$1&lt;År1,0,F60*(1-VLOOKUP($A61,[1]Hugst!$R$5:$W$9,MATCH(ROUNDUP((G$1)/10,0)*10,[1]Hugst!$R$4:$W$4,0))))</f>
        <v>0</v>
      </c>
      <c r="H61">
        <f ca="1">IF($C61-H$1&lt;År1,0,G60*(1-VLOOKUP($A61,[1]Hugst!$R$5:$W$9,MATCH(ROUNDUP((H$1)/10,0)*10,[1]Hugst!$R$4:$W$4,0))))</f>
        <v>0</v>
      </c>
      <c r="I61">
        <f ca="1">IF($C61-I$1&lt;År1,0,H60*(1-VLOOKUP($A61,[1]Hugst!$R$5:$W$9,MATCH(ROUNDUP((I$1)/10,0)*10,[1]Hugst!$R$4:$W$4,0))))</f>
        <v>0</v>
      </c>
      <c r="J61">
        <f ca="1">IF($C61-J$1&lt;År1,0,I60*(1-VLOOKUP($A61,[1]Hugst!$R$5:$W$9,MATCH(ROUNDUP((J$1)/10,0)*10,[1]Hugst!$R$4:$W$4,0))))</f>
        <v>0</v>
      </c>
      <c r="K61">
        <f ca="1">IF($C61-K$1&lt;År1,0,J60*(1-VLOOKUP($A61,[1]Hugst!$R$5:$W$9,MATCH(ROUNDUP((K$1)/10,0)*10,[1]Hugst!$R$4:$W$4,0))))</f>
        <v>0</v>
      </c>
      <c r="L61">
        <f ca="1">IF($C61-L$1&lt;År1,0,K60*(1-VLOOKUP($A61,[1]Hugst!$R$5:$W$9,MATCH(ROUNDUP((L$1)/10,0)*10,[1]Hugst!$R$4:$W$4,0))))</f>
        <v>0</v>
      </c>
      <c r="M61">
        <f ca="1">IF($C61-M$1&lt;År1,0,L60*(1-VLOOKUP($A61,[1]Hugst!$R$5:$W$9,MATCH(ROUNDUP((M$1)/10,0)*10,[1]Hugst!$R$4:$W$4,0))))</f>
        <v>0</v>
      </c>
      <c r="N61">
        <f ca="1">IF($C61-N$1&lt;År1,0,M60*(1-VLOOKUP($A61,[1]Hugst!$R$5:$W$9,MATCH(ROUNDUP((N$1)/10,0)*10,[1]Hugst!$R$4:$W$4,0))))</f>
        <v>0</v>
      </c>
      <c r="O61">
        <f ca="1">IF($C61-O$1&lt;År1,0,N60*(1-VLOOKUP($A61,[1]Hugst!$R$5:$W$9,MATCH(ROUNDUP((O$1)/10,0)*10,[1]Hugst!$R$4:$W$4,0))))</f>
        <v>0</v>
      </c>
      <c r="P61">
        <f ca="1">IF($C61-P$1&lt;År1,0,O60*(1-VLOOKUP($A61,[1]Hugst!$R$5:$W$9,MATCH(ROUNDUP((P$1)/10,0)*10,[1]Hugst!$R$4:$W$4,0))))</f>
        <v>0</v>
      </c>
      <c r="Q61">
        <f ca="1">IF($C61-Q$1&lt;År1,0,P60*(1-VLOOKUP($A61,[1]Hugst!$R$5:$W$9,MATCH(ROUNDUP((Q$1)/10,0)*10,[1]Hugst!$R$4:$W$4,0))))</f>
        <v>0</v>
      </c>
      <c r="R61">
        <f ca="1">IF($C61-R$1&lt;År1,0,Q60*(1-VLOOKUP($A61,[1]Hugst!$R$5:$W$9,MATCH(ROUNDUP((R$1)/10,0)*10,[1]Hugst!$R$4:$W$4,0))))</f>
        <v>0</v>
      </c>
      <c r="S61">
        <f ca="1">IF($C61-S$1&lt;År1,0,R60*(1-VLOOKUP($A61,[1]Hugst!$R$5:$W$9,MATCH(ROUNDUP((S$1)/10,0)*10,[1]Hugst!$R$4:$W$4,0))))</f>
        <v>0</v>
      </c>
      <c r="T61">
        <f ca="1">IF($C61-T$1&lt;År1,0,S60*(1-VLOOKUP($A61,[1]Hugst!$R$5:$W$9,MATCH(ROUNDUP((T$1)/10,0)*10,[1]Hugst!$R$4:$W$4,0))))</f>
        <v>0</v>
      </c>
      <c r="U61">
        <f ca="1">IF($C61-U$1&lt;År1,0,T60*(1-VLOOKUP($A61,[1]Hugst!$R$5:$W$9,MATCH(ROUNDUP((U$1)/10,0)*10,[1]Hugst!$R$4:$W$4,0))))</f>
        <v>0</v>
      </c>
      <c r="V61">
        <f ca="1">IF($C61-V$1&lt;År1,0,U60*(1-VLOOKUP($A61,[1]Hugst!$R$5:$W$9,MATCH(ROUNDUP((V$1)/10,0)*10,[1]Hugst!$R$4:$W$4,0))))</f>
        <v>0</v>
      </c>
      <c r="W61">
        <f ca="1">IF($C61-W$1&lt;År1,0,V60*(1-VLOOKUP($A61,[1]Hugst!$R$5:$W$9,MATCH(ROUNDUP((W$1)/10,0)*10,[1]Hugst!$R$4:$W$4,0))))</f>
        <v>0</v>
      </c>
      <c r="X61">
        <f ca="1">IF($C61-X$1&lt;År1,0,W60*(1-VLOOKUP($A61,[1]Hugst!$R$5:$W$9,MATCH(ROUNDUP((X$1)/10,0)*10,[1]Hugst!$R$4:$W$4,0))))</f>
        <v>0</v>
      </c>
      <c r="Y61">
        <f ca="1">IF($C61-Y$1&lt;År1,0,X60*(1-VLOOKUP($A61,[1]Hugst!$R$5:$W$9,MATCH(ROUNDUP((Y$1)/10,0)*10,[1]Hugst!$R$4:$W$4,0))))</f>
        <v>0</v>
      </c>
      <c r="Z61">
        <f ca="1">IF($C61-Z$1&lt;År1,0,Y60*(1-VLOOKUP($A61,[1]Hugst!$R$5:$W$9,MATCH(ROUNDUP((Z$1)/10,0)*10,[1]Hugst!$R$4:$W$4,0))))</f>
        <v>0</v>
      </c>
      <c r="AA61">
        <f ca="1">IF($C61-AA$1&lt;År1,0,Z60*(1-VLOOKUP($A61,[1]Hugst!$R$5:$W$9,MATCH(ROUNDUP((AA$1)/10,0)*10,[1]Hugst!$R$4:$W$4,0))))</f>
        <v>0</v>
      </c>
      <c r="AB61">
        <f ca="1">IF($C61-AB$1&lt;År1,0,AA60*(1-VLOOKUP($A61,[1]Hugst!$R$5:$W$9,MATCH(ROUNDUP((AB$1)/10,0)*10,[1]Hugst!$R$4:$W$4,0))))</f>
        <v>0</v>
      </c>
      <c r="AC61">
        <f ca="1">IF($C61-AC$1&lt;År1,0,AB60*(1-VLOOKUP($A61,[1]Hugst!$R$5:$W$9,MATCH(ROUNDUP((AC$1)/10,0)*10,[1]Hugst!$R$4:$W$4,0))))</f>
        <v>0</v>
      </c>
      <c r="AD61">
        <f ca="1">IF($C61-AD$1&lt;År1,0,AC60*(1-VLOOKUP($A61,[1]Hugst!$R$5:$W$9,MATCH(ROUNDUP((AD$1)/10,0)*10,[1]Hugst!$R$4:$W$4,0))))</f>
        <v>0</v>
      </c>
      <c r="AE61">
        <f ca="1">IF($C61-AE$1&lt;År1,0,AD60*(1-VLOOKUP($A61,[1]Hugst!$R$5:$W$9,MATCH(ROUNDUP((AE$1)/10,0)*10,[1]Hugst!$R$4:$W$4,0))))</f>
        <v>0</v>
      </c>
      <c r="AF61">
        <f ca="1">IF($C61-AF$1&lt;År1,0,AE60*(1-VLOOKUP($A61,[1]Hugst!$R$5:$W$9,MATCH(ROUNDUP((AF$1)/10,0)*10,[1]Hugst!$R$4:$W$4,0))))</f>
        <v>0</v>
      </c>
      <c r="AG61">
        <f ca="1">IF($C61-AG$1&lt;År1,0,AF60*(1-VLOOKUP($A61,[1]Hugst!$R$5:$W$9,MATCH(ROUNDUP((AG$1)/10,0)*10,[1]Hugst!$R$4:$W$4,0))))</f>
        <v>0</v>
      </c>
      <c r="AH61">
        <f ca="1">IF($C61-AH$1&lt;År1,0,AG60*(1-VLOOKUP($A61,[1]Hugst!$R$5:$W$9,MATCH(ROUNDUP((AH$1)/10,0)*10,[1]Hugst!$R$4:$W$4,0))))</f>
        <v>0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0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>
        <f ca="1">IF($C62-G$1&lt;År1,0,F61*(1-VLOOKUP($A62,[1]Hugst!$R$5:$W$9,MATCH(ROUNDUP((G$1)/10,0)*10,[1]Hugst!$R$4:$W$4,0))))</f>
        <v>0</v>
      </c>
      <c r="H62">
        <f ca="1">IF($C62-H$1&lt;År1,0,G61*(1-VLOOKUP($A62,[1]Hugst!$R$5:$W$9,MATCH(ROUNDUP((H$1)/10,0)*10,[1]Hugst!$R$4:$W$4,0))))</f>
        <v>0</v>
      </c>
      <c r="I62">
        <f ca="1">IF($C62-I$1&lt;År1,0,H61*(1-VLOOKUP($A62,[1]Hugst!$R$5:$W$9,MATCH(ROUNDUP((I$1)/10,0)*10,[1]Hugst!$R$4:$W$4,0))))</f>
        <v>0</v>
      </c>
      <c r="J62">
        <f ca="1">IF($C62-J$1&lt;År1,0,I61*(1-VLOOKUP($A62,[1]Hugst!$R$5:$W$9,MATCH(ROUNDUP((J$1)/10,0)*10,[1]Hugst!$R$4:$W$4,0))))</f>
        <v>0</v>
      </c>
      <c r="K62">
        <f ca="1">IF($C62-K$1&lt;År1,0,J61*(1-VLOOKUP($A62,[1]Hugst!$R$5:$W$9,MATCH(ROUNDUP((K$1)/10,0)*10,[1]Hugst!$R$4:$W$4,0))))</f>
        <v>0</v>
      </c>
      <c r="L62">
        <f ca="1">IF($C62-L$1&lt;År1,0,K61*(1-VLOOKUP($A62,[1]Hugst!$R$5:$W$9,MATCH(ROUNDUP((L$1)/10,0)*10,[1]Hugst!$R$4:$W$4,0))))</f>
        <v>0</v>
      </c>
      <c r="M62">
        <f ca="1">IF($C62-M$1&lt;År1,0,L61*(1-VLOOKUP($A62,[1]Hugst!$R$5:$W$9,MATCH(ROUNDUP((M$1)/10,0)*10,[1]Hugst!$R$4:$W$4,0))))</f>
        <v>0</v>
      </c>
      <c r="N62">
        <f ca="1">IF($C62-N$1&lt;År1,0,M61*(1-VLOOKUP($A62,[1]Hugst!$R$5:$W$9,MATCH(ROUNDUP((N$1)/10,0)*10,[1]Hugst!$R$4:$W$4,0))))</f>
        <v>0</v>
      </c>
      <c r="O62">
        <f ca="1">IF($C62-O$1&lt;År1,0,N61*(1-VLOOKUP($A62,[1]Hugst!$R$5:$W$9,MATCH(ROUNDUP((O$1)/10,0)*10,[1]Hugst!$R$4:$W$4,0))))</f>
        <v>0</v>
      </c>
      <c r="P62">
        <f ca="1">IF($C62-P$1&lt;År1,0,O61*(1-VLOOKUP($A62,[1]Hugst!$R$5:$W$9,MATCH(ROUNDUP((P$1)/10,0)*10,[1]Hugst!$R$4:$W$4,0))))</f>
        <v>0</v>
      </c>
      <c r="Q62">
        <f ca="1">IF($C62-Q$1&lt;År1,0,P61*(1-VLOOKUP($A62,[1]Hugst!$R$5:$W$9,MATCH(ROUNDUP((Q$1)/10,0)*10,[1]Hugst!$R$4:$W$4,0))))</f>
        <v>0</v>
      </c>
      <c r="R62">
        <f ca="1">IF($C62-R$1&lt;År1,0,Q61*(1-VLOOKUP($A62,[1]Hugst!$R$5:$W$9,MATCH(ROUNDUP((R$1)/10,0)*10,[1]Hugst!$R$4:$W$4,0))))</f>
        <v>0</v>
      </c>
      <c r="S62">
        <f ca="1">IF($C62-S$1&lt;År1,0,R61*(1-VLOOKUP($A62,[1]Hugst!$R$5:$W$9,MATCH(ROUNDUP((S$1)/10,0)*10,[1]Hugst!$R$4:$W$4,0))))</f>
        <v>0</v>
      </c>
      <c r="T62">
        <f ca="1">IF($C62-T$1&lt;År1,0,S61*(1-VLOOKUP($A62,[1]Hugst!$R$5:$W$9,MATCH(ROUNDUP((T$1)/10,0)*10,[1]Hugst!$R$4:$W$4,0))))</f>
        <v>0</v>
      </c>
      <c r="U62">
        <f ca="1">IF($C62-U$1&lt;År1,0,T61*(1-VLOOKUP($A62,[1]Hugst!$R$5:$W$9,MATCH(ROUNDUP((U$1)/10,0)*10,[1]Hugst!$R$4:$W$4,0))))</f>
        <v>0</v>
      </c>
      <c r="V62">
        <f ca="1">IF($C62-V$1&lt;År1,0,U61*(1-VLOOKUP($A62,[1]Hugst!$R$5:$W$9,MATCH(ROUNDUP((V$1)/10,0)*10,[1]Hugst!$R$4:$W$4,0))))</f>
        <v>0</v>
      </c>
      <c r="W62">
        <f ca="1">IF($C62-W$1&lt;År1,0,V61*(1-VLOOKUP($A62,[1]Hugst!$R$5:$W$9,MATCH(ROUNDUP((W$1)/10,0)*10,[1]Hugst!$R$4:$W$4,0))))</f>
        <v>0</v>
      </c>
      <c r="X62">
        <f ca="1">IF($C62-X$1&lt;År1,0,W61*(1-VLOOKUP($A62,[1]Hugst!$R$5:$W$9,MATCH(ROUNDUP((X$1)/10,0)*10,[1]Hugst!$R$4:$W$4,0))))</f>
        <v>0</v>
      </c>
      <c r="Y62">
        <f ca="1">IF($C62-Y$1&lt;År1,0,X61*(1-VLOOKUP($A62,[1]Hugst!$R$5:$W$9,MATCH(ROUNDUP((Y$1)/10,0)*10,[1]Hugst!$R$4:$W$4,0))))</f>
        <v>0</v>
      </c>
      <c r="Z62">
        <f ca="1">IF($C62-Z$1&lt;År1,0,Y61*(1-VLOOKUP($A62,[1]Hugst!$R$5:$W$9,MATCH(ROUNDUP((Z$1)/10,0)*10,[1]Hugst!$R$4:$W$4,0))))</f>
        <v>0</v>
      </c>
      <c r="AA62">
        <f ca="1">IF($C62-AA$1&lt;År1,0,Z61*(1-VLOOKUP($A62,[1]Hugst!$R$5:$W$9,MATCH(ROUNDUP((AA$1)/10,0)*10,[1]Hugst!$R$4:$W$4,0))))</f>
        <v>0</v>
      </c>
      <c r="AB62">
        <f ca="1">IF($C62-AB$1&lt;År1,0,AA61*(1-VLOOKUP($A62,[1]Hugst!$R$5:$W$9,MATCH(ROUNDUP((AB$1)/10,0)*10,[1]Hugst!$R$4:$W$4,0))))</f>
        <v>0</v>
      </c>
      <c r="AC62">
        <f ca="1">IF($C62-AC$1&lt;År1,0,AB61*(1-VLOOKUP($A62,[1]Hugst!$R$5:$W$9,MATCH(ROUNDUP((AC$1)/10,0)*10,[1]Hugst!$R$4:$W$4,0))))</f>
        <v>0</v>
      </c>
      <c r="AD62">
        <f ca="1">IF($C62-AD$1&lt;År1,0,AC61*(1-VLOOKUP($A62,[1]Hugst!$R$5:$W$9,MATCH(ROUNDUP((AD$1)/10,0)*10,[1]Hugst!$R$4:$W$4,0))))</f>
        <v>0</v>
      </c>
      <c r="AE62">
        <f ca="1">IF($C62-AE$1&lt;År1,0,AD61*(1-VLOOKUP($A62,[1]Hugst!$R$5:$W$9,MATCH(ROUNDUP((AE$1)/10,0)*10,[1]Hugst!$R$4:$W$4,0))))</f>
        <v>0</v>
      </c>
      <c r="AF62">
        <f ca="1">IF($C62-AF$1&lt;År1,0,AE61*(1-VLOOKUP($A62,[1]Hugst!$R$5:$W$9,MATCH(ROUNDUP((AF$1)/10,0)*10,[1]Hugst!$R$4:$W$4,0))))</f>
        <v>0</v>
      </c>
      <c r="AG62">
        <f ca="1">IF($C62-AG$1&lt;År1,0,AF61*(1-VLOOKUP($A62,[1]Hugst!$R$5:$W$9,MATCH(ROUNDUP((AG$1)/10,0)*10,[1]Hugst!$R$4:$W$4,0))))</f>
        <v>0</v>
      </c>
      <c r="AH62">
        <f ca="1">IF($C62-AH$1&lt;År1,0,AG61*(1-VLOOKUP($A62,[1]Hugst!$R$5:$W$9,MATCH(ROUNDUP((AH$1)/10,0)*10,[1]Hugst!$R$4:$W$4,0))))</f>
        <v>0</v>
      </c>
      <c r="AI62">
        <f ca="1">IF($C62-AI$1&lt;År1,0,AH61*(1-VLOOKUP($A62,[1]Hugst!$R$5:$W$9,MATCH(ROUNDUP((AI$1)/10,0)*10,[1]Hugst!$R$4:$W$4,0))))</f>
        <v>0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0</v>
      </c>
      <c r="E63">
        <f t="shared" ca="1" si="0"/>
        <v>0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>
        <f ca="1">IF($C63-G$1&lt;År1,0,F62*(1-VLOOKUP($A63,[1]Hugst!$R$5:$W$9,MATCH(ROUNDUP((G$1)/10,0)*10,[1]Hugst!$R$4:$W$4,0))))</f>
        <v>0</v>
      </c>
      <c r="H63">
        <f ca="1">IF($C63-H$1&lt;År1,0,G62*(1-VLOOKUP($A63,[1]Hugst!$R$5:$W$9,MATCH(ROUNDUP((H$1)/10,0)*10,[1]Hugst!$R$4:$W$4,0))))</f>
        <v>0</v>
      </c>
      <c r="I63">
        <f ca="1">IF($C63-I$1&lt;År1,0,H62*(1-VLOOKUP($A63,[1]Hugst!$R$5:$W$9,MATCH(ROUNDUP((I$1)/10,0)*10,[1]Hugst!$R$4:$W$4,0))))</f>
        <v>0</v>
      </c>
      <c r="J63">
        <f ca="1">IF($C63-J$1&lt;År1,0,I62*(1-VLOOKUP($A63,[1]Hugst!$R$5:$W$9,MATCH(ROUNDUP((J$1)/10,0)*10,[1]Hugst!$R$4:$W$4,0))))</f>
        <v>0</v>
      </c>
      <c r="K63">
        <f ca="1">IF($C63-K$1&lt;År1,0,J62*(1-VLOOKUP($A63,[1]Hugst!$R$5:$W$9,MATCH(ROUNDUP((K$1)/10,0)*10,[1]Hugst!$R$4:$W$4,0))))</f>
        <v>0</v>
      </c>
      <c r="L63">
        <f ca="1">IF($C63-L$1&lt;År1,0,K62*(1-VLOOKUP($A63,[1]Hugst!$R$5:$W$9,MATCH(ROUNDUP((L$1)/10,0)*10,[1]Hugst!$R$4:$W$4,0))))</f>
        <v>0</v>
      </c>
      <c r="M63">
        <f ca="1">IF($C63-M$1&lt;År1,0,L62*(1-VLOOKUP($A63,[1]Hugst!$R$5:$W$9,MATCH(ROUNDUP((M$1)/10,0)*10,[1]Hugst!$R$4:$W$4,0))))</f>
        <v>0</v>
      </c>
      <c r="N63">
        <f ca="1">IF($C63-N$1&lt;År1,0,M62*(1-VLOOKUP($A63,[1]Hugst!$R$5:$W$9,MATCH(ROUNDUP((N$1)/10,0)*10,[1]Hugst!$R$4:$W$4,0))))</f>
        <v>0</v>
      </c>
      <c r="O63">
        <f ca="1">IF($C63-O$1&lt;År1,0,N62*(1-VLOOKUP($A63,[1]Hugst!$R$5:$W$9,MATCH(ROUNDUP((O$1)/10,0)*10,[1]Hugst!$R$4:$W$4,0))))</f>
        <v>0</v>
      </c>
      <c r="P63">
        <f ca="1">IF($C63-P$1&lt;År1,0,O62*(1-VLOOKUP($A63,[1]Hugst!$R$5:$W$9,MATCH(ROUNDUP((P$1)/10,0)*10,[1]Hugst!$R$4:$W$4,0))))</f>
        <v>0</v>
      </c>
      <c r="Q63">
        <f ca="1">IF($C63-Q$1&lt;År1,0,P62*(1-VLOOKUP($A63,[1]Hugst!$R$5:$W$9,MATCH(ROUNDUP((Q$1)/10,0)*10,[1]Hugst!$R$4:$W$4,0))))</f>
        <v>0</v>
      </c>
      <c r="R63">
        <f ca="1">IF($C63-R$1&lt;År1,0,Q62*(1-VLOOKUP($A63,[1]Hugst!$R$5:$W$9,MATCH(ROUNDUP((R$1)/10,0)*10,[1]Hugst!$R$4:$W$4,0))))</f>
        <v>0</v>
      </c>
      <c r="S63">
        <f ca="1">IF($C63-S$1&lt;År1,0,R62*(1-VLOOKUP($A63,[1]Hugst!$R$5:$W$9,MATCH(ROUNDUP((S$1)/10,0)*10,[1]Hugst!$R$4:$W$4,0))))</f>
        <v>0</v>
      </c>
      <c r="T63">
        <f ca="1">IF($C63-T$1&lt;År1,0,S62*(1-VLOOKUP($A63,[1]Hugst!$R$5:$W$9,MATCH(ROUNDUP((T$1)/10,0)*10,[1]Hugst!$R$4:$W$4,0))))</f>
        <v>0</v>
      </c>
      <c r="U63">
        <f ca="1">IF($C63-U$1&lt;År1,0,T62*(1-VLOOKUP($A63,[1]Hugst!$R$5:$W$9,MATCH(ROUNDUP((U$1)/10,0)*10,[1]Hugst!$R$4:$W$4,0))))</f>
        <v>0</v>
      </c>
      <c r="V63">
        <f ca="1">IF($C63-V$1&lt;År1,0,U62*(1-VLOOKUP($A63,[1]Hugst!$R$5:$W$9,MATCH(ROUNDUP((V$1)/10,0)*10,[1]Hugst!$R$4:$W$4,0))))</f>
        <v>0</v>
      </c>
      <c r="W63">
        <f ca="1">IF($C63-W$1&lt;År1,0,V62*(1-VLOOKUP($A63,[1]Hugst!$R$5:$W$9,MATCH(ROUNDUP((W$1)/10,0)*10,[1]Hugst!$R$4:$W$4,0))))</f>
        <v>0</v>
      </c>
      <c r="X63">
        <f ca="1">IF($C63-X$1&lt;År1,0,W62*(1-VLOOKUP($A63,[1]Hugst!$R$5:$W$9,MATCH(ROUNDUP((X$1)/10,0)*10,[1]Hugst!$R$4:$W$4,0))))</f>
        <v>0</v>
      </c>
      <c r="Y63">
        <f ca="1">IF($C63-Y$1&lt;År1,0,X62*(1-VLOOKUP($A63,[1]Hugst!$R$5:$W$9,MATCH(ROUNDUP((Y$1)/10,0)*10,[1]Hugst!$R$4:$W$4,0))))</f>
        <v>0</v>
      </c>
      <c r="Z63">
        <f ca="1">IF($C63-Z$1&lt;År1,0,Y62*(1-VLOOKUP($A63,[1]Hugst!$R$5:$W$9,MATCH(ROUNDUP((Z$1)/10,0)*10,[1]Hugst!$R$4:$W$4,0))))</f>
        <v>0</v>
      </c>
      <c r="AA63">
        <f ca="1">IF($C63-AA$1&lt;År1,0,Z62*(1-VLOOKUP($A63,[1]Hugst!$R$5:$W$9,MATCH(ROUNDUP((AA$1)/10,0)*10,[1]Hugst!$R$4:$W$4,0))))</f>
        <v>0</v>
      </c>
      <c r="AB63">
        <f ca="1">IF($C63-AB$1&lt;År1,0,AA62*(1-VLOOKUP($A63,[1]Hugst!$R$5:$W$9,MATCH(ROUNDUP((AB$1)/10,0)*10,[1]Hugst!$R$4:$W$4,0))))</f>
        <v>0</v>
      </c>
      <c r="AC63">
        <f ca="1">IF($C63-AC$1&lt;År1,0,AB62*(1-VLOOKUP($A63,[1]Hugst!$R$5:$W$9,MATCH(ROUNDUP((AC$1)/10,0)*10,[1]Hugst!$R$4:$W$4,0))))</f>
        <v>0</v>
      </c>
      <c r="AD63">
        <f ca="1">IF($C63-AD$1&lt;År1,0,AC62*(1-VLOOKUP($A63,[1]Hugst!$R$5:$W$9,MATCH(ROUNDUP((AD$1)/10,0)*10,[1]Hugst!$R$4:$W$4,0))))</f>
        <v>0</v>
      </c>
      <c r="AE63">
        <f ca="1">IF($C63-AE$1&lt;År1,0,AD62*(1-VLOOKUP($A63,[1]Hugst!$R$5:$W$9,MATCH(ROUNDUP((AE$1)/10,0)*10,[1]Hugst!$R$4:$W$4,0))))</f>
        <v>0</v>
      </c>
      <c r="AF63">
        <f ca="1">IF($C63-AF$1&lt;År1,0,AE62*(1-VLOOKUP($A63,[1]Hugst!$R$5:$W$9,MATCH(ROUNDUP((AF$1)/10,0)*10,[1]Hugst!$R$4:$W$4,0))))</f>
        <v>0</v>
      </c>
      <c r="AG63">
        <f ca="1">IF($C63-AG$1&lt;År1,0,AF62*(1-VLOOKUP($A63,[1]Hugst!$R$5:$W$9,MATCH(ROUNDUP((AG$1)/10,0)*10,[1]Hugst!$R$4:$W$4,0))))</f>
        <v>0</v>
      </c>
      <c r="AH63">
        <f ca="1">IF($C63-AH$1&lt;År1,0,AG62*(1-VLOOKUP($A63,[1]Hugst!$R$5:$W$9,MATCH(ROUNDUP((AH$1)/10,0)*10,[1]Hugst!$R$4:$W$4,0))))</f>
        <v>0</v>
      </c>
      <c r="AI63">
        <f ca="1">IF($C63-AI$1&lt;År1,0,AH62*(1-VLOOKUP($A63,[1]Hugst!$R$5:$W$9,MATCH(ROUNDUP((AI$1)/10,0)*10,[1]Hugst!$R$4:$W$4,0))))</f>
        <v>0</v>
      </c>
      <c r="AJ63">
        <f ca="1">IF($C63-AJ$1&lt;År1,0,AI62*(1-VLOOKUP($A63,[1]Hugst!$R$5:$W$9,MATCH(ROUNDUP((AJ$1)/10,0)*10,[1]Hugst!$R$4:$W$4,0))))</f>
        <v>0</v>
      </c>
      <c r="AL63">
        <f ca="1">SUM(F63:AJ63)</f>
        <v>0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870.12904324613055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6862.3974058848635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865.77839802987864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6858.0467606686125</v>
      </c>
      <c r="G65">
        <f ca="1">IF($C65-G$1&lt;År1,0,F64*(1-VLOOKUP($A65,[1]Hugst!$R$5:$W$9,MATCH(ROUNDUP((G$1)/10,0)*10,[1]Hugst!$R$4:$W$4,0))))</f>
        <v>6862.3974058848635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861.44950603975485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6853.7178686784882</v>
      </c>
      <c r="G66">
        <f ca="1">IF($C66-G$1&lt;År1,0,F65*(1-VLOOKUP($A66,[1]Hugst!$R$5:$W$9,MATCH(ROUNDUP((G$1)/10,0)*10,[1]Hugst!$R$4:$W$4,0))))</f>
        <v>6858.0467606686125</v>
      </c>
      <c r="H66">
        <f ca="1">IF($C66-H$1&lt;År1,0,G65*(1-VLOOKUP($A66,[1]Hugst!$R$5:$W$9,MATCH(ROUNDUP((H$1)/10,0)*10,[1]Hugst!$R$4:$W$4,0))))</f>
        <v>6862.3974058848635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857.14225850955108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6849.4106211482849</v>
      </c>
      <c r="G67">
        <f ca="1">IF($C67-G$1&lt;År1,0,F66*(1-VLOOKUP($A67,[1]Hugst!$R$5:$W$9,MATCH(ROUNDUP((G$1)/10,0)*10,[1]Hugst!$R$4:$W$4,0))))</f>
        <v>6853.7178686784882</v>
      </c>
      <c r="H67">
        <f ca="1">IF($C67-H$1&lt;År1,0,G66*(1-VLOOKUP($A67,[1]Hugst!$R$5:$W$9,MATCH(ROUNDUP((H$1)/10,0)*10,[1]Hugst!$R$4:$W$4,0))))</f>
        <v>6858.0467606686125</v>
      </c>
      <c r="I67">
        <f ca="1">IF($C67-I$1&lt;År1,0,H66*(1-VLOOKUP($A67,[1]Hugst!$R$5:$W$9,MATCH(ROUNDUP((I$1)/10,0)*10,[1]Hugst!$R$4:$W$4,0))))</f>
        <v>6862.3974058848635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852.85654721700075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6845.1249098557346</v>
      </c>
      <c r="G68">
        <f ca="1">IF($C68-G$1&lt;År1,0,F67*(1-VLOOKUP($A68,[1]Hugst!$R$5:$W$9,MATCH(ROUNDUP((G$1)/10,0)*10,[1]Hugst!$R$4:$W$4,0))))</f>
        <v>6849.4106211482849</v>
      </c>
      <c r="H68">
        <f ca="1">IF($C68-H$1&lt;År1,0,G67*(1-VLOOKUP($A68,[1]Hugst!$R$5:$W$9,MATCH(ROUNDUP((H$1)/10,0)*10,[1]Hugst!$R$4:$W$4,0))))</f>
        <v>6853.7178686784882</v>
      </c>
      <c r="I68">
        <f ca="1">IF($C68-I$1&lt;År1,0,H67*(1-VLOOKUP($A68,[1]Hugst!$R$5:$W$9,MATCH(ROUNDUP((I$1)/10,0)*10,[1]Hugst!$R$4:$W$4,0))))</f>
        <v>6858.0467606686125</v>
      </c>
      <c r="J68">
        <f ca="1">IF($C68-J$1&lt;År1,0,I67*(1-VLOOKUP($A68,[1]Hugst!$R$5:$W$9,MATCH(ROUNDUP((J$1)/10,0)*10,[1]Hugst!$R$4:$W$4,0))))</f>
        <v>6862.3974058848635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848.59226448091249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6840.8606271196459</v>
      </c>
      <c r="G69">
        <f ca="1">IF($C69-G$1&lt;År1,0,F68*(1-VLOOKUP($A69,[1]Hugst!$R$5:$W$9,MATCH(ROUNDUP((G$1)/10,0)*10,[1]Hugst!$R$4:$W$4,0))))</f>
        <v>6845.1249098557346</v>
      </c>
      <c r="H69">
        <f ca="1">IF($C69-H$1&lt;År1,0,G68*(1-VLOOKUP($A69,[1]Hugst!$R$5:$W$9,MATCH(ROUNDUP((H$1)/10,0)*10,[1]Hugst!$R$4:$W$4,0))))</f>
        <v>6849.4106211482849</v>
      </c>
      <c r="I69">
        <f ca="1">IF($C69-I$1&lt;År1,0,H68*(1-VLOOKUP($A69,[1]Hugst!$R$5:$W$9,MATCH(ROUNDUP((I$1)/10,0)*10,[1]Hugst!$R$4:$W$4,0))))</f>
        <v>6853.7178686784882</v>
      </c>
      <c r="J69">
        <f ca="1">IF($C69-J$1&lt;År1,0,I68*(1-VLOOKUP($A69,[1]Hugst!$R$5:$W$9,MATCH(ROUNDUP((J$1)/10,0)*10,[1]Hugst!$R$4:$W$4,0))))</f>
        <v>6858.0467606686125</v>
      </c>
      <c r="K69">
        <f ca="1">IF($C69-K$1&lt;År1,0,J68*(1-VLOOKUP($A69,[1]Hugst!$R$5:$W$9,MATCH(ROUNDUP((K$1)/10,0)*10,[1]Hugst!$R$4:$W$4,0))))</f>
        <v>6862.3974058848635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844.34930315851216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6836.6176657972455</v>
      </c>
      <c r="G70">
        <f ca="1">IF($C70-G$1&lt;År1,0,F69*(1-VLOOKUP($A70,[1]Hugst!$R$5:$W$9,MATCH(ROUNDUP((G$1)/10,0)*10,[1]Hugst!$R$4:$W$4,0))))</f>
        <v>6840.8606271196459</v>
      </c>
      <c r="H70">
        <f ca="1">IF($C70-H$1&lt;År1,0,G69*(1-VLOOKUP($A70,[1]Hugst!$R$5:$W$9,MATCH(ROUNDUP((H$1)/10,0)*10,[1]Hugst!$R$4:$W$4,0))))</f>
        <v>6845.1249098557346</v>
      </c>
      <c r="I70">
        <f ca="1">IF($C70-I$1&lt;År1,0,H69*(1-VLOOKUP($A70,[1]Hugst!$R$5:$W$9,MATCH(ROUNDUP((I$1)/10,0)*10,[1]Hugst!$R$4:$W$4,0))))</f>
        <v>6849.4106211482849</v>
      </c>
      <c r="J70">
        <f ca="1">IF($C70-J$1&lt;År1,0,I69*(1-VLOOKUP($A70,[1]Hugst!$R$5:$W$9,MATCH(ROUNDUP((J$1)/10,0)*10,[1]Hugst!$R$4:$W$4,0))))</f>
        <v>6853.7178686784882</v>
      </c>
      <c r="K70">
        <f ca="1">IF($C70-K$1&lt;År1,0,J69*(1-VLOOKUP($A70,[1]Hugst!$R$5:$W$9,MATCH(ROUNDUP((K$1)/10,0)*10,[1]Hugst!$R$4:$W$4,0))))</f>
        <v>6858.0467606686125</v>
      </c>
      <c r="L70">
        <f ca="1">IF($C70-L$1&lt;År1,0,K69*(1-VLOOKUP($A70,[1]Hugst!$R$5:$W$9,MATCH(ROUNDUP((L$1)/10,0)*10,[1]Hugst!$R$4:$W$4,0))))</f>
        <v>6862.3974058848635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840.12755664272754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6832.3959192814609</v>
      </c>
      <c r="G71">
        <f ca="1">IF($C71-G$1&lt;År1,0,F70*(1-VLOOKUP($A71,[1]Hugst!$R$5:$W$9,MATCH(ROUNDUP((G$1)/10,0)*10,[1]Hugst!$R$4:$W$4,0))))</f>
        <v>6836.6176657972455</v>
      </c>
      <c r="H71">
        <f ca="1">IF($C71-H$1&lt;År1,0,G70*(1-VLOOKUP($A71,[1]Hugst!$R$5:$W$9,MATCH(ROUNDUP((H$1)/10,0)*10,[1]Hugst!$R$4:$W$4,0))))</f>
        <v>6840.8606271196459</v>
      </c>
      <c r="I71">
        <f ca="1">IF($C71-I$1&lt;År1,0,H70*(1-VLOOKUP($A71,[1]Hugst!$R$5:$W$9,MATCH(ROUNDUP((I$1)/10,0)*10,[1]Hugst!$R$4:$W$4,0))))</f>
        <v>6845.1249098557346</v>
      </c>
      <c r="J71">
        <f ca="1">IF($C71-J$1&lt;År1,0,I70*(1-VLOOKUP($A71,[1]Hugst!$R$5:$W$9,MATCH(ROUNDUP((J$1)/10,0)*10,[1]Hugst!$R$4:$W$4,0))))</f>
        <v>6849.4106211482849</v>
      </c>
      <c r="K71">
        <f ca="1">IF($C71-K$1&lt;År1,0,J70*(1-VLOOKUP($A71,[1]Hugst!$R$5:$W$9,MATCH(ROUNDUP((K$1)/10,0)*10,[1]Hugst!$R$4:$W$4,0))))</f>
        <v>6853.7178686784882</v>
      </c>
      <c r="L71">
        <f ca="1">IF($C71-L$1&lt;År1,0,K70*(1-VLOOKUP($A71,[1]Hugst!$R$5:$W$9,MATCH(ROUNDUP((L$1)/10,0)*10,[1]Hugst!$R$4:$W$4,0))))</f>
        <v>6858.0467606686125</v>
      </c>
      <c r="M71">
        <f ca="1">IF($C71-M$1&lt;År1,0,L70*(1-VLOOKUP($A71,[1]Hugst!$R$5:$W$9,MATCH(ROUNDUP((M$1)/10,0)*10,[1]Hugst!$R$4:$W$4,0))))</f>
        <v>6862.3974058848635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835.92691885952354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6828.1952814982569</v>
      </c>
      <c r="G72">
        <f ca="1">IF($C72-G$1&lt;År1,0,F71*(1-VLOOKUP($A72,[1]Hugst!$R$5:$W$9,MATCH(ROUNDUP((G$1)/10,0)*10,[1]Hugst!$R$4:$W$4,0))))</f>
        <v>6832.3959192814609</v>
      </c>
      <c r="H72">
        <f ca="1">IF($C72-H$1&lt;År1,0,G71*(1-VLOOKUP($A72,[1]Hugst!$R$5:$W$9,MATCH(ROUNDUP((H$1)/10,0)*10,[1]Hugst!$R$4:$W$4,0))))</f>
        <v>6836.6176657972455</v>
      </c>
      <c r="I72">
        <f ca="1">IF($C72-I$1&lt;År1,0,H71*(1-VLOOKUP($A72,[1]Hugst!$R$5:$W$9,MATCH(ROUNDUP((I$1)/10,0)*10,[1]Hugst!$R$4:$W$4,0))))</f>
        <v>6840.8606271196459</v>
      </c>
      <c r="J72">
        <f ca="1">IF($C72-J$1&lt;År1,0,I71*(1-VLOOKUP($A72,[1]Hugst!$R$5:$W$9,MATCH(ROUNDUP((J$1)/10,0)*10,[1]Hugst!$R$4:$W$4,0))))</f>
        <v>6845.1249098557346</v>
      </c>
      <c r="K72">
        <f ca="1">IF($C72-K$1&lt;År1,0,J71*(1-VLOOKUP($A72,[1]Hugst!$R$5:$W$9,MATCH(ROUNDUP((K$1)/10,0)*10,[1]Hugst!$R$4:$W$4,0))))</f>
        <v>6849.4106211482849</v>
      </c>
      <c r="L72">
        <f ca="1">IF($C72-L$1&lt;År1,0,K71*(1-VLOOKUP($A72,[1]Hugst!$R$5:$W$9,MATCH(ROUNDUP((L$1)/10,0)*10,[1]Hugst!$R$4:$W$4,0))))</f>
        <v>6853.7178686784882</v>
      </c>
      <c r="M72">
        <f ca="1">IF($C72-M$1&lt;År1,0,L71*(1-VLOOKUP($A72,[1]Hugst!$R$5:$W$9,MATCH(ROUNDUP((M$1)/10,0)*10,[1]Hugst!$R$4:$W$4,0))))</f>
        <v>6858.0467606686125</v>
      </c>
      <c r="N72">
        <f ca="1">IF($C72-N$1&lt;År1,0,M71*(1-VLOOKUP($A72,[1]Hugst!$R$5:$W$9,MATCH(ROUNDUP((N$1)/10,0)*10,[1]Hugst!$R$4:$W$4,0))))</f>
        <v>6862.3974058848635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831.74728426518777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6824.0156469039212</v>
      </c>
      <c r="G73">
        <f ca="1">IF($C73-G$1&lt;År1,0,F72*(1-VLOOKUP($A73,[1]Hugst!$R$5:$W$9,MATCH(ROUNDUP((G$1)/10,0)*10,[1]Hugst!$R$4:$W$4,0))))</f>
        <v>6828.1952814982569</v>
      </c>
      <c r="H73">
        <f ca="1">IF($C73-H$1&lt;År1,0,G72*(1-VLOOKUP($A73,[1]Hugst!$R$5:$W$9,MATCH(ROUNDUP((H$1)/10,0)*10,[1]Hugst!$R$4:$W$4,0))))</f>
        <v>6832.3959192814609</v>
      </c>
      <c r="I73">
        <f ca="1">IF($C73-I$1&lt;År1,0,H72*(1-VLOOKUP($A73,[1]Hugst!$R$5:$W$9,MATCH(ROUNDUP((I$1)/10,0)*10,[1]Hugst!$R$4:$W$4,0))))</f>
        <v>6836.6176657972455</v>
      </c>
      <c r="J73">
        <f ca="1">IF($C73-J$1&lt;År1,0,I72*(1-VLOOKUP($A73,[1]Hugst!$R$5:$W$9,MATCH(ROUNDUP((J$1)/10,0)*10,[1]Hugst!$R$4:$W$4,0))))</f>
        <v>6840.8606271196459</v>
      </c>
      <c r="K73">
        <f ca="1">IF($C73-K$1&lt;År1,0,J72*(1-VLOOKUP($A73,[1]Hugst!$R$5:$W$9,MATCH(ROUNDUP((K$1)/10,0)*10,[1]Hugst!$R$4:$W$4,0))))</f>
        <v>6845.1249098557346</v>
      </c>
      <c r="L73">
        <f ca="1">IF($C73-L$1&lt;År1,0,K72*(1-VLOOKUP($A73,[1]Hugst!$R$5:$W$9,MATCH(ROUNDUP((L$1)/10,0)*10,[1]Hugst!$R$4:$W$4,0))))</f>
        <v>6849.4106211482849</v>
      </c>
      <c r="M73">
        <f ca="1">IF($C73-M$1&lt;År1,0,L72*(1-VLOOKUP($A73,[1]Hugst!$R$5:$W$9,MATCH(ROUNDUP((M$1)/10,0)*10,[1]Hugst!$R$4:$W$4,0))))</f>
        <v>6853.7178686784882</v>
      </c>
      <c r="N73">
        <f ca="1">IF($C73-N$1&lt;År1,0,M72*(1-VLOOKUP($A73,[1]Hugst!$R$5:$W$9,MATCH(ROUNDUP((N$1)/10,0)*10,[1]Hugst!$R$4:$W$4,0))))</f>
        <v>6858.0467606686125</v>
      </c>
      <c r="O73">
        <f ca="1">IF($C73-O$1&lt;År1,0,N72*(1-VLOOKUP($A73,[1]Hugst!$R$5:$W$9,MATCH(ROUNDUP((O$1)/10,0)*10,[1]Hugst!$R$4:$W$4,0))))</f>
        <v>6862.3974058848635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827.58854784390496</v>
      </c>
      <c r="E74">
        <f t="shared" ca="1" si="1"/>
        <v>10.46806383949297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6830.3249743221313</v>
      </c>
      <c r="G74">
        <f ca="1">IF($C74-G$1&lt;År1,0,F73*(1-VLOOKUP($A74,[1]Hugst!$R$5:$W$9,MATCH(ROUNDUP((G$1)/10,0)*10,[1]Hugst!$R$4:$W$4,0))))</f>
        <v>6824.0156469039212</v>
      </c>
      <c r="H74">
        <f ca="1">IF($C74-H$1&lt;År1,0,G73*(1-VLOOKUP($A74,[1]Hugst!$R$5:$W$9,MATCH(ROUNDUP((H$1)/10,0)*10,[1]Hugst!$R$4:$W$4,0))))</f>
        <v>6828.1952814982569</v>
      </c>
      <c r="I74">
        <f ca="1">IF($C74-I$1&lt;År1,0,H73*(1-VLOOKUP($A74,[1]Hugst!$R$5:$W$9,MATCH(ROUNDUP((I$1)/10,0)*10,[1]Hugst!$R$4:$W$4,0))))</f>
        <v>6832.3959192814609</v>
      </c>
      <c r="J74">
        <f ca="1">IF($C74-J$1&lt;År1,0,I73*(1-VLOOKUP($A74,[1]Hugst!$R$5:$W$9,MATCH(ROUNDUP((J$1)/10,0)*10,[1]Hugst!$R$4:$W$4,0))))</f>
        <v>6836.6176657972455</v>
      </c>
      <c r="K74">
        <f ca="1">IF($C74-K$1&lt;År1,0,J73*(1-VLOOKUP($A74,[1]Hugst!$R$5:$W$9,MATCH(ROUNDUP((K$1)/10,0)*10,[1]Hugst!$R$4:$W$4,0))))</f>
        <v>6840.8606271196459</v>
      </c>
      <c r="L74">
        <f ca="1">IF($C74-L$1&lt;År1,0,K73*(1-VLOOKUP($A74,[1]Hugst!$R$5:$W$9,MATCH(ROUNDUP((L$1)/10,0)*10,[1]Hugst!$R$4:$W$4,0))))</f>
        <v>6845.1249098557346</v>
      </c>
      <c r="M74">
        <f ca="1">IF($C74-M$1&lt;År1,0,L73*(1-VLOOKUP($A74,[1]Hugst!$R$5:$W$9,MATCH(ROUNDUP((M$1)/10,0)*10,[1]Hugst!$R$4:$W$4,0))))</f>
        <v>6849.4106211482849</v>
      </c>
      <c r="N74">
        <f ca="1">IF($C74-N$1&lt;År1,0,M73*(1-VLOOKUP($A74,[1]Hugst!$R$5:$W$9,MATCH(ROUNDUP((N$1)/10,0)*10,[1]Hugst!$R$4:$W$4,0))))</f>
        <v>6853.7178686784882</v>
      </c>
      <c r="O74">
        <f ca="1">IF($C74-O$1&lt;År1,0,N73*(1-VLOOKUP($A74,[1]Hugst!$R$5:$W$9,MATCH(ROUNDUP((O$1)/10,0)*10,[1]Hugst!$R$4:$W$4,0))))</f>
        <v>6858.0467606686125</v>
      </c>
      <c r="P74">
        <f ca="1">IF($C74-P$1&lt;År1,0,O73*(1-VLOOKUP($A74,[1]Hugst!$R$5:$W$9,MATCH(ROUNDUP((P$1)/10,0)*10,[1]Hugst!$R$4:$W$4,0))))</f>
        <v>6851.9293420453778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823.4506051046319</v>
      </c>
      <c r="E75">
        <f t="shared" ca="1" si="1"/>
        <v>20.913522868548171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6230.0980100033594</v>
      </c>
      <c r="G75">
        <f ca="1">IF($C75-G$1&lt;År1,0,F74*(1-VLOOKUP($A75,[1]Hugst!$R$5:$W$9,MATCH(ROUNDUP((G$1)/10,0)*10,[1]Hugst!$R$4:$W$4,0))))</f>
        <v>6830.3249743221313</v>
      </c>
      <c r="H75">
        <f ca="1">IF($C75-H$1&lt;År1,0,G74*(1-VLOOKUP($A75,[1]Hugst!$R$5:$W$9,MATCH(ROUNDUP((H$1)/10,0)*10,[1]Hugst!$R$4:$W$4,0))))</f>
        <v>6824.0156469039212</v>
      </c>
      <c r="I75">
        <f ca="1">IF($C75-I$1&lt;År1,0,H74*(1-VLOOKUP($A75,[1]Hugst!$R$5:$W$9,MATCH(ROUNDUP((I$1)/10,0)*10,[1]Hugst!$R$4:$W$4,0))))</f>
        <v>6828.1952814982569</v>
      </c>
      <c r="J75">
        <f ca="1">IF($C75-J$1&lt;År1,0,I74*(1-VLOOKUP($A75,[1]Hugst!$R$5:$W$9,MATCH(ROUNDUP((J$1)/10,0)*10,[1]Hugst!$R$4:$W$4,0))))</f>
        <v>6832.3959192814609</v>
      </c>
      <c r="K75">
        <f ca="1">IF($C75-K$1&lt;År1,0,J74*(1-VLOOKUP($A75,[1]Hugst!$R$5:$W$9,MATCH(ROUNDUP((K$1)/10,0)*10,[1]Hugst!$R$4:$W$4,0))))</f>
        <v>6836.6176657972455</v>
      </c>
      <c r="L75">
        <f ca="1">IF($C75-L$1&lt;År1,0,K74*(1-VLOOKUP($A75,[1]Hugst!$R$5:$W$9,MATCH(ROUNDUP((L$1)/10,0)*10,[1]Hugst!$R$4:$W$4,0))))</f>
        <v>6840.8606271196459</v>
      </c>
      <c r="M75">
        <f ca="1">IF($C75-M$1&lt;År1,0,L74*(1-VLOOKUP($A75,[1]Hugst!$R$5:$W$9,MATCH(ROUNDUP((M$1)/10,0)*10,[1]Hugst!$R$4:$W$4,0))))</f>
        <v>6845.1249098557346</v>
      </c>
      <c r="N75">
        <f ca="1">IF($C75-N$1&lt;År1,0,M74*(1-VLOOKUP($A75,[1]Hugst!$R$5:$W$9,MATCH(ROUNDUP((N$1)/10,0)*10,[1]Hugst!$R$4:$W$4,0))))</f>
        <v>6849.4106211482849</v>
      </c>
      <c r="O75">
        <f ca="1">IF($C75-O$1&lt;År1,0,N74*(1-VLOOKUP($A75,[1]Hugst!$R$5:$W$9,MATCH(ROUNDUP((O$1)/10,0)*10,[1]Hugst!$R$4:$W$4,0))))</f>
        <v>6853.7178686784882</v>
      </c>
      <c r="P75">
        <f ca="1">IF($C75-P$1&lt;År1,0,O74*(1-VLOOKUP($A75,[1]Hugst!$R$5:$W$9,MATCH(ROUNDUP((P$1)/10,0)*10,[1]Hugst!$R$4:$W$4,0))))</f>
        <v>6847.585333406575</v>
      </c>
      <c r="Q75">
        <f ca="1">IF($C75-Q$1&lt;År1,0,P74*(1-VLOOKUP($A75,[1]Hugst!$R$5:$W$9,MATCH(ROUNDUP((Q$1)/10,0)*10,[1]Hugst!$R$4:$W$4,0))))</f>
        <v>6841.477246438868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819.33335207914934</v>
      </c>
      <c r="E76">
        <f t="shared" ca="1" si="1"/>
        <v>31.336444751985255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6236.4036788613139</v>
      </c>
      <c r="G76">
        <f ca="1">IF($C76-G$1&lt;År1,0,F75*(1-VLOOKUP($A76,[1]Hugst!$R$5:$W$9,MATCH(ROUNDUP((G$1)/10,0)*10,[1]Hugst!$R$4:$W$4,0))))</f>
        <v>6230.0980100033594</v>
      </c>
      <c r="H76">
        <f ca="1">IF($C76-H$1&lt;År1,0,G75*(1-VLOOKUP($A76,[1]Hugst!$R$5:$W$9,MATCH(ROUNDUP((H$1)/10,0)*10,[1]Hugst!$R$4:$W$4,0))))</f>
        <v>6830.3249743221313</v>
      </c>
      <c r="I76">
        <f ca="1">IF($C76-I$1&lt;År1,0,H75*(1-VLOOKUP($A76,[1]Hugst!$R$5:$W$9,MATCH(ROUNDUP((I$1)/10,0)*10,[1]Hugst!$R$4:$W$4,0))))</f>
        <v>6824.0156469039212</v>
      </c>
      <c r="J76">
        <f ca="1">IF($C76-J$1&lt;År1,0,I75*(1-VLOOKUP($A76,[1]Hugst!$R$5:$W$9,MATCH(ROUNDUP((J$1)/10,0)*10,[1]Hugst!$R$4:$W$4,0))))</f>
        <v>6828.1952814982569</v>
      </c>
      <c r="K76">
        <f ca="1">IF($C76-K$1&lt;År1,0,J75*(1-VLOOKUP($A76,[1]Hugst!$R$5:$W$9,MATCH(ROUNDUP((K$1)/10,0)*10,[1]Hugst!$R$4:$W$4,0))))</f>
        <v>6832.3959192814609</v>
      </c>
      <c r="L76">
        <f ca="1">IF($C76-L$1&lt;År1,0,K75*(1-VLOOKUP($A76,[1]Hugst!$R$5:$W$9,MATCH(ROUNDUP((L$1)/10,0)*10,[1]Hugst!$R$4:$W$4,0))))</f>
        <v>6836.6176657972455</v>
      </c>
      <c r="M76">
        <f ca="1">IF($C76-M$1&lt;År1,0,L75*(1-VLOOKUP($A76,[1]Hugst!$R$5:$W$9,MATCH(ROUNDUP((M$1)/10,0)*10,[1]Hugst!$R$4:$W$4,0))))</f>
        <v>6840.8606271196459</v>
      </c>
      <c r="N76">
        <f ca="1">IF($C76-N$1&lt;År1,0,M75*(1-VLOOKUP($A76,[1]Hugst!$R$5:$W$9,MATCH(ROUNDUP((N$1)/10,0)*10,[1]Hugst!$R$4:$W$4,0))))</f>
        <v>6845.1249098557346</v>
      </c>
      <c r="O76">
        <f ca="1">IF($C76-O$1&lt;År1,0,N75*(1-VLOOKUP($A76,[1]Hugst!$R$5:$W$9,MATCH(ROUNDUP((O$1)/10,0)*10,[1]Hugst!$R$4:$W$4,0))))</f>
        <v>6849.4106211482849</v>
      </c>
      <c r="P76">
        <f ca="1">IF($C76-P$1&lt;År1,0,O75*(1-VLOOKUP($A76,[1]Hugst!$R$5:$W$9,MATCH(ROUNDUP((P$1)/10,0)*10,[1]Hugst!$R$4:$W$4,0))))</f>
        <v>6843.2630448110122</v>
      </c>
      <c r="Q76">
        <f ca="1">IF($C76-Q$1&lt;År1,0,P75*(1-VLOOKUP($A76,[1]Hugst!$R$5:$W$9,MATCH(ROUNDUP((Q$1)/10,0)*10,[1]Hugst!$R$4:$W$4,0))))</f>
        <v>6837.1398642539207</v>
      </c>
      <c r="R76">
        <f ca="1">IF($C76-R$1&lt;År1,0,Q75*(1-VLOOKUP($A76,[1]Hugst!$R$5:$W$9,MATCH(ROUNDUP((R$1)/10,0)*10,[1]Hugst!$R$4:$W$4,0))))</f>
        <v>6831.0410947070122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815.23668531873227</v>
      </c>
      <c r="E77">
        <f t="shared" ca="1" si="1"/>
        <v>41.736896885442548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6242.7074642343541</v>
      </c>
      <c r="G77">
        <f ca="1">IF($C77-G$1&lt;År1,0,F76*(1-VLOOKUP($A77,[1]Hugst!$R$5:$W$9,MATCH(ROUNDUP((G$1)/10,0)*10,[1]Hugst!$R$4:$W$4,0))))</f>
        <v>6236.4036788613139</v>
      </c>
      <c r="H77">
        <f ca="1">IF($C77-H$1&lt;År1,0,G76*(1-VLOOKUP($A77,[1]Hugst!$R$5:$W$9,MATCH(ROUNDUP((H$1)/10,0)*10,[1]Hugst!$R$4:$W$4,0))))</f>
        <v>6230.0980100033594</v>
      </c>
      <c r="I77">
        <f ca="1">IF($C77-I$1&lt;År1,0,H76*(1-VLOOKUP($A77,[1]Hugst!$R$5:$W$9,MATCH(ROUNDUP((I$1)/10,0)*10,[1]Hugst!$R$4:$W$4,0))))</f>
        <v>6830.3249743221313</v>
      </c>
      <c r="J77">
        <f ca="1">IF($C77-J$1&lt;År1,0,I76*(1-VLOOKUP($A77,[1]Hugst!$R$5:$W$9,MATCH(ROUNDUP((J$1)/10,0)*10,[1]Hugst!$R$4:$W$4,0))))</f>
        <v>6824.0156469039212</v>
      </c>
      <c r="K77">
        <f ca="1">IF($C77-K$1&lt;År1,0,J76*(1-VLOOKUP($A77,[1]Hugst!$R$5:$W$9,MATCH(ROUNDUP((K$1)/10,0)*10,[1]Hugst!$R$4:$W$4,0))))</f>
        <v>6828.1952814982569</v>
      </c>
      <c r="L77">
        <f ca="1">IF($C77-L$1&lt;År1,0,K76*(1-VLOOKUP($A77,[1]Hugst!$R$5:$W$9,MATCH(ROUNDUP((L$1)/10,0)*10,[1]Hugst!$R$4:$W$4,0))))</f>
        <v>6832.3959192814609</v>
      </c>
      <c r="M77">
        <f ca="1">IF($C77-M$1&lt;År1,0,L76*(1-VLOOKUP($A77,[1]Hugst!$R$5:$W$9,MATCH(ROUNDUP((M$1)/10,0)*10,[1]Hugst!$R$4:$W$4,0))))</f>
        <v>6836.6176657972455</v>
      </c>
      <c r="N77">
        <f ca="1">IF($C77-N$1&lt;År1,0,M76*(1-VLOOKUP($A77,[1]Hugst!$R$5:$W$9,MATCH(ROUNDUP((N$1)/10,0)*10,[1]Hugst!$R$4:$W$4,0))))</f>
        <v>6840.8606271196459</v>
      </c>
      <c r="O77">
        <f ca="1">IF($C77-O$1&lt;År1,0,N76*(1-VLOOKUP($A77,[1]Hugst!$R$5:$W$9,MATCH(ROUNDUP((O$1)/10,0)*10,[1]Hugst!$R$4:$W$4,0))))</f>
        <v>6845.1249098557346</v>
      </c>
      <c r="P77">
        <f ca="1">IF($C77-P$1&lt;År1,0,O76*(1-VLOOKUP($A77,[1]Hugst!$R$5:$W$9,MATCH(ROUNDUP((P$1)/10,0)*10,[1]Hugst!$R$4:$W$4,0))))</f>
        <v>6838.9623676583979</v>
      </c>
      <c r="Q77">
        <f ca="1">IF($C77-Q$1&lt;År1,0,P76*(1-VLOOKUP($A77,[1]Hugst!$R$5:$W$9,MATCH(ROUNDUP((Q$1)/10,0)*10,[1]Hugst!$R$4:$W$4,0))))</f>
        <v>6832.8241689799443</v>
      </c>
      <c r="R77">
        <f ca="1">IF($C77-R$1&lt;År1,0,Q76*(1-VLOOKUP($A77,[1]Hugst!$R$5:$W$9,MATCH(ROUNDUP((R$1)/10,0)*10,[1]Hugst!$R$4:$W$4,0))))</f>
        <v>6826.7103288677708</v>
      </c>
      <c r="S77">
        <f ca="1">IF($C77-S$1&lt;År1,0,R76*(1-VLOOKUP($A77,[1]Hugst!$R$5:$W$9,MATCH(ROUNDUP((S$1)/10,0)*10,[1]Hugst!$R$4:$W$4,0))))</f>
        <v>6820.6208625286454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811.16050189214184</v>
      </c>
      <c r="E78">
        <f t="shared" ca="1" si="1"/>
        <v>52.114946396803134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6249.0093303191243</v>
      </c>
      <c r="G78">
        <f ca="1">IF($C78-G$1&lt;År1,0,F77*(1-VLOOKUP($A78,[1]Hugst!$R$5:$W$9,MATCH(ROUNDUP((G$1)/10,0)*10,[1]Hugst!$R$4:$W$4,0))))</f>
        <v>6242.7074642343541</v>
      </c>
      <c r="H78">
        <f ca="1">IF($C78-H$1&lt;År1,0,G77*(1-VLOOKUP($A78,[1]Hugst!$R$5:$W$9,MATCH(ROUNDUP((H$1)/10,0)*10,[1]Hugst!$R$4:$W$4,0))))</f>
        <v>6236.4036788613139</v>
      </c>
      <c r="I78">
        <f ca="1">IF($C78-I$1&lt;År1,0,H77*(1-VLOOKUP($A78,[1]Hugst!$R$5:$W$9,MATCH(ROUNDUP((I$1)/10,0)*10,[1]Hugst!$R$4:$W$4,0))))</f>
        <v>6230.0980100033594</v>
      </c>
      <c r="J78">
        <f ca="1">IF($C78-J$1&lt;År1,0,I77*(1-VLOOKUP($A78,[1]Hugst!$R$5:$W$9,MATCH(ROUNDUP((J$1)/10,0)*10,[1]Hugst!$R$4:$W$4,0))))</f>
        <v>6830.3249743221313</v>
      </c>
      <c r="K78">
        <f ca="1">IF($C78-K$1&lt;År1,0,J77*(1-VLOOKUP($A78,[1]Hugst!$R$5:$W$9,MATCH(ROUNDUP((K$1)/10,0)*10,[1]Hugst!$R$4:$W$4,0))))</f>
        <v>6824.0156469039212</v>
      </c>
      <c r="L78">
        <f ca="1">IF($C78-L$1&lt;År1,0,K77*(1-VLOOKUP($A78,[1]Hugst!$R$5:$W$9,MATCH(ROUNDUP((L$1)/10,0)*10,[1]Hugst!$R$4:$W$4,0))))</f>
        <v>6828.1952814982569</v>
      </c>
      <c r="M78">
        <f ca="1">IF($C78-M$1&lt;År1,0,L77*(1-VLOOKUP($A78,[1]Hugst!$R$5:$W$9,MATCH(ROUNDUP((M$1)/10,0)*10,[1]Hugst!$R$4:$W$4,0))))</f>
        <v>6832.3959192814609</v>
      </c>
      <c r="N78">
        <f ca="1">IF($C78-N$1&lt;År1,0,M77*(1-VLOOKUP($A78,[1]Hugst!$R$5:$W$9,MATCH(ROUNDUP((N$1)/10,0)*10,[1]Hugst!$R$4:$W$4,0))))</f>
        <v>6836.6176657972455</v>
      </c>
      <c r="O78">
        <f ca="1">IF($C78-O$1&lt;År1,0,N77*(1-VLOOKUP($A78,[1]Hugst!$R$5:$W$9,MATCH(ROUNDUP((O$1)/10,0)*10,[1]Hugst!$R$4:$W$4,0))))</f>
        <v>6840.8606271196459</v>
      </c>
      <c r="P78">
        <f ca="1">IF($C78-P$1&lt;År1,0,O77*(1-VLOOKUP($A78,[1]Hugst!$R$5:$W$9,MATCH(ROUNDUP((P$1)/10,0)*10,[1]Hugst!$R$4:$W$4,0))))</f>
        <v>6834.6831938915475</v>
      </c>
      <c r="Q78">
        <f ca="1">IF($C78-Q$1&lt;År1,0,P77*(1-VLOOKUP($A78,[1]Hugst!$R$5:$W$9,MATCH(ROUNDUP((Q$1)/10,0)*10,[1]Hugst!$R$4:$W$4,0))))</f>
        <v>6828.5300521823083</v>
      </c>
      <c r="R78">
        <f ca="1">IF($C78-R$1&lt;År1,0,Q77*(1-VLOOKUP($A78,[1]Hugst!$R$5:$W$9,MATCH(ROUNDUP((R$1)/10,0)*10,[1]Hugst!$R$4:$W$4,0))))</f>
        <v>6822.401216857771</v>
      </c>
      <c r="S78">
        <f ca="1">IF($C78-S$1&lt;År1,0,R77*(1-VLOOKUP($A78,[1]Hugst!$R$5:$W$9,MATCH(ROUNDUP((S$1)/10,0)*10,[1]Hugst!$R$4:$W$4,0))))</f>
        <v>6816.2967029423789</v>
      </c>
      <c r="T78">
        <f ca="1">IF($C78-T$1&lt;År1,0,S77*(1-VLOOKUP($A78,[1]Hugst!$R$5:$W$9,MATCH(ROUNDUP((T$1)/10,0)*10,[1]Hugst!$R$4:$W$4,0))))</f>
        <v>6810.2165256197031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807.10469938269853</v>
      </c>
      <c r="E79">
        <f t="shared" ca="1" si="1"/>
        <v>62.47066014703887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6255.3092415599167</v>
      </c>
      <c r="G79">
        <f ca="1">IF($C79-G$1&lt;År1,0,F78*(1-VLOOKUP($A79,[1]Hugst!$R$5:$W$9,MATCH(ROUNDUP((G$1)/10,0)*10,[1]Hugst!$R$4:$W$4,0))))</f>
        <v>6249.0093303191243</v>
      </c>
      <c r="H79">
        <f ca="1">IF($C79-H$1&lt;År1,0,G78*(1-VLOOKUP($A79,[1]Hugst!$R$5:$W$9,MATCH(ROUNDUP((H$1)/10,0)*10,[1]Hugst!$R$4:$W$4,0))))</f>
        <v>6242.7074642343541</v>
      </c>
      <c r="I79">
        <f ca="1">IF($C79-I$1&lt;År1,0,H78*(1-VLOOKUP($A79,[1]Hugst!$R$5:$W$9,MATCH(ROUNDUP((I$1)/10,0)*10,[1]Hugst!$R$4:$W$4,0))))</f>
        <v>6236.4036788613139</v>
      </c>
      <c r="J79">
        <f ca="1">IF($C79-J$1&lt;År1,0,I78*(1-VLOOKUP($A79,[1]Hugst!$R$5:$W$9,MATCH(ROUNDUP((J$1)/10,0)*10,[1]Hugst!$R$4:$W$4,0))))</f>
        <v>6230.0980100033594</v>
      </c>
      <c r="K79">
        <f ca="1">IF($C79-K$1&lt;År1,0,J78*(1-VLOOKUP($A79,[1]Hugst!$R$5:$W$9,MATCH(ROUNDUP((K$1)/10,0)*10,[1]Hugst!$R$4:$W$4,0))))</f>
        <v>6830.3249743221313</v>
      </c>
      <c r="L79">
        <f ca="1">IF($C79-L$1&lt;År1,0,K78*(1-VLOOKUP($A79,[1]Hugst!$R$5:$W$9,MATCH(ROUNDUP((L$1)/10,0)*10,[1]Hugst!$R$4:$W$4,0))))</f>
        <v>6824.0156469039212</v>
      </c>
      <c r="M79">
        <f ca="1">IF($C79-M$1&lt;År1,0,L78*(1-VLOOKUP($A79,[1]Hugst!$R$5:$W$9,MATCH(ROUNDUP((M$1)/10,0)*10,[1]Hugst!$R$4:$W$4,0))))</f>
        <v>6828.1952814982569</v>
      </c>
      <c r="N79">
        <f ca="1">IF($C79-N$1&lt;År1,0,M78*(1-VLOOKUP($A79,[1]Hugst!$R$5:$W$9,MATCH(ROUNDUP((N$1)/10,0)*10,[1]Hugst!$R$4:$W$4,0))))</f>
        <v>6832.3959192814609</v>
      </c>
      <c r="O79">
        <f ca="1">IF($C79-O$1&lt;År1,0,N78*(1-VLOOKUP($A79,[1]Hugst!$R$5:$W$9,MATCH(ROUNDUP((O$1)/10,0)*10,[1]Hugst!$R$4:$W$4,0))))</f>
        <v>6836.6176657972455</v>
      </c>
      <c r="P79">
        <f ca="1">IF($C79-P$1&lt;År1,0,O78*(1-VLOOKUP($A79,[1]Hugst!$R$5:$W$9,MATCH(ROUNDUP((P$1)/10,0)*10,[1]Hugst!$R$4:$W$4,0))))</f>
        <v>6830.4254159935308</v>
      </c>
      <c r="Q79">
        <f ca="1">IF($C79-Q$1&lt;År1,0,P78*(1-VLOOKUP($A79,[1]Hugst!$R$5:$W$9,MATCH(ROUNDUP((Q$1)/10,0)*10,[1]Hugst!$R$4:$W$4,0))))</f>
        <v>6824.2574059686622</v>
      </c>
      <c r="R79">
        <f ca="1">IF($C79-R$1&lt;År1,0,Q78*(1-VLOOKUP($A79,[1]Hugst!$R$5:$W$9,MATCH(ROUNDUP((R$1)/10,0)*10,[1]Hugst!$R$4:$W$4,0))))</f>
        <v>6818.1136504077931</v>
      </c>
      <c r="S79">
        <f ca="1">IF($C79-S$1&lt;År1,0,R78*(1-VLOOKUP($A79,[1]Hugst!$R$5:$W$9,MATCH(ROUNDUP((S$1)/10,0)*10,[1]Hugst!$R$4:$W$4,0))))</f>
        <v>6811.994164154089</v>
      </c>
      <c r="T79">
        <f ca="1">IF($C79-T$1&lt;År1,0,S78*(1-VLOOKUP($A79,[1]Hugst!$R$5:$W$9,MATCH(ROUNDUP((T$1)/10,0)*10,[1]Hugst!$R$4:$W$4,0))))</f>
        <v>6805.8989622090767</v>
      </c>
      <c r="U79">
        <f ca="1">IF($C79-U$1&lt;År1,0,T78*(1-VLOOKUP($A79,[1]Hugst!$R$5:$W$9,MATCH(ROUNDUP((U$1)/10,0)*10,[1]Hugst!$R$4:$W$4,0))))</f>
        <v>6799.8280597331641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803.06917588578108</v>
      </c>
      <c r="E80">
        <f t="shared" ca="1" si="1"/>
        <v>72.804104731927509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6261.6071626478879</v>
      </c>
      <c r="G80">
        <f ca="1">IF($C80-G$1&lt;År1,0,F79*(1-VLOOKUP($A80,[1]Hugst!$R$5:$W$9,MATCH(ROUNDUP((G$1)/10,0)*10,[1]Hugst!$R$4:$W$4,0))))</f>
        <v>6255.3092415599167</v>
      </c>
      <c r="H80">
        <f ca="1">IF($C80-H$1&lt;År1,0,G79*(1-VLOOKUP($A80,[1]Hugst!$R$5:$W$9,MATCH(ROUNDUP((H$1)/10,0)*10,[1]Hugst!$R$4:$W$4,0))))</f>
        <v>6249.0093303191243</v>
      </c>
      <c r="I80">
        <f ca="1">IF($C80-I$1&lt;År1,0,H79*(1-VLOOKUP($A80,[1]Hugst!$R$5:$W$9,MATCH(ROUNDUP((I$1)/10,0)*10,[1]Hugst!$R$4:$W$4,0))))</f>
        <v>6242.7074642343541</v>
      </c>
      <c r="J80">
        <f ca="1">IF($C80-J$1&lt;År1,0,I79*(1-VLOOKUP($A80,[1]Hugst!$R$5:$W$9,MATCH(ROUNDUP((J$1)/10,0)*10,[1]Hugst!$R$4:$W$4,0))))</f>
        <v>6236.4036788613139</v>
      </c>
      <c r="K80">
        <f ca="1">IF($C80-K$1&lt;År1,0,J79*(1-VLOOKUP($A80,[1]Hugst!$R$5:$W$9,MATCH(ROUNDUP((K$1)/10,0)*10,[1]Hugst!$R$4:$W$4,0))))</f>
        <v>6230.0980100033594</v>
      </c>
      <c r="L80">
        <f ca="1">IF($C80-L$1&lt;År1,0,K79*(1-VLOOKUP($A80,[1]Hugst!$R$5:$W$9,MATCH(ROUNDUP((L$1)/10,0)*10,[1]Hugst!$R$4:$W$4,0))))</f>
        <v>6830.3249743221313</v>
      </c>
      <c r="M80">
        <f ca="1">IF($C80-M$1&lt;År1,0,L79*(1-VLOOKUP($A80,[1]Hugst!$R$5:$W$9,MATCH(ROUNDUP((M$1)/10,0)*10,[1]Hugst!$R$4:$W$4,0))))</f>
        <v>6824.0156469039212</v>
      </c>
      <c r="N80">
        <f ca="1">IF($C80-N$1&lt;År1,0,M79*(1-VLOOKUP($A80,[1]Hugst!$R$5:$W$9,MATCH(ROUNDUP((N$1)/10,0)*10,[1]Hugst!$R$4:$W$4,0))))</f>
        <v>6828.1952814982569</v>
      </c>
      <c r="O80">
        <f ca="1">IF($C80-O$1&lt;År1,0,N79*(1-VLOOKUP($A80,[1]Hugst!$R$5:$W$9,MATCH(ROUNDUP((O$1)/10,0)*10,[1]Hugst!$R$4:$W$4,0))))</f>
        <v>6832.3959192814609</v>
      </c>
      <c r="P80">
        <f ca="1">IF($C80-P$1&lt;År1,0,O79*(1-VLOOKUP($A80,[1]Hugst!$R$5:$W$9,MATCH(ROUNDUP((P$1)/10,0)*10,[1]Hugst!$R$4:$W$4,0))))</f>
        <v>6826.1889269850126</v>
      </c>
      <c r="Q80">
        <f ca="1">IF($C80-Q$1&lt;År1,0,P79*(1-VLOOKUP($A80,[1]Hugst!$R$5:$W$9,MATCH(ROUNDUP((Q$1)/10,0)*10,[1]Hugst!$R$4:$W$4,0))))</f>
        <v>6820.006122986083</v>
      </c>
      <c r="R80">
        <f ca="1">IF($C80-R$1&lt;År1,0,Q79*(1-VLOOKUP($A80,[1]Hugst!$R$5:$W$9,MATCH(ROUNDUP((R$1)/10,0)*10,[1]Hugst!$R$4:$W$4,0))))</f>
        <v>6813.8475217900659</v>
      </c>
      <c r="S80">
        <f ca="1">IF($C80-S$1&lt;År1,0,R79*(1-VLOOKUP($A80,[1]Hugst!$R$5:$W$9,MATCH(ROUNDUP((S$1)/10,0)*10,[1]Hugst!$R$4:$W$4,0))))</f>
        <v>6807.7131380597129</v>
      </c>
      <c r="T80">
        <f ca="1">IF($C80-T$1&lt;År1,0,S79*(1-VLOOKUP($A80,[1]Hugst!$R$5:$W$9,MATCH(ROUNDUP((T$1)/10,0)*10,[1]Hugst!$R$4:$W$4,0))))</f>
        <v>6801.6029866155486</v>
      </c>
      <c r="U80">
        <f ca="1">IF($C80-U$1&lt;År1,0,T79*(1-VLOOKUP($A80,[1]Hugst!$R$5:$W$9,MATCH(ROUNDUP((U$1)/10,0)*10,[1]Hugst!$R$4:$W$4,0))))</f>
        <v>6795.5170824362149</v>
      </c>
      <c r="V80">
        <f ca="1">IF($C80-V$1&lt;År1,0,U79*(1-VLOOKUP($A80,[1]Hugst!$R$5:$W$9,MATCH(ROUNDUP((V$1)/10,0)*10,[1]Hugst!$R$4:$W$4,0))))</f>
        <v>6789.455440658995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799.05383000634538</v>
      </c>
      <c r="E81">
        <f t="shared" ca="1" si="1"/>
        <v>83.115346482940367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6267.903058519465</v>
      </c>
      <c r="G81">
        <f ca="1">IF($C81-G$1&lt;År1,0,F80*(1-VLOOKUP($A81,[1]Hugst!$R$5:$W$9,MATCH(ROUNDUP((G$1)/10,0)*10,[1]Hugst!$R$4:$W$4,0))))</f>
        <v>6261.6071626478879</v>
      </c>
      <c r="H81">
        <f ca="1">IF($C81-H$1&lt;År1,0,G80*(1-VLOOKUP($A81,[1]Hugst!$R$5:$W$9,MATCH(ROUNDUP((H$1)/10,0)*10,[1]Hugst!$R$4:$W$4,0))))</f>
        <v>6255.3092415599167</v>
      </c>
      <c r="I81">
        <f ca="1">IF($C81-I$1&lt;År1,0,H80*(1-VLOOKUP($A81,[1]Hugst!$R$5:$W$9,MATCH(ROUNDUP((I$1)/10,0)*10,[1]Hugst!$R$4:$W$4,0))))</f>
        <v>6249.0093303191243</v>
      </c>
      <c r="J81">
        <f ca="1">IF($C81-J$1&lt;År1,0,I80*(1-VLOOKUP($A81,[1]Hugst!$R$5:$W$9,MATCH(ROUNDUP((J$1)/10,0)*10,[1]Hugst!$R$4:$W$4,0))))</f>
        <v>6242.7074642343541</v>
      </c>
      <c r="K81">
        <f ca="1">IF($C81-K$1&lt;År1,0,J80*(1-VLOOKUP($A81,[1]Hugst!$R$5:$W$9,MATCH(ROUNDUP((K$1)/10,0)*10,[1]Hugst!$R$4:$W$4,0))))</f>
        <v>6236.4036788613139</v>
      </c>
      <c r="L81">
        <f ca="1">IF($C81-L$1&lt;År1,0,K80*(1-VLOOKUP($A81,[1]Hugst!$R$5:$W$9,MATCH(ROUNDUP((L$1)/10,0)*10,[1]Hugst!$R$4:$W$4,0))))</f>
        <v>6230.0980100033594</v>
      </c>
      <c r="M81">
        <f ca="1">IF($C81-M$1&lt;År1,0,L80*(1-VLOOKUP($A81,[1]Hugst!$R$5:$W$9,MATCH(ROUNDUP((M$1)/10,0)*10,[1]Hugst!$R$4:$W$4,0))))</f>
        <v>6830.3249743221313</v>
      </c>
      <c r="N81">
        <f ca="1">IF($C81-N$1&lt;År1,0,M80*(1-VLOOKUP($A81,[1]Hugst!$R$5:$W$9,MATCH(ROUNDUP((N$1)/10,0)*10,[1]Hugst!$R$4:$W$4,0))))</f>
        <v>6824.0156469039212</v>
      </c>
      <c r="O81">
        <f ca="1">IF($C81-O$1&lt;År1,0,N80*(1-VLOOKUP($A81,[1]Hugst!$R$5:$W$9,MATCH(ROUNDUP((O$1)/10,0)*10,[1]Hugst!$R$4:$W$4,0))))</f>
        <v>6828.1952814982569</v>
      </c>
      <c r="P81">
        <f ca="1">IF($C81-P$1&lt;År1,0,O80*(1-VLOOKUP($A81,[1]Hugst!$R$5:$W$9,MATCH(ROUNDUP((P$1)/10,0)*10,[1]Hugst!$R$4:$W$4,0))))</f>
        <v>6821.9736204215396</v>
      </c>
      <c r="Q81">
        <f ca="1">IF($C81-Q$1&lt;År1,0,P80*(1-VLOOKUP($A81,[1]Hugst!$R$5:$W$9,MATCH(ROUNDUP((Q$1)/10,0)*10,[1]Hugst!$R$4:$W$4,0))))</f>
        <v>6815.7760964184254</v>
      </c>
      <c r="R81">
        <f ca="1">IF($C81-R$1&lt;År1,0,Q80*(1-VLOOKUP($A81,[1]Hugst!$R$5:$W$9,MATCH(ROUNDUP((R$1)/10,0)*10,[1]Hugst!$R$4:$W$4,0))))</f>
        <v>6809.6027238154256</v>
      </c>
      <c r="S81">
        <f ca="1">IF($C81-S$1&lt;År1,0,R80*(1-VLOOKUP($A81,[1]Hugst!$R$5:$W$9,MATCH(ROUNDUP((S$1)/10,0)*10,[1]Hugst!$R$4:$W$4,0))))</f>
        <v>6803.4535170958097</v>
      </c>
      <c r="T81">
        <f ca="1">IF($C81-T$1&lt;År1,0,S80*(1-VLOOKUP($A81,[1]Hugst!$R$5:$W$9,MATCH(ROUNDUP((T$1)/10,0)*10,[1]Hugst!$R$4:$W$4,0))))</f>
        <v>6797.3284908999603</v>
      </c>
      <c r="U81">
        <f ca="1">IF($C81-U$1&lt;År1,0,T80*(1-VLOOKUP($A81,[1]Hugst!$R$5:$W$9,MATCH(ROUNDUP((U$1)/10,0)*10,[1]Hugst!$R$4:$W$4,0))))</f>
        <v>6791.2276600257956</v>
      </c>
      <c r="V81">
        <f ca="1">IF($C81-V$1&lt;År1,0,U80*(1-VLOOKUP($A81,[1]Hugst!$R$5:$W$9,MATCH(ROUNDUP((V$1)/10,0)*10,[1]Hugst!$R$4:$W$4,0))))</f>
        <v>6785.151039429109</v>
      </c>
      <c r="W81">
        <f ca="1">IF($C81-W$1&lt;År1,0,V80*(1-VLOOKUP($A81,[1]Hugst!$R$5:$W$9,MATCH(ROUNDUP((W$1)/10,0)*10,[1]Hugst!$R$4:$W$4,0))))</f>
        <v>6779.098644224091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795.05856085633968</v>
      </c>
      <c r="E82">
        <f t="shared" ca="1" si="1"/>
        <v>93.404451468566549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6274.1968943550855</v>
      </c>
      <c r="G82">
        <f ca="1">IF($C82-G$1&lt;År1,0,F81*(1-VLOOKUP($A82,[1]Hugst!$R$5:$W$9,MATCH(ROUNDUP((G$1)/10,0)*10,[1]Hugst!$R$4:$W$4,0))))</f>
        <v>6267.903058519465</v>
      </c>
      <c r="H82">
        <f ca="1">IF($C82-H$1&lt;År1,0,G81*(1-VLOOKUP($A82,[1]Hugst!$R$5:$W$9,MATCH(ROUNDUP((H$1)/10,0)*10,[1]Hugst!$R$4:$W$4,0))))</f>
        <v>6261.6071626478879</v>
      </c>
      <c r="I82">
        <f ca="1">IF($C82-I$1&lt;År1,0,H81*(1-VLOOKUP($A82,[1]Hugst!$R$5:$W$9,MATCH(ROUNDUP((I$1)/10,0)*10,[1]Hugst!$R$4:$W$4,0))))</f>
        <v>6255.3092415599167</v>
      </c>
      <c r="J82">
        <f ca="1">IF($C82-J$1&lt;År1,0,I81*(1-VLOOKUP($A82,[1]Hugst!$R$5:$W$9,MATCH(ROUNDUP((J$1)/10,0)*10,[1]Hugst!$R$4:$W$4,0))))</f>
        <v>6249.0093303191243</v>
      </c>
      <c r="K82">
        <f ca="1">IF($C82-K$1&lt;År1,0,J81*(1-VLOOKUP($A82,[1]Hugst!$R$5:$W$9,MATCH(ROUNDUP((K$1)/10,0)*10,[1]Hugst!$R$4:$W$4,0))))</f>
        <v>6242.7074642343541</v>
      </c>
      <c r="L82">
        <f ca="1">IF($C82-L$1&lt;År1,0,K81*(1-VLOOKUP($A82,[1]Hugst!$R$5:$W$9,MATCH(ROUNDUP((L$1)/10,0)*10,[1]Hugst!$R$4:$W$4,0))))</f>
        <v>6236.4036788613139</v>
      </c>
      <c r="M82">
        <f ca="1">IF($C82-M$1&lt;År1,0,L81*(1-VLOOKUP($A82,[1]Hugst!$R$5:$W$9,MATCH(ROUNDUP((M$1)/10,0)*10,[1]Hugst!$R$4:$W$4,0))))</f>
        <v>6230.0980100033594</v>
      </c>
      <c r="N82">
        <f ca="1">IF($C82-N$1&lt;År1,0,M81*(1-VLOOKUP($A82,[1]Hugst!$R$5:$W$9,MATCH(ROUNDUP((N$1)/10,0)*10,[1]Hugst!$R$4:$W$4,0))))</f>
        <v>6830.3249743221313</v>
      </c>
      <c r="O82">
        <f ca="1">IF($C82-O$1&lt;År1,0,N81*(1-VLOOKUP($A82,[1]Hugst!$R$5:$W$9,MATCH(ROUNDUP((O$1)/10,0)*10,[1]Hugst!$R$4:$W$4,0))))</f>
        <v>6824.0156469039212</v>
      </c>
      <c r="P82">
        <f ca="1">IF($C82-P$1&lt;År1,0,O81*(1-VLOOKUP($A82,[1]Hugst!$R$5:$W$9,MATCH(ROUNDUP((P$1)/10,0)*10,[1]Hugst!$R$4:$W$4,0))))</f>
        <v>6817.7793903908869</v>
      </c>
      <c r="Q82">
        <f ca="1">IF($C82-Q$1&lt;År1,0,P81*(1-VLOOKUP($A82,[1]Hugst!$R$5:$W$9,MATCH(ROUNDUP((Q$1)/10,0)*10,[1]Hugst!$R$4:$W$4,0))))</f>
        <v>6811.5672199836081</v>
      </c>
      <c r="R82">
        <f ca="1">IF($C82-R$1&lt;År1,0,Q81*(1-VLOOKUP($A82,[1]Hugst!$R$5:$W$9,MATCH(ROUNDUP((R$1)/10,0)*10,[1]Hugst!$R$4:$W$4,0))))</f>
        <v>6805.3791498306682</v>
      </c>
      <c r="S82">
        <f ca="1">IF($C82-S$1&lt;År1,0,R81*(1-VLOOKUP($A82,[1]Hugst!$R$5:$W$9,MATCH(ROUNDUP((S$1)/10,0)*10,[1]Hugst!$R$4:$W$4,0))))</f>
        <v>6799.2151942367236</v>
      </c>
      <c r="T82">
        <f ca="1">IF($C82-T$1&lt;År1,0,S81*(1-VLOOKUP($A82,[1]Hugst!$R$5:$W$9,MATCH(ROUNDUP((T$1)/10,0)*10,[1]Hugst!$R$4:$W$4,0))))</f>
        <v>6793.0753676629511</v>
      </c>
      <c r="U82">
        <f ca="1">IF($C82-U$1&lt;År1,0,T81*(1-VLOOKUP($A82,[1]Hugst!$R$5:$W$9,MATCH(ROUNDUP((U$1)/10,0)*10,[1]Hugst!$R$4:$W$4,0))))</f>
        <v>6786.9596847274006</v>
      </c>
      <c r="V82">
        <f ca="1">IF($C82-V$1&lt;År1,0,U81*(1-VLOOKUP($A82,[1]Hugst!$R$5:$W$9,MATCH(ROUNDUP((V$1)/10,0)*10,[1]Hugst!$R$4:$W$4,0))))</f>
        <v>6780.8681602054166</v>
      </c>
      <c r="W82">
        <f ca="1">IF($C82-W$1&lt;År1,0,V81*(1-VLOOKUP($A82,[1]Hugst!$R$5:$W$9,MATCH(ROUNDUP((W$1)/10,0)*10,[1]Hugst!$R$4:$W$4,0))))</f>
        <v>6774.80080902998</v>
      </c>
      <c r="X82">
        <f ca="1">IF($C82-X$1&lt;År1,0,W81*(1-VLOOKUP($A82,[1]Hugst!$R$5:$W$9,MATCH(ROUNDUP((X$1)/10,0)*10,[1]Hugst!$R$4:$W$4,0))))</f>
        <v>6768.7576462922234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791.0832680520125</v>
      </c>
      <c r="E83">
        <f t="shared" ca="1" si="1"/>
        <v>103.67148549549165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6280.4886355776835</v>
      </c>
      <c r="G83">
        <f ca="1">IF($C83-G$1&lt;År1,0,F82*(1-VLOOKUP($A83,[1]Hugst!$R$5:$W$9,MATCH(ROUNDUP((G$1)/10,0)*10,[1]Hugst!$R$4:$W$4,0))))</f>
        <v>6274.1968943550855</v>
      </c>
      <c r="H83">
        <f ca="1">IF($C83-H$1&lt;År1,0,G82*(1-VLOOKUP($A83,[1]Hugst!$R$5:$W$9,MATCH(ROUNDUP((H$1)/10,0)*10,[1]Hugst!$R$4:$W$4,0))))</f>
        <v>6267.903058519465</v>
      </c>
      <c r="I83">
        <f ca="1">IF($C83-I$1&lt;År1,0,H82*(1-VLOOKUP($A83,[1]Hugst!$R$5:$W$9,MATCH(ROUNDUP((I$1)/10,0)*10,[1]Hugst!$R$4:$W$4,0))))</f>
        <v>6261.6071626478879</v>
      </c>
      <c r="J83">
        <f ca="1">IF($C83-J$1&lt;År1,0,I82*(1-VLOOKUP($A83,[1]Hugst!$R$5:$W$9,MATCH(ROUNDUP((J$1)/10,0)*10,[1]Hugst!$R$4:$W$4,0))))</f>
        <v>6255.3092415599167</v>
      </c>
      <c r="K83">
        <f ca="1">IF($C83-K$1&lt;År1,0,J82*(1-VLOOKUP($A83,[1]Hugst!$R$5:$W$9,MATCH(ROUNDUP((K$1)/10,0)*10,[1]Hugst!$R$4:$W$4,0))))</f>
        <v>6249.0093303191243</v>
      </c>
      <c r="L83">
        <f ca="1">IF($C83-L$1&lt;År1,0,K82*(1-VLOOKUP($A83,[1]Hugst!$R$5:$W$9,MATCH(ROUNDUP((L$1)/10,0)*10,[1]Hugst!$R$4:$W$4,0))))</f>
        <v>6242.7074642343541</v>
      </c>
      <c r="M83">
        <f ca="1">IF($C83-M$1&lt;År1,0,L82*(1-VLOOKUP($A83,[1]Hugst!$R$5:$W$9,MATCH(ROUNDUP((M$1)/10,0)*10,[1]Hugst!$R$4:$W$4,0))))</f>
        <v>6236.4036788613139</v>
      </c>
      <c r="N83">
        <f ca="1">IF($C83-N$1&lt;År1,0,M82*(1-VLOOKUP($A83,[1]Hugst!$R$5:$W$9,MATCH(ROUNDUP((N$1)/10,0)*10,[1]Hugst!$R$4:$W$4,0))))</f>
        <v>6230.0980100033594</v>
      </c>
      <c r="O83">
        <f ca="1">IF($C83-O$1&lt;År1,0,N82*(1-VLOOKUP($A83,[1]Hugst!$R$5:$W$9,MATCH(ROUNDUP((O$1)/10,0)*10,[1]Hugst!$R$4:$W$4,0))))</f>
        <v>6830.3249743221313</v>
      </c>
      <c r="P83">
        <f ca="1">IF($C83-P$1&lt;År1,0,O82*(1-VLOOKUP($A83,[1]Hugst!$R$5:$W$9,MATCH(ROUNDUP((P$1)/10,0)*10,[1]Hugst!$R$4:$W$4,0))))</f>
        <v>6813.6061315103389</v>
      </c>
      <c r="Q83">
        <f ca="1">IF($C83-Q$1&lt;År1,0,P82*(1-VLOOKUP($A83,[1]Hugst!$R$5:$W$9,MATCH(ROUNDUP((Q$1)/10,0)*10,[1]Hugst!$R$4:$W$4,0))))</f>
        <v>6807.3793879309687</v>
      </c>
      <c r="R83">
        <f ca="1">IF($C83-R$1&lt;År1,0,Q82*(1-VLOOKUP($A83,[1]Hugst!$R$5:$W$9,MATCH(ROUNDUP((R$1)/10,0)*10,[1]Hugst!$R$4:$W$4,0))))</f>
        <v>6801.1766937158363</v>
      </c>
      <c r="S83">
        <f ca="1">IF($C83-S$1&lt;År1,0,R82*(1-VLOOKUP($A83,[1]Hugst!$R$5:$W$9,MATCH(ROUNDUP((S$1)/10,0)*10,[1]Hugst!$R$4:$W$4,0))))</f>
        <v>6794.9980629919437</v>
      </c>
      <c r="T83">
        <f ca="1">IF($C83-T$1&lt;År1,0,S82*(1-VLOOKUP($A83,[1]Hugst!$R$5:$W$9,MATCH(ROUNDUP((T$1)/10,0)*10,[1]Hugst!$R$4:$W$4,0))))</f>
        <v>6788.8435100421248</v>
      </c>
      <c r="U83">
        <f ca="1">IF($C83-U$1&lt;År1,0,T82*(1-VLOOKUP($A83,[1]Hugst!$R$5:$W$9,MATCH(ROUNDUP((U$1)/10,0)*10,[1]Hugst!$R$4:$W$4,0))))</f>
        <v>6782.7130493054992</v>
      </c>
      <c r="V83">
        <f ca="1">IF($C83-V$1&lt;År1,0,U82*(1-VLOOKUP($A83,[1]Hugst!$R$5:$W$9,MATCH(ROUNDUP((V$1)/10,0)*10,[1]Hugst!$R$4:$W$4,0))))</f>
        <v>6776.6066953778163</v>
      </c>
      <c r="W83">
        <f ca="1">IF($C83-W$1&lt;År1,0,V82*(1-VLOOKUP($A83,[1]Hugst!$R$5:$W$9,MATCH(ROUNDUP((W$1)/10,0)*10,[1]Hugst!$R$4:$W$4,0))))</f>
        <v>6770.5244630118823</v>
      </c>
      <c r="X83">
        <f ca="1">IF($C83-X$1&lt;År1,0,W82*(1-VLOOKUP($A83,[1]Hugst!$R$5:$W$9,MATCH(ROUNDUP((X$1)/10,0)*10,[1]Hugst!$R$4:$W$4,0))))</f>
        <v>6764.4663671179005</v>
      </c>
      <c r="Y83">
        <f ca="1">IF($C83-Y$1&lt;År1,0,X82*(1-VLOOKUP($A83,[1]Hugst!$R$5:$W$9,MATCH(ROUNDUP((Y$1)/10,0)*10,[1]Hugst!$R$4:$W$4,0))))</f>
        <v>6758.4324227639809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787.12785171177165</v>
      </c>
      <c r="E84">
        <f t="shared" ca="1" si="1"/>
        <v>115.36435361886106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6288.226087360812</v>
      </c>
      <c r="G84">
        <f ca="1">IF($C84-G$1&lt;År1,0,F83*(1-VLOOKUP($A84,[1]Hugst!$R$5:$W$9,MATCH(ROUNDUP((G$1)/10,0)*10,[1]Hugst!$R$4:$W$4,0))))</f>
        <v>6280.4886355776835</v>
      </c>
      <c r="H84">
        <f ca="1">IF($C84-H$1&lt;År1,0,G83*(1-VLOOKUP($A84,[1]Hugst!$R$5:$W$9,MATCH(ROUNDUP((H$1)/10,0)*10,[1]Hugst!$R$4:$W$4,0))))</f>
        <v>6274.1968943550855</v>
      </c>
      <c r="I84">
        <f ca="1">IF($C84-I$1&lt;År1,0,H83*(1-VLOOKUP($A84,[1]Hugst!$R$5:$W$9,MATCH(ROUNDUP((I$1)/10,0)*10,[1]Hugst!$R$4:$W$4,0))))</f>
        <v>6267.903058519465</v>
      </c>
      <c r="J84">
        <f ca="1">IF($C84-J$1&lt;År1,0,I83*(1-VLOOKUP($A84,[1]Hugst!$R$5:$W$9,MATCH(ROUNDUP((J$1)/10,0)*10,[1]Hugst!$R$4:$W$4,0))))</f>
        <v>6261.6071626478879</v>
      </c>
      <c r="K84">
        <f ca="1">IF($C84-K$1&lt;År1,0,J83*(1-VLOOKUP($A84,[1]Hugst!$R$5:$W$9,MATCH(ROUNDUP((K$1)/10,0)*10,[1]Hugst!$R$4:$W$4,0))))</f>
        <v>6255.3092415599167</v>
      </c>
      <c r="L84">
        <f ca="1">IF($C84-L$1&lt;År1,0,K83*(1-VLOOKUP($A84,[1]Hugst!$R$5:$W$9,MATCH(ROUNDUP((L$1)/10,0)*10,[1]Hugst!$R$4:$W$4,0))))</f>
        <v>6249.0093303191243</v>
      </c>
      <c r="M84">
        <f ca="1">IF($C84-M$1&lt;År1,0,L83*(1-VLOOKUP($A84,[1]Hugst!$R$5:$W$9,MATCH(ROUNDUP((M$1)/10,0)*10,[1]Hugst!$R$4:$W$4,0))))</f>
        <v>6242.7074642343541</v>
      </c>
      <c r="N84">
        <f ca="1">IF($C84-N$1&lt;År1,0,M83*(1-VLOOKUP($A84,[1]Hugst!$R$5:$W$9,MATCH(ROUNDUP((N$1)/10,0)*10,[1]Hugst!$R$4:$W$4,0))))</f>
        <v>6236.4036788613139</v>
      </c>
      <c r="O84">
        <f ca="1">IF($C84-O$1&lt;År1,0,N83*(1-VLOOKUP($A84,[1]Hugst!$R$5:$W$9,MATCH(ROUNDUP((O$1)/10,0)*10,[1]Hugst!$R$4:$W$4,0))))</f>
        <v>6230.0980100033594</v>
      </c>
      <c r="P84">
        <f ca="1">IF($C84-P$1&lt;År1,0,O83*(1-VLOOKUP($A84,[1]Hugst!$R$5:$W$9,MATCH(ROUNDUP((P$1)/10,0)*10,[1]Hugst!$R$4:$W$4,0))))</f>
        <v>6819.9058345307922</v>
      </c>
      <c r="Q84">
        <f ca="1">IF($C84-Q$1&lt;År1,0,P83*(1-VLOOKUP($A84,[1]Hugst!$R$5:$W$9,MATCH(ROUNDUP((Q$1)/10,0)*10,[1]Hugst!$R$4:$W$4,0))))</f>
        <v>6803.2124950385432</v>
      </c>
      <c r="R84">
        <f ca="1">IF($C84-R$1&lt;År1,0,Q83*(1-VLOOKUP($A84,[1]Hugst!$R$5:$W$9,MATCH(ROUNDUP((R$1)/10,0)*10,[1]Hugst!$R$4:$W$4,0))))</f>
        <v>6796.9952498815819</v>
      </c>
      <c r="S84">
        <f ca="1">IF($C84-S$1&lt;År1,0,R83*(1-VLOOKUP($A84,[1]Hugst!$R$5:$W$9,MATCH(ROUNDUP((S$1)/10,0)*10,[1]Hugst!$R$4:$W$4,0))))</f>
        <v>6790.8020174033882</v>
      </c>
      <c r="T84">
        <f ca="1">IF($C84-T$1&lt;År1,0,S83*(1-VLOOKUP($A84,[1]Hugst!$R$5:$W$9,MATCH(ROUNDUP((T$1)/10,0)*10,[1]Hugst!$R$4:$W$4,0))))</f>
        <v>6784.6328117094135</v>
      </c>
      <c r="U84">
        <f ca="1">IF($C84-U$1&lt;År1,0,T83*(1-VLOOKUP($A84,[1]Hugst!$R$5:$W$9,MATCH(ROUNDUP((U$1)/10,0)*10,[1]Hugst!$R$4:$W$4,0))))</f>
        <v>6778.4876470607041</v>
      </c>
      <c r="V84">
        <f ca="1">IF($C84-V$1&lt;År1,0,U83*(1-VLOOKUP($A84,[1]Hugst!$R$5:$W$9,MATCH(ROUNDUP((V$1)/10,0)*10,[1]Hugst!$R$4:$W$4,0))))</f>
        <v>6772.3665378743553</v>
      </c>
      <c r="W84">
        <f ca="1">IF($C84-W$1&lt;År1,0,V83*(1-VLOOKUP($A84,[1]Hugst!$R$5:$W$9,MATCH(ROUNDUP((W$1)/10,0)*10,[1]Hugst!$R$4:$W$4,0))))</f>
        <v>6766.2694987238501</v>
      </c>
      <c r="X84">
        <f ca="1">IF($C84-X$1&lt;År1,0,W83*(1-VLOOKUP($A84,[1]Hugst!$R$5:$W$9,MATCH(ROUNDUP((X$1)/10,0)*10,[1]Hugst!$R$4:$W$4,0))))</f>
        <v>6760.1965443394911</v>
      </c>
      <c r="Y84">
        <f ca="1">IF($C84-Y$1&lt;År1,0,X83*(1-VLOOKUP($A84,[1]Hugst!$R$5:$W$9,MATCH(ROUNDUP((Y$1)/10,0)*10,[1]Hugst!$R$4:$W$4,0))))</f>
        <v>6754.147689608737</v>
      </c>
      <c r="Z84">
        <f ca="1">IF($C84-Z$1&lt;År1,0,Y83*(1-VLOOKUP($A84,[1]Hugst!$R$5:$W$9,MATCH(ROUNDUP((Z$1)/10,0)*10,[1]Hugst!$R$4:$W$4,0))))</f>
        <v>6746.6910783007042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783.19221245322842</v>
      </c>
      <c r="E85">
        <f t="shared" ca="1" si="1"/>
        <v>126.12038935426972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6295.0464838376774</v>
      </c>
      <c r="G85">
        <f ca="1">IF($C85-G$1&lt;År1,0,F84*(1-VLOOKUP($A85,[1]Hugst!$R$5:$W$9,MATCH(ROUNDUP((G$1)/10,0)*10,[1]Hugst!$R$4:$W$4,0))))</f>
        <v>6288.226087360812</v>
      </c>
      <c r="H85">
        <f ca="1">IF($C85-H$1&lt;År1,0,G84*(1-VLOOKUP($A85,[1]Hugst!$R$5:$W$9,MATCH(ROUNDUP((H$1)/10,0)*10,[1]Hugst!$R$4:$W$4,0))))</f>
        <v>6280.4886355776835</v>
      </c>
      <c r="I85">
        <f ca="1">IF($C85-I$1&lt;År1,0,H84*(1-VLOOKUP($A85,[1]Hugst!$R$5:$W$9,MATCH(ROUNDUP((I$1)/10,0)*10,[1]Hugst!$R$4:$W$4,0))))</f>
        <v>6274.1968943550855</v>
      </c>
      <c r="J85">
        <f ca="1">IF($C85-J$1&lt;År1,0,I84*(1-VLOOKUP($A85,[1]Hugst!$R$5:$W$9,MATCH(ROUNDUP((J$1)/10,0)*10,[1]Hugst!$R$4:$W$4,0))))</f>
        <v>6267.903058519465</v>
      </c>
      <c r="K85">
        <f ca="1">IF($C85-K$1&lt;År1,0,J84*(1-VLOOKUP($A85,[1]Hugst!$R$5:$W$9,MATCH(ROUNDUP((K$1)/10,0)*10,[1]Hugst!$R$4:$W$4,0))))</f>
        <v>6261.6071626478879</v>
      </c>
      <c r="L85">
        <f ca="1">IF($C85-L$1&lt;År1,0,K84*(1-VLOOKUP($A85,[1]Hugst!$R$5:$W$9,MATCH(ROUNDUP((L$1)/10,0)*10,[1]Hugst!$R$4:$W$4,0))))</f>
        <v>6255.3092415599167</v>
      </c>
      <c r="M85">
        <f ca="1">IF($C85-M$1&lt;År1,0,L84*(1-VLOOKUP($A85,[1]Hugst!$R$5:$W$9,MATCH(ROUNDUP((M$1)/10,0)*10,[1]Hugst!$R$4:$W$4,0))))</f>
        <v>6249.0093303191243</v>
      </c>
      <c r="N85">
        <f ca="1">IF($C85-N$1&lt;År1,0,M84*(1-VLOOKUP($A85,[1]Hugst!$R$5:$W$9,MATCH(ROUNDUP((N$1)/10,0)*10,[1]Hugst!$R$4:$W$4,0))))</f>
        <v>6242.7074642343541</v>
      </c>
      <c r="O85">
        <f ca="1">IF($C85-O$1&lt;År1,0,N84*(1-VLOOKUP($A85,[1]Hugst!$R$5:$W$9,MATCH(ROUNDUP((O$1)/10,0)*10,[1]Hugst!$R$4:$W$4,0))))</f>
        <v>6236.4036788613139</v>
      </c>
      <c r="P85">
        <f ca="1">IF($C85-P$1&lt;År1,0,O84*(1-VLOOKUP($A85,[1]Hugst!$R$5:$W$9,MATCH(ROUNDUP((P$1)/10,0)*10,[1]Hugst!$R$4:$W$4,0))))</f>
        <v>6220.5944706660657</v>
      </c>
      <c r="Q85">
        <f ca="1">IF($C85-Q$1&lt;År1,0,P84*(1-VLOOKUP($A85,[1]Hugst!$R$5:$W$9,MATCH(ROUNDUP((Q$1)/10,0)*10,[1]Hugst!$R$4:$W$4,0))))</f>
        <v>6809.5025883425251</v>
      </c>
      <c r="R85">
        <f ca="1">IF($C85-R$1&lt;År1,0,Q84*(1-VLOOKUP($A85,[1]Hugst!$R$5:$W$9,MATCH(ROUNDUP((R$1)/10,0)*10,[1]Hugst!$R$4:$W$4,0))))</f>
        <v>6792.8347132664503</v>
      </c>
      <c r="S85">
        <f ca="1">IF($C85-S$1&lt;År1,0,R84*(1-VLOOKUP($A85,[1]Hugst!$R$5:$W$9,MATCH(ROUNDUP((S$1)/10,0)*10,[1]Hugst!$R$4:$W$4,0))))</f>
        <v>6786.6269520427795</v>
      </c>
      <c r="T85">
        <f ca="1">IF($C85-T$1&lt;År1,0,S84*(1-VLOOKUP($A85,[1]Hugst!$R$5:$W$9,MATCH(ROUNDUP((T$1)/10,0)*10,[1]Hugst!$R$4:$W$4,0))))</f>
        <v>6780.4431668683656</v>
      </c>
      <c r="U85">
        <f ca="1">IF($C85-U$1&lt;År1,0,T84*(1-VLOOKUP($A85,[1]Hugst!$R$5:$W$9,MATCH(ROUNDUP((U$1)/10,0)*10,[1]Hugst!$R$4:$W$4,0))))</f>
        <v>6774.2833718271449</v>
      </c>
      <c r="V85">
        <f ca="1">IF($C85-V$1&lt;År1,0,U84*(1-VLOOKUP($A85,[1]Hugst!$R$5:$W$9,MATCH(ROUNDUP((V$1)/10,0)*10,[1]Hugst!$R$4:$W$4,0))))</f>
        <v>6768.1475811584078</v>
      </c>
      <c r="W85">
        <f ca="1">IF($C85-W$1&lt;År1,0,V84*(1-VLOOKUP($A85,[1]Hugst!$R$5:$W$9,MATCH(ROUNDUP((W$1)/10,0)*10,[1]Hugst!$R$4:$W$4,0))))</f>
        <v>6762.0358092572587</v>
      </c>
      <c r="X85">
        <f ca="1">IF($C85-X$1&lt;År1,0,W84*(1-VLOOKUP($A85,[1]Hugst!$R$5:$W$9,MATCH(ROUNDUP((X$1)/10,0)*10,[1]Hugst!$R$4:$W$4,0))))</f>
        <v>6755.9480706749491</v>
      </c>
      <c r="Y85">
        <f ca="1">IF($C85-Y$1&lt;År1,0,X84*(1-VLOOKUP($A85,[1]Hugst!$R$5:$W$9,MATCH(ROUNDUP((Y$1)/10,0)*10,[1]Hugst!$R$4:$W$4,0))))</f>
        <v>6749.8843801193116</v>
      </c>
      <c r="Z85">
        <f ca="1">IF($C85-Z$1&lt;År1,0,Y84*(1-VLOOKUP($A85,[1]Hugst!$R$5:$W$9,MATCH(ROUNDUP((Z$1)/10,0)*10,[1]Hugst!$R$4:$W$4,0))))</f>
        <v>6742.4137889615349</v>
      </c>
      <c r="AA85">
        <f ca="1">IF($C85-AA$1&lt;År1,0,Z84*(1-VLOOKUP($A85,[1]Hugst!$R$5:$W$9,MATCH(ROUNDUP((AA$1)/10,0)*10,[1]Hugst!$R$4:$W$4,0))))</f>
        <v>6734.9701319358592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779.27625139095107</v>
      </c>
      <c r="E86">
        <f t="shared" ca="1" si="1"/>
        <v>136.86625147660379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6301.8763848977342</v>
      </c>
      <c r="G86">
        <f ca="1">IF($C86-G$1&lt;År1,0,F85*(1-VLOOKUP($A86,[1]Hugst!$R$5:$W$9,MATCH(ROUNDUP((G$1)/10,0)*10,[1]Hugst!$R$4:$W$4,0))))</f>
        <v>6295.0464838376774</v>
      </c>
      <c r="H86">
        <f ca="1">IF($C86-H$1&lt;År1,0,G85*(1-VLOOKUP($A86,[1]Hugst!$R$5:$W$9,MATCH(ROUNDUP((H$1)/10,0)*10,[1]Hugst!$R$4:$W$4,0))))</f>
        <v>6288.226087360812</v>
      </c>
      <c r="I86">
        <f ca="1">IF($C86-I$1&lt;År1,0,H85*(1-VLOOKUP($A86,[1]Hugst!$R$5:$W$9,MATCH(ROUNDUP((I$1)/10,0)*10,[1]Hugst!$R$4:$W$4,0))))</f>
        <v>6280.4886355776835</v>
      </c>
      <c r="J86">
        <f ca="1">IF($C86-J$1&lt;År1,0,I85*(1-VLOOKUP($A86,[1]Hugst!$R$5:$W$9,MATCH(ROUNDUP((J$1)/10,0)*10,[1]Hugst!$R$4:$W$4,0))))</f>
        <v>6274.1968943550855</v>
      </c>
      <c r="K86">
        <f ca="1">IF($C86-K$1&lt;År1,0,J85*(1-VLOOKUP($A86,[1]Hugst!$R$5:$W$9,MATCH(ROUNDUP((K$1)/10,0)*10,[1]Hugst!$R$4:$W$4,0))))</f>
        <v>6267.903058519465</v>
      </c>
      <c r="L86">
        <f ca="1">IF($C86-L$1&lt;År1,0,K85*(1-VLOOKUP($A86,[1]Hugst!$R$5:$W$9,MATCH(ROUNDUP((L$1)/10,0)*10,[1]Hugst!$R$4:$W$4,0))))</f>
        <v>6261.6071626478879</v>
      </c>
      <c r="M86">
        <f ca="1">IF($C86-M$1&lt;År1,0,L85*(1-VLOOKUP($A86,[1]Hugst!$R$5:$W$9,MATCH(ROUNDUP((M$1)/10,0)*10,[1]Hugst!$R$4:$W$4,0))))</f>
        <v>6255.3092415599167</v>
      </c>
      <c r="N86">
        <f ca="1">IF($C86-N$1&lt;År1,0,M85*(1-VLOOKUP($A86,[1]Hugst!$R$5:$W$9,MATCH(ROUNDUP((N$1)/10,0)*10,[1]Hugst!$R$4:$W$4,0))))</f>
        <v>6249.0093303191243</v>
      </c>
      <c r="O86">
        <f ca="1">IF($C86-O$1&lt;År1,0,N85*(1-VLOOKUP($A86,[1]Hugst!$R$5:$W$9,MATCH(ROUNDUP((O$1)/10,0)*10,[1]Hugst!$R$4:$W$4,0))))</f>
        <v>6242.7074642343541</v>
      </c>
      <c r="P86">
        <f ca="1">IF($C86-P$1&lt;År1,0,O85*(1-VLOOKUP($A86,[1]Hugst!$R$5:$W$9,MATCH(ROUNDUP((P$1)/10,0)*10,[1]Hugst!$R$4:$W$4,0))))</f>
        <v>6226.8905207071184</v>
      </c>
      <c r="Q86">
        <f ca="1">IF($C86-Q$1&lt;År1,0,P85*(1-VLOOKUP($A86,[1]Hugst!$R$5:$W$9,MATCH(ROUNDUP((Q$1)/10,0)*10,[1]Hugst!$R$4:$W$4,0))))</f>
        <v>6211.105428253185</v>
      </c>
      <c r="R86">
        <f ca="1">IF($C86-R$1&lt;År1,0,Q85*(1-VLOOKUP($A86,[1]Hugst!$R$5:$W$9,MATCH(ROUNDUP((R$1)/10,0)*10,[1]Hugst!$R$4:$W$4,0))))</f>
        <v>6799.1152115128498</v>
      </c>
      <c r="S86">
        <f ca="1">IF($C86-S$1&lt;År1,0,R85*(1-VLOOKUP($A86,[1]Hugst!$R$5:$W$9,MATCH(ROUNDUP((S$1)/10,0)*10,[1]Hugst!$R$4:$W$4,0))))</f>
        <v>6782.4727620089252</v>
      </c>
      <c r="T86">
        <f ca="1">IF($C86-T$1&lt;År1,0,S85*(1-VLOOKUP($A86,[1]Hugst!$R$5:$W$9,MATCH(ROUNDUP((T$1)/10,0)*10,[1]Hugst!$R$4:$W$4,0))))</f>
        <v>6776.2744702515274</v>
      </c>
      <c r="U86">
        <f ca="1">IF($C86-U$1&lt;År1,0,T85*(1-VLOOKUP($A86,[1]Hugst!$R$5:$W$9,MATCH(ROUNDUP((U$1)/10,0)*10,[1]Hugst!$R$4:$W$4,0))))</f>
        <v>6770.1001179697523</v>
      </c>
      <c r="V86">
        <f ca="1">IF($C86-V$1&lt;År1,0,U85*(1-VLOOKUP($A86,[1]Hugst!$R$5:$W$9,MATCH(ROUNDUP((V$1)/10,0)*10,[1]Hugst!$R$4:$W$4,0))))</f>
        <v>6763.9497192260524</v>
      </c>
      <c r="W86">
        <f ca="1">IF($C86-W$1&lt;År1,0,V85*(1-VLOOKUP($A86,[1]Hugst!$R$5:$W$9,MATCH(ROUNDUP((W$1)/10,0)*10,[1]Hugst!$R$4:$W$4,0))))</f>
        <v>6757.8232882379962</v>
      </c>
      <c r="X86">
        <f ca="1">IF($C86-X$1&lt;År1,0,W85*(1-VLOOKUP($A86,[1]Hugst!$R$5:$W$9,MATCH(ROUNDUP((X$1)/10,0)*10,[1]Hugst!$R$4:$W$4,0))))</f>
        <v>6751.7208393787305</v>
      </c>
      <c r="Y86">
        <f ca="1">IF($C86-Y$1&lt;År1,0,X85*(1-VLOOKUP($A86,[1]Hugst!$R$5:$W$9,MATCH(ROUNDUP((Y$1)/10,0)*10,[1]Hugst!$R$4:$W$4,0))))</f>
        <v>6745.6423871773095</v>
      </c>
      <c r="Z86">
        <f ca="1">IF($C86-Z$1&lt;År1,0,Y85*(1-VLOOKUP($A86,[1]Hugst!$R$5:$W$9,MATCH(ROUNDUP((Z$1)/10,0)*10,[1]Hugst!$R$4:$W$4,0))))</f>
        <v>6738.1578860691043</v>
      </c>
      <c r="AA86">
        <f ca="1">IF($C86-AA$1&lt;År1,0,Z85*(1-VLOOKUP($A86,[1]Hugst!$R$5:$W$9,MATCH(ROUNDUP((AA$1)/10,0)*10,[1]Hugst!$R$4:$W$4,0))))</f>
        <v>6730.700273480712</v>
      </c>
      <c r="AB86">
        <f ca="1">IF($C86-AB$1&lt;År1,0,AA85*(1-VLOOKUP($A86,[1]Hugst!$R$5:$W$9,MATCH(ROUNDUP((AB$1)/10,0)*10,[1]Hugst!$R$4:$W$4,0))))</f>
        <v>6723.2695482320723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775.37987013398742</v>
      </c>
      <c r="E87">
        <f t="shared" ca="1" si="1"/>
        <v>147.60196302871918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6308.7157151928859</v>
      </c>
      <c r="G87">
        <f ca="1">IF($C87-G$1&lt;År1,0,F86*(1-VLOOKUP($A87,[1]Hugst!$R$5:$W$9,MATCH(ROUNDUP((G$1)/10,0)*10,[1]Hugst!$R$4:$W$4,0))))</f>
        <v>6301.8763848977342</v>
      </c>
      <c r="H87">
        <f ca="1">IF($C87-H$1&lt;År1,0,G86*(1-VLOOKUP($A87,[1]Hugst!$R$5:$W$9,MATCH(ROUNDUP((H$1)/10,0)*10,[1]Hugst!$R$4:$W$4,0))))</f>
        <v>6295.0464838376774</v>
      </c>
      <c r="I87">
        <f ca="1">IF($C87-I$1&lt;År1,0,H86*(1-VLOOKUP($A87,[1]Hugst!$R$5:$W$9,MATCH(ROUNDUP((I$1)/10,0)*10,[1]Hugst!$R$4:$W$4,0))))</f>
        <v>6288.226087360812</v>
      </c>
      <c r="J87">
        <f ca="1">IF($C87-J$1&lt;År1,0,I86*(1-VLOOKUP($A87,[1]Hugst!$R$5:$W$9,MATCH(ROUNDUP((J$1)/10,0)*10,[1]Hugst!$R$4:$W$4,0))))</f>
        <v>6280.4886355776835</v>
      </c>
      <c r="K87">
        <f ca="1">IF($C87-K$1&lt;År1,0,J86*(1-VLOOKUP($A87,[1]Hugst!$R$5:$W$9,MATCH(ROUNDUP((K$1)/10,0)*10,[1]Hugst!$R$4:$W$4,0))))</f>
        <v>6274.1968943550855</v>
      </c>
      <c r="L87">
        <f ca="1">IF($C87-L$1&lt;År1,0,K86*(1-VLOOKUP($A87,[1]Hugst!$R$5:$W$9,MATCH(ROUNDUP((L$1)/10,0)*10,[1]Hugst!$R$4:$W$4,0))))</f>
        <v>6267.903058519465</v>
      </c>
      <c r="M87">
        <f ca="1">IF($C87-M$1&lt;År1,0,L86*(1-VLOOKUP($A87,[1]Hugst!$R$5:$W$9,MATCH(ROUNDUP((M$1)/10,0)*10,[1]Hugst!$R$4:$W$4,0))))</f>
        <v>6261.6071626478879</v>
      </c>
      <c r="N87">
        <f ca="1">IF($C87-N$1&lt;År1,0,M86*(1-VLOOKUP($A87,[1]Hugst!$R$5:$W$9,MATCH(ROUNDUP((N$1)/10,0)*10,[1]Hugst!$R$4:$W$4,0))))</f>
        <v>6255.3092415599167</v>
      </c>
      <c r="O87">
        <f ca="1">IF($C87-O$1&lt;År1,0,N86*(1-VLOOKUP($A87,[1]Hugst!$R$5:$W$9,MATCH(ROUNDUP((O$1)/10,0)*10,[1]Hugst!$R$4:$W$4,0))))</f>
        <v>6249.0093303191243</v>
      </c>
      <c r="P87">
        <f ca="1">IF($C87-P$1&lt;År1,0,O86*(1-VLOOKUP($A87,[1]Hugst!$R$5:$W$9,MATCH(ROUNDUP((P$1)/10,0)*10,[1]Hugst!$R$4:$W$4,0))))</f>
        <v>6233.1846901363697</v>
      </c>
      <c r="Q87">
        <f ca="1">IF($C87-Q$1&lt;År1,0,P86*(1-VLOOKUP($A87,[1]Hugst!$R$5:$W$9,MATCH(ROUNDUP((Q$1)/10,0)*10,[1]Hugst!$R$4:$W$4,0))))</f>
        <v>6217.3918741501075</v>
      </c>
      <c r="R87">
        <f ca="1">IF($C87-R$1&lt;År1,0,Q86*(1-VLOOKUP($A87,[1]Hugst!$R$5:$W$9,MATCH(ROUNDUP((R$1)/10,0)*10,[1]Hugst!$R$4:$W$4,0))))</f>
        <v>6201.6308606507646</v>
      </c>
      <c r="S87">
        <f ca="1">IF($C87-S$1&lt;År1,0,R86*(1-VLOOKUP($A87,[1]Hugst!$R$5:$W$9,MATCH(ROUNDUP((S$1)/10,0)*10,[1]Hugst!$R$4:$W$4,0))))</f>
        <v>6788.7436798342706</v>
      </c>
      <c r="T87">
        <f ca="1">IF($C87-T$1&lt;År1,0,S86*(1-VLOOKUP($A87,[1]Hugst!$R$5:$W$9,MATCH(ROUNDUP((T$1)/10,0)*10,[1]Hugst!$R$4:$W$4,0))))</f>
        <v>6772.1266171177249</v>
      </c>
      <c r="U87">
        <f ca="1">IF($C87-U$1&lt;År1,0,T86*(1-VLOOKUP($A87,[1]Hugst!$R$5:$W$9,MATCH(ROUNDUP((U$1)/10,0)*10,[1]Hugst!$R$4:$W$4,0))))</f>
        <v>6765.9377803816524</v>
      </c>
      <c r="V87">
        <f ca="1">IF($C87-V$1&lt;År1,0,U86*(1-VLOOKUP($A87,[1]Hugst!$R$5:$W$9,MATCH(ROUNDUP((V$1)/10,0)*10,[1]Hugst!$R$4:$W$4,0))))</f>
        <v>6759.7728466033577</v>
      </c>
      <c r="W87">
        <f ca="1">IF($C87-W$1&lt;År1,0,V86*(1-VLOOKUP($A87,[1]Hugst!$R$5:$W$9,MATCH(ROUNDUP((W$1)/10,0)*10,[1]Hugst!$R$4:$W$4,0))))</f>
        <v>6753.631829823843</v>
      </c>
      <c r="X87">
        <f ca="1">IF($C87-X$1&lt;År1,0,W86*(1-VLOOKUP($A87,[1]Hugst!$R$5:$W$9,MATCH(ROUNDUP((X$1)/10,0)*10,[1]Hugst!$R$4:$W$4,0))))</f>
        <v>6747.5147442389889</v>
      </c>
      <c r="Y87">
        <f ca="1">IF($C87-Y$1&lt;År1,0,X86*(1-VLOOKUP($A87,[1]Hugst!$R$5:$W$9,MATCH(ROUNDUP((Y$1)/10,0)*10,[1]Hugst!$R$4:$W$4,0))))</f>
        <v>6741.4216042000171</v>
      </c>
      <c r="Z87">
        <f ca="1">IF($C87-Z$1&lt;År1,0,Y86*(1-VLOOKUP($A87,[1]Hugst!$R$5:$W$9,MATCH(ROUNDUP((Z$1)/10,0)*10,[1]Hugst!$R$4:$W$4,0))))</f>
        <v>6733.9232626911116</v>
      </c>
      <c r="AA87">
        <f ca="1">IF($C87-AA$1&lt;År1,0,Z86*(1-VLOOKUP($A87,[1]Hugst!$R$5:$W$9,MATCH(ROUNDUP((AA$1)/10,0)*10,[1]Hugst!$R$4:$W$4,0))))</f>
        <v>6726.4517643178824</v>
      </c>
      <c r="AB87">
        <f ca="1">IF($C87-AB$1&lt;År1,0,AA86*(1-VLOOKUP($A87,[1]Hugst!$R$5:$W$9,MATCH(ROUNDUP((AB$1)/10,0)*10,[1]Hugst!$R$4:$W$4,0))))</f>
        <v>6719.0071077513594</v>
      </c>
      <c r="AC87">
        <f ca="1">IF($C87-AC$1&lt;År1,0,AB86*(1-VLOOKUP($A87,[1]Hugst!$R$5:$W$9,MATCH(ROUNDUP((AC$1)/10,0)*10,[1]Hugst!$R$4:$W$4,0))))</f>
        <v>6711.5892918135332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771.50297078332005</v>
      </c>
      <c r="E88">
        <f t="shared" ca="1" si="1"/>
        <v>158.32754692281014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6315.5643997363095</v>
      </c>
      <c r="G88">
        <f ca="1">IF($C88-G$1&lt;År1,0,F87*(1-VLOOKUP($A88,[1]Hugst!$R$5:$W$9,MATCH(ROUNDUP((G$1)/10,0)*10,[1]Hugst!$R$4:$W$4,0))))</f>
        <v>6308.7157151928859</v>
      </c>
      <c r="H88">
        <f ca="1">IF($C88-H$1&lt;År1,0,G87*(1-VLOOKUP($A88,[1]Hugst!$R$5:$W$9,MATCH(ROUNDUP((H$1)/10,0)*10,[1]Hugst!$R$4:$W$4,0))))</f>
        <v>6301.8763848977342</v>
      </c>
      <c r="I88">
        <f ca="1">IF($C88-I$1&lt;År1,0,H87*(1-VLOOKUP($A88,[1]Hugst!$R$5:$W$9,MATCH(ROUNDUP((I$1)/10,0)*10,[1]Hugst!$R$4:$W$4,0))))</f>
        <v>6295.0464838376774</v>
      </c>
      <c r="J88">
        <f ca="1">IF($C88-J$1&lt;År1,0,I87*(1-VLOOKUP($A88,[1]Hugst!$R$5:$W$9,MATCH(ROUNDUP((J$1)/10,0)*10,[1]Hugst!$R$4:$W$4,0))))</f>
        <v>6288.226087360812</v>
      </c>
      <c r="K88">
        <f ca="1">IF($C88-K$1&lt;År1,0,J87*(1-VLOOKUP($A88,[1]Hugst!$R$5:$W$9,MATCH(ROUNDUP((K$1)/10,0)*10,[1]Hugst!$R$4:$W$4,0))))</f>
        <v>6280.4886355776835</v>
      </c>
      <c r="L88">
        <f ca="1">IF($C88-L$1&lt;År1,0,K87*(1-VLOOKUP($A88,[1]Hugst!$R$5:$W$9,MATCH(ROUNDUP((L$1)/10,0)*10,[1]Hugst!$R$4:$W$4,0))))</f>
        <v>6274.1968943550855</v>
      </c>
      <c r="M88">
        <f ca="1">IF($C88-M$1&lt;År1,0,L87*(1-VLOOKUP($A88,[1]Hugst!$R$5:$W$9,MATCH(ROUNDUP((M$1)/10,0)*10,[1]Hugst!$R$4:$W$4,0))))</f>
        <v>6267.903058519465</v>
      </c>
      <c r="N88">
        <f ca="1">IF($C88-N$1&lt;År1,0,M87*(1-VLOOKUP($A88,[1]Hugst!$R$5:$W$9,MATCH(ROUNDUP((N$1)/10,0)*10,[1]Hugst!$R$4:$W$4,0))))</f>
        <v>6261.6071626478879</v>
      </c>
      <c r="O88">
        <f ca="1">IF($C88-O$1&lt;År1,0,N87*(1-VLOOKUP($A88,[1]Hugst!$R$5:$W$9,MATCH(ROUNDUP((O$1)/10,0)*10,[1]Hugst!$R$4:$W$4,0))))</f>
        <v>6255.3092415599167</v>
      </c>
      <c r="P88">
        <f ca="1">IF($C88-P$1&lt;År1,0,O87*(1-VLOOKUP($A88,[1]Hugst!$R$5:$W$9,MATCH(ROUNDUP((P$1)/10,0)*10,[1]Hugst!$R$4:$W$4,0))))</f>
        <v>6239.476943205078</v>
      </c>
      <c r="Q88">
        <f ca="1">IF($C88-Q$1&lt;År1,0,P87*(1-VLOOKUP($A88,[1]Hugst!$R$5:$W$9,MATCH(ROUNDUP((Q$1)/10,0)*10,[1]Hugst!$R$4:$W$4,0))))</f>
        <v>6223.6764423039576</v>
      </c>
      <c r="R88">
        <f ca="1">IF($C88-R$1&lt;År1,0,Q87*(1-VLOOKUP($A88,[1]Hugst!$R$5:$W$9,MATCH(ROUNDUP((R$1)/10,0)*10,[1]Hugst!$R$4:$W$4,0))))</f>
        <v>6207.9077170539458</v>
      </c>
      <c r="S88">
        <f ca="1">IF($C88-S$1&lt;År1,0,R87*(1-VLOOKUP($A88,[1]Hugst!$R$5:$W$9,MATCH(ROUNDUP((S$1)/10,0)*10,[1]Hugst!$R$4:$W$4,0))))</f>
        <v>6192.1707457785851</v>
      </c>
      <c r="T88">
        <f ca="1">IF($C88-T$1&lt;År1,0,S87*(1-VLOOKUP($A88,[1]Hugst!$R$5:$W$9,MATCH(ROUNDUP((T$1)/10,0)*10,[1]Hugst!$R$4:$W$4,0))))</f>
        <v>6778.3879691362181</v>
      </c>
      <c r="U88">
        <f ca="1">IF($C88-U$1&lt;År1,0,T87*(1-VLOOKUP($A88,[1]Hugst!$R$5:$W$9,MATCH(ROUNDUP((U$1)/10,0)*10,[1]Hugst!$R$4:$W$4,0))))</f>
        <v>6761.7962544814436</v>
      </c>
      <c r="V88">
        <f ca="1">IF($C88-V$1&lt;År1,0,U87*(1-VLOOKUP($A88,[1]Hugst!$R$5:$W$9,MATCH(ROUNDUP((V$1)/10,0)*10,[1]Hugst!$R$4:$W$4,0))))</f>
        <v>6755.616858343782</v>
      </c>
      <c r="W88">
        <f ca="1">IF($C88-W$1&lt;År1,0,V87*(1-VLOOKUP($A88,[1]Hugst!$R$5:$W$9,MATCH(ROUNDUP((W$1)/10,0)*10,[1]Hugst!$R$4:$W$4,0))))</f>
        <v>6749.4613287017592</v>
      </c>
      <c r="X88">
        <f ca="1">IF($C88-X$1&lt;År1,0,W87*(1-VLOOKUP($A88,[1]Hugst!$R$5:$W$9,MATCH(ROUNDUP((X$1)/10,0)*10,[1]Hugst!$R$4:$W$4,0))))</f>
        <v>6743.3296795749593</v>
      </c>
      <c r="Y88">
        <f ca="1">IF($C88-Y$1&lt;År1,0,X87*(1-VLOOKUP($A88,[1]Hugst!$R$5:$W$9,MATCH(ROUNDUP((Y$1)/10,0)*10,[1]Hugst!$R$4:$W$4,0))))</f>
        <v>6737.2219251376073</v>
      </c>
      <c r="Z88">
        <f ca="1">IF($C88-Z$1&lt;År1,0,Y87*(1-VLOOKUP($A88,[1]Hugst!$R$5:$W$9,MATCH(ROUNDUP((Z$1)/10,0)*10,[1]Hugst!$R$4:$W$4,0))))</f>
        <v>6729.7098124300082</v>
      </c>
      <c r="AA88">
        <f ca="1">IF($C88-AA$1&lt;År1,0,Z87*(1-VLOOKUP($A88,[1]Hugst!$R$5:$W$9,MATCH(ROUNDUP((AA$1)/10,0)*10,[1]Hugst!$R$4:$W$4,0))))</f>
        <v>6722.2244977008431</v>
      </c>
      <c r="AB88">
        <f ca="1">IF($C88-AB$1&lt;År1,0,AA87*(1-VLOOKUP($A88,[1]Hugst!$R$5:$W$9,MATCH(ROUNDUP((AB$1)/10,0)*10,[1]Hugst!$R$4:$W$4,0))))</f>
        <v>6714.7659794730926</v>
      </c>
      <c r="AC88">
        <f ca="1">IF($C88-AC$1&lt;År1,0,AB87*(1-VLOOKUP($A88,[1]Hugst!$R$5:$W$9,MATCH(ROUNDUP((AC$1)/10,0)*10,[1]Hugst!$R$4:$W$4,0))))</f>
        <v>6707.3342564200966</v>
      </c>
      <c r="AD88">
        <f ca="1">IF($C88-AD$1&lt;År1,0,AC87*(1-VLOOKUP($A88,[1]Hugst!$R$5:$W$9,MATCH(ROUNDUP((AD$1)/10,0)*10,[1]Hugst!$R$4:$W$4,0))))</f>
        <v>6699.9293273658905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767.6454559294034</v>
      </c>
      <c r="E89">
        <f t="shared" ca="1" si="1"/>
        <v>169.0430259417335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6322.4223639013162</v>
      </c>
      <c r="G89">
        <f ca="1">IF($C89-G$1&lt;År1,0,F88*(1-VLOOKUP($A89,[1]Hugst!$R$5:$W$9,MATCH(ROUNDUP((G$1)/10,0)*10,[1]Hugst!$R$4:$W$4,0))))</f>
        <v>6315.5643997363095</v>
      </c>
      <c r="H89">
        <f ca="1">IF($C89-H$1&lt;År1,0,G88*(1-VLOOKUP($A89,[1]Hugst!$R$5:$W$9,MATCH(ROUNDUP((H$1)/10,0)*10,[1]Hugst!$R$4:$W$4,0))))</f>
        <v>6308.7157151928859</v>
      </c>
      <c r="I89">
        <f ca="1">IF($C89-I$1&lt;År1,0,H88*(1-VLOOKUP($A89,[1]Hugst!$R$5:$W$9,MATCH(ROUNDUP((I$1)/10,0)*10,[1]Hugst!$R$4:$W$4,0))))</f>
        <v>6301.8763848977342</v>
      </c>
      <c r="J89">
        <f ca="1">IF($C89-J$1&lt;År1,0,I88*(1-VLOOKUP($A89,[1]Hugst!$R$5:$W$9,MATCH(ROUNDUP((J$1)/10,0)*10,[1]Hugst!$R$4:$W$4,0))))</f>
        <v>6295.0464838376774</v>
      </c>
      <c r="K89">
        <f ca="1">IF($C89-K$1&lt;År1,0,J88*(1-VLOOKUP($A89,[1]Hugst!$R$5:$W$9,MATCH(ROUNDUP((K$1)/10,0)*10,[1]Hugst!$R$4:$W$4,0))))</f>
        <v>6288.226087360812</v>
      </c>
      <c r="L89">
        <f ca="1">IF($C89-L$1&lt;År1,0,K88*(1-VLOOKUP($A89,[1]Hugst!$R$5:$W$9,MATCH(ROUNDUP((L$1)/10,0)*10,[1]Hugst!$R$4:$W$4,0))))</f>
        <v>6280.4886355776835</v>
      </c>
      <c r="M89">
        <f ca="1">IF($C89-M$1&lt;År1,0,L88*(1-VLOOKUP($A89,[1]Hugst!$R$5:$W$9,MATCH(ROUNDUP((M$1)/10,0)*10,[1]Hugst!$R$4:$W$4,0))))</f>
        <v>6274.1968943550855</v>
      </c>
      <c r="N89">
        <f ca="1">IF($C89-N$1&lt;År1,0,M88*(1-VLOOKUP($A89,[1]Hugst!$R$5:$W$9,MATCH(ROUNDUP((N$1)/10,0)*10,[1]Hugst!$R$4:$W$4,0))))</f>
        <v>6267.903058519465</v>
      </c>
      <c r="O89">
        <f ca="1">IF($C89-O$1&lt;År1,0,N88*(1-VLOOKUP($A89,[1]Hugst!$R$5:$W$9,MATCH(ROUNDUP((O$1)/10,0)*10,[1]Hugst!$R$4:$W$4,0))))</f>
        <v>6261.6071626478879</v>
      </c>
      <c r="P89">
        <f ca="1">IF($C89-P$1&lt;År1,0,O88*(1-VLOOKUP($A89,[1]Hugst!$R$5:$W$9,MATCH(ROUNDUP((P$1)/10,0)*10,[1]Hugst!$R$4:$W$4,0))))</f>
        <v>6245.7672444117743</v>
      </c>
      <c r="Q89">
        <f ca="1">IF($C89-Q$1&lt;År1,0,P88*(1-VLOOKUP($A89,[1]Hugst!$R$5:$W$9,MATCH(ROUNDUP((Q$1)/10,0)*10,[1]Hugst!$R$4:$W$4,0))))</f>
        <v>6229.9590970205272</v>
      </c>
      <c r="R89">
        <f ca="1">IF($C89-R$1&lt;År1,0,Q88*(1-VLOOKUP($A89,[1]Hugst!$R$5:$W$9,MATCH(ROUNDUP((R$1)/10,0)*10,[1]Hugst!$R$4:$W$4,0))))</f>
        <v>6214.1826985784091</v>
      </c>
      <c r="S89">
        <f ca="1">IF($C89-S$1&lt;År1,0,R88*(1-VLOOKUP($A89,[1]Hugst!$R$5:$W$9,MATCH(ROUNDUP((S$1)/10,0)*10,[1]Hugst!$R$4:$W$4,0))))</f>
        <v>6198.4380273160668</v>
      </c>
      <c r="T89">
        <f ca="1">IF($C89-T$1&lt;År1,0,S88*(1-VLOOKUP($A89,[1]Hugst!$R$5:$W$9,MATCH(ROUNDUP((T$1)/10,0)*10,[1]Hugst!$R$4:$W$4,0))))</f>
        <v>6182.7250615901094</v>
      </c>
      <c r="U89">
        <f ca="1">IF($C89-U$1&lt;År1,0,T88*(1-VLOOKUP($A89,[1]Hugst!$R$5:$W$9,MATCH(ROUNDUP((U$1)/10,0)*10,[1]Hugst!$R$4:$W$4,0))))</f>
        <v>6768.0480552849931</v>
      </c>
      <c r="V89">
        <f ca="1">IF($C89-V$1&lt;År1,0,U88*(1-VLOOKUP($A89,[1]Hugst!$R$5:$W$9,MATCH(ROUNDUP((V$1)/10,0)*10,[1]Hugst!$R$4:$W$4,0))))</f>
        <v>6751.4816500254547</v>
      </c>
      <c r="W89">
        <f ca="1">IF($C89-W$1&lt;År1,0,V88*(1-VLOOKUP($A89,[1]Hugst!$R$5:$W$9,MATCH(ROUNDUP((W$1)/10,0)*10,[1]Hugst!$R$4:$W$4,0))))</f>
        <v>6745.3116800852913</v>
      </c>
      <c r="X89">
        <f ca="1">IF($C89-X$1&lt;År1,0,W88*(1-VLOOKUP($A89,[1]Hugst!$R$5:$W$9,MATCH(ROUNDUP((X$1)/10,0)*10,[1]Hugst!$R$4:$W$4,0))))</f>
        <v>6739.1655402342476</v>
      </c>
      <c r="Y89">
        <f ca="1">IF($C89-Y$1&lt;År1,0,X88*(1-VLOOKUP($A89,[1]Hugst!$R$5:$W$9,MATCH(ROUNDUP((Y$1)/10,0)*10,[1]Hugst!$R$4:$W$4,0))))</f>
        <v>6733.0432444705229</v>
      </c>
      <c r="Z89">
        <f ca="1">IF($C89-Z$1&lt;År1,0,Y88*(1-VLOOKUP($A89,[1]Hugst!$R$5:$W$9,MATCH(ROUNDUP((Z$1)/10,0)*10,[1]Hugst!$R$4:$W$4,0))))</f>
        <v>6725.517429420207</v>
      </c>
      <c r="AA89">
        <f ca="1">IF($C89-AA$1&lt;År1,0,Z88*(1-VLOOKUP($A89,[1]Hugst!$R$5:$W$9,MATCH(ROUNDUP((AA$1)/10,0)*10,[1]Hugst!$R$4:$W$4,0))))</f>
        <v>6718.0183674168884</v>
      </c>
      <c r="AB89">
        <f ca="1">IF($C89-AB$1&lt;År1,0,AA88*(1-VLOOKUP($A89,[1]Hugst!$R$5:$W$9,MATCH(ROUNDUP((AB$1)/10,0)*10,[1]Hugst!$R$4:$W$4,0))))</f>
        <v>6710.5460568361932</v>
      </c>
      <c r="AC89">
        <f ca="1">IF($C89-AC$1&lt;År1,0,AB88*(1-VLOOKUP($A89,[1]Hugst!$R$5:$W$9,MATCH(ROUNDUP((AC$1)/10,0)*10,[1]Hugst!$R$4:$W$4,0))))</f>
        <v>6703.1004962036686</v>
      </c>
      <c r="AD89">
        <f ca="1">IF($C89-AD$1&lt;År1,0,AC88*(1-VLOOKUP($A89,[1]Hugst!$R$5:$W$9,MATCH(ROUNDUP((AD$1)/10,0)*10,[1]Hugst!$R$4:$W$4,0))))</f>
        <v>6695.6816841949594</v>
      </c>
      <c r="AE89">
        <f ca="1">IF($C89-AE$1&lt;År1,0,AD88*(1-VLOOKUP($A89,[1]Hugst!$R$5:$W$9,MATCH(ROUNDUP((AE$1)/10,0)*10,[1]Hugst!$R$4:$W$4,0))))</f>
        <v>6688.2896196361444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763.80722864978088</v>
      </c>
      <c r="E90">
        <f t="shared" ca="1" si="1"/>
        <v>179.7484227391833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6329.2895334191435</v>
      </c>
      <c r="G90">
        <f ca="1">IF($C90-G$1&lt;År1,0,F89*(1-VLOOKUP($A90,[1]Hugst!$R$5:$W$9,MATCH(ROUNDUP((G$1)/10,0)*10,[1]Hugst!$R$4:$W$4,0))))</f>
        <v>6322.4223639013162</v>
      </c>
      <c r="H90">
        <f ca="1">IF($C90-H$1&lt;År1,0,G89*(1-VLOOKUP($A90,[1]Hugst!$R$5:$W$9,MATCH(ROUNDUP((H$1)/10,0)*10,[1]Hugst!$R$4:$W$4,0))))</f>
        <v>6315.5643997363095</v>
      </c>
      <c r="I90">
        <f ca="1">IF($C90-I$1&lt;År1,0,H89*(1-VLOOKUP($A90,[1]Hugst!$R$5:$W$9,MATCH(ROUNDUP((I$1)/10,0)*10,[1]Hugst!$R$4:$W$4,0))))</f>
        <v>6308.7157151928859</v>
      </c>
      <c r="J90">
        <f ca="1">IF($C90-J$1&lt;År1,0,I89*(1-VLOOKUP($A90,[1]Hugst!$R$5:$W$9,MATCH(ROUNDUP((J$1)/10,0)*10,[1]Hugst!$R$4:$W$4,0))))</f>
        <v>6301.8763848977342</v>
      </c>
      <c r="K90">
        <f ca="1">IF($C90-K$1&lt;År1,0,J89*(1-VLOOKUP($A90,[1]Hugst!$R$5:$W$9,MATCH(ROUNDUP((K$1)/10,0)*10,[1]Hugst!$R$4:$W$4,0))))</f>
        <v>6295.0464838376774</v>
      </c>
      <c r="L90">
        <f ca="1">IF($C90-L$1&lt;År1,0,K89*(1-VLOOKUP($A90,[1]Hugst!$R$5:$W$9,MATCH(ROUNDUP((L$1)/10,0)*10,[1]Hugst!$R$4:$W$4,0))))</f>
        <v>6288.226087360812</v>
      </c>
      <c r="M90">
        <f ca="1">IF($C90-M$1&lt;År1,0,L89*(1-VLOOKUP($A90,[1]Hugst!$R$5:$W$9,MATCH(ROUNDUP((M$1)/10,0)*10,[1]Hugst!$R$4:$W$4,0))))</f>
        <v>6280.4886355776835</v>
      </c>
      <c r="N90">
        <f ca="1">IF($C90-N$1&lt;År1,0,M89*(1-VLOOKUP($A90,[1]Hugst!$R$5:$W$9,MATCH(ROUNDUP((N$1)/10,0)*10,[1]Hugst!$R$4:$W$4,0))))</f>
        <v>6274.1968943550855</v>
      </c>
      <c r="O90">
        <f ca="1">IF($C90-O$1&lt;År1,0,N89*(1-VLOOKUP($A90,[1]Hugst!$R$5:$W$9,MATCH(ROUNDUP((O$1)/10,0)*10,[1]Hugst!$R$4:$W$4,0))))</f>
        <v>6267.903058519465</v>
      </c>
      <c r="P90">
        <f ca="1">IF($C90-P$1&lt;År1,0,O89*(1-VLOOKUP($A90,[1]Hugst!$R$5:$W$9,MATCH(ROUNDUP((P$1)/10,0)*10,[1]Hugst!$R$4:$W$4,0))))</f>
        <v>6252.0555585014754</v>
      </c>
      <c r="Q90">
        <f ca="1">IF($C90-Q$1&lt;År1,0,P89*(1-VLOOKUP($A90,[1]Hugst!$R$5:$W$9,MATCH(ROUNDUP((Q$1)/10,0)*10,[1]Hugst!$R$4:$W$4,0))))</f>
        <v>6236.2398028525022</v>
      </c>
      <c r="R90">
        <f ca="1">IF($C90-R$1&lt;År1,0,Q89*(1-VLOOKUP($A90,[1]Hugst!$R$5:$W$9,MATCH(ROUNDUP((R$1)/10,0)*10,[1]Hugst!$R$4:$W$4,0))))</f>
        <v>6220.4557695843941</v>
      </c>
      <c r="S90">
        <f ca="1">IF($C90-S$1&lt;År1,0,R89*(1-VLOOKUP($A90,[1]Hugst!$R$5:$W$9,MATCH(ROUNDUP((S$1)/10,0)*10,[1]Hugst!$R$4:$W$4,0))))</f>
        <v>6204.703436834815</v>
      </c>
      <c r="T90">
        <f ca="1">IF($C90-T$1&lt;År1,0,S89*(1-VLOOKUP($A90,[1]Hugst!$R$5:$W$9,MATCH(ROUNDUP((T$1)/10,0)*10,[1]Hugst!$R$4:$W$4,0))))</f>
        <v>6188.982782867618</v>
      </c>
      <c r="U90">
        <f ca="1">IF($C90-U$1&lt;År1,0,T89*(1-VLOOKUP($A90,[1]Hugst!$R$5:$W$9,MATCH(ROUNDUP((U$1)/10,0)*10,[1]Hugst!$R$4:$W$4,0))))</f>
        <v>6173.2937860724296</v>
      </c>
      <c r="V90">
        <f ca="1">IF($C90-V$1&lt;År1,0,U89*(1-VLOOKUP($A90,[1]Hugst!$R$5:$W$9,MATCH(ROUNDUP((V$1)/10,0)*10,[1]Hugst!$R$4:$W$4,0))))</f>
        <v>6757.7239141837108</v>
      </c>
      <c r="W90">
        <f ca="1">IF($C90-W$1&lt;År1,0,V89*(1-VLOOKUP($A90,[1]Hugst!$R$5:$W$9,MATCH(ROUNDUP((W$1)/10,0)*10,[1]Hugst!$R$4:$W$4,0))))</f>
        <v>6741.1827797118567</v>
      </c>
      <c r="X90">
        <f ca="1">IF($C90-X$1&lt;År1,0,W89*(1-VLOOKUP($A90,[1]Hugst!$R$5:$W$9,MATCH(ROUNDUP((X$1)/10,0)*10,[1]Hugst!$R$4:$W$4,0))))</f>
        <v>6735.0222215902459</v>
      </c>
      <c r="Y90">
        <f ca="1">IF($C90-Y$1&lt;År1,0,X89*(1-VLOOKUP($A90,[1]Hugst!$R$5:$W$9,MATCH(ROUNDUP((Y$1)/10,0)*10,[1]Hugst!$R$4:$W$4,0))))</f>
        <v>6728.8854572067712</v>
      </c>
      <c r="Z90">
        <f ca="1">IF($C90-Z$1&lt;År1,0,Y89*(1-VLOOKUP($A90,[1]Hugst!$R$5:$W$9,MATCH(ROUNDUP((Z$1)/10,0)*10,[1]Hugst!$R$4:$W$4,0))))</f>
        <v>6721.3460083254677</v>
      </c>
      <c r="AA90">
        <f ca="1">IF($C90-AA$1&lt;År1,0,Z89*(1-VLOOKUP($A90,[1]Hugst!$R$5:$W$9,MATCH(ROUNDUP((AA$1)/10,0)*10,[1]Hugst!$R$4:$W$4,0))))</f>
        <v>6713.83326778435</v>
      </c>
      <c r="AB90">
        <f ca="1">IF($C90-AB$1&lt;År1,0,AA89*(1-VLOOKUP($A90,[1]Hugst!$R$5:$W$9,MATCH(ROUNDUP((AB$1)/10,0)*10,[1]Hugst!$R$4:$W$4,0))))</f>
        <v>6706.3472338124775</v>
      </c>
      <c r="AC90">
        <f ca="1">IF($C90-AC$1&lt;År1,0,AB89*(1-VLOOKUP($A90,[1]Hugst!$R$5:$W$9,MATCH(ROUNDUP((AC$1)/10,0)*10,[1]Hugst!$R$4:$W$4,0))))</f>
        <v>6698.8879047882992</v>
      </c>
      <c r="AD90">
        <f ca="1">IF($C90-AD$1&lt;År1,0,AC89*(1-VLOOKUP($A90,[1]Hugst!$R$5:$W$9,MATCH(ROUNDUP((AD$1)/10,0)*10,[1]Hugst!$R$4:$W$4,0))))</f>
        <v>6691.4552792399245</v>
      </c>
      <c r="AE90">
        <f ca="1">IF($C90-AE$1&lt;År1,0,AD89*(1-VLOOKUP($A90,[1]Hugst!$R$5:$W$9,MATCH(ROUNDUP((AE$1)/10,0)*10,[1]Hugst!$R$4:$W$4,0))))</f>
        <v>6684.0493558452981</v>
      </c>
      <c r="AF90">
        <f ca="1">IF($C90-AF$1&lt;År1,0,AE89*(1-VLOOKUP($A90,[1]Hugst!$R$5:$W$9,MATCH(ROUNDUP((AF$1)/10,0)*10,[1]Hugst!$R$4:$W$4,0))))</f>
        <v>6676.6701334325389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759.98819250648376</v>
      </c>
      <c r="E91">
        <f t="shared" ca="1" si="1"/>
        <v>190.44375984085491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6336.165834377518</v>
      </c>
      <c r="G91">
        <f ca="1">IF($C91-G$1&lt;År1,0,F90*(1-VLOOKUP($A91,[1]Hugst!$R$5:$W$9,MATCH(ROUNDUP((G$1)/10,0)*10,[1]Hugst!$R$4:$W$4,0))))</f>
        <v>6329.2895334191435</v>
      </c>
      <c r="H91">
        <f ca="1">IF($C91-H$1&lt;År1,0,G90*(1-VLOOKUP($A91,[1]Hugst!$R$5:$W$9,MATCH(ROUNDUP((H$1)/10,0)*10,[1]Hugst!$R$4:$W$4,0))))</f>
        <v>6322.4223639013162</v>
      </c>
      <c r="I91">
        <f ca="1">IF($C91-I$1&lt;År1,0,H90*(1-VLOOKUP($A91,[1]Hugst!$R$5:$W$9,MATCH(ROUNDUP((I$1)/10,0)*10,[1]Hugst!$R$4:$W$4,0))))</f>
        <v>6315.5643997363095</v>
      </c>
      <c r="J91">
        <f ca="1">IF($C91-J$1&lt;År1,0,I90*(1-VLOOKUP($A91,[1]Hugst!$R$5:$W$9,MATCH(ROUNDUP((J$1)/10,0)*10,[1]Hugst!$R$4:$W$4,0))))</f>
        <v>6308.7157151928859</v>
      </c>
      <c r="K91">
        <f ca="1">IF($C91-K$1&lt;År1,0,J90*(1-VLOOKUP($A91,[1]Hugst!$R$5:$W$9,MATCH(ROUNDUP((K$1)/10,0)*10,[1]Hugst!$R$4:$W$4,0))))</f>
        <v>6301.8763848977342</v>
      </c>
      <c r="L91">
        <f ca="1">IF($C91-L$1&lt;År1,0,K90*(1-VLOOKUP($A91,[1]Hugst!$R$5:$W$9,MATCH(ROUNDUP((L$1)/10,0)*10,[1]Hugst!$R$4:$W$4,0))))</f>
        <v>6295.0464838376774</v>
      </c>
      <c r="M91">
        <f ca="1">IF($C91-M$1&lt;År1,0,L90*(1-VLOOKUP($A91,[1]Hugst!$R$5:$W$9,MATCH(ROUNDUP((M$1)/10,0)*10,[1]Hugst!$R$4:$W$4,0))))</f>
        <v>6288.226087360812</v>
      </c>
      <c r="N91">
        <f ca="1">IF($C91-N$1&lt;År1,0,M90*(1-VLOOKUP($A91,[1]Hugst!$R$5:$W$9,MATCH(ROUNDUP((N$1)/10,0)*10,[1]Hugst!$R$4:$W$4,0))))</f>
        <v>6280.4886355776835</v>
      </c>
      <c r="O91">
        <f ca="1">IF($C91-O$1&lt;År1,0,N90*(1-VLOOKUP($A91,[1]Hugst!$R$5:$W$9,MATCH(ROUNDUP((O$1)/10,0)*10,[1]Hugst!$R$4:$W$4,0))))</f>
        <v>6274.1968943550855</v>
      </c>
      <c r="P91">
        <f ca="1">IF($C91-P$1&lt;År1,0,O90*(1-VLOOKUP($A91,[1]Hugst!$R$5:$W$9,MATCH(ROUNDUP((P$1)/10,0)*10,[1]Hugst!$R$4:$W$4,0))))</f>
        <v>6258.3418504640958</v>
      </c>
      <c r="Q91">
        <f ca="1">IF($C91-Q$1&lt;År1,0,P90*(1-VLOOKUP($A91,[1]Hugst!$R$5:$W$9,MATCH(ROUNDUP((Q$1)/10,0)*10,[1]Hugst!$R$4:$W$4,0))))</f>
        <v>6242.5185245986768</v>
      </c>
      <c r="R91">
        <f ca="1">IF($C91-R$1&lt;År1,0,Q90*(1-VLOOKUP($A91,[1]Hugst!$R$5:$W$9,MATCH(ROUNDUP((R$1)/10,0)*10,[1]Hugst!$R$4:$W$4,0))))</f>
        <v>6226.7268946786589</v>
      </c>
      <c r="S91">
        <f ca="1">IF($C91-S$1&lt;År1,0,R90*(1-VLOOKUP($A91,[1]Hugst!$R$5:$W$9,MATCH(ROUNDUP((S$1)/10,0)*10,[1]Hugst!$R$4:$W$4,0))))</f>
        <v>6210.966938749435</v>
      </c>
      <c r="T91">
        <f ca="1">IF($C91-T$1&lt;År1,0,S90*(1-VLOOKUP($A91,[1]Hugst!$R$5:$W$9,MATCH(ROUNDUP((T$1)/10,0)*10,[1]Hugst!$R$4:$W$4,0))))</f>
        <v>6195.2386349820163</v>
      </c>
      <c r="U91">
        <f ca="1">IF($C91-U$1&lt;År1,0,T90*(1-VLOOKUP($A91,[1]Hugst!$R$5:$W$9,MATCH(ROUNDUP((U$1)/10,0)*10,[1]Hugst!$R$4:$W$4,0))))</f>
        <v>6179.5419616734125</v>
      </c>
      <c r="V91">
        <f ca="1">IF($C91-V$1&lt;År1,0,U90*(1-VLOOKUP($A91,[1]Hugst!$R$5:$W$9,MATCH(ROUNDUP((V$1)/10,0)*10,[1]Hugst!$R$4:$W$4,0))))</f>
        <v>6163.8768972462176</v>
      </c>
      <c r="W91">
        <f ca="1">IF($C91-W$1&lt;År1,0,V90*(1-VLOOKUP($A91,[1]Hugst!$R$5:$W$9,MATCH(ROUNDUP((W$1)/10,0)*10,[1]Hugst!$R$4:$W$4,0))))</f>
        <v>6747.4155217722437</v>
      </c>
      <c r="X91">
        <f ca="1">IF($C91-X$1&lt;År1,0,W90*(1-VLOOKUP($A91,[1]Hugst!$R$5:$W$9,MATCH(ROUNDUP((X$1)/10,0)*10,[1]Hugst!$R$4:$W$4,0))))</f>
        <v>6730.8996195394147</v>
      </c>
      <c r="Y91">
        <f ca="1">IF($C91-Y$1&lt;År1,0,X90*(1-VLOOKUP($A91,[1]Hugst!$R$5:$W$9,MATCH(ROUNDUP((Y$1)/10,0)*10,[1]Hugst!$R$4:$W$4,0))))</f>
        <v>6724.748458879345</v>
      </c>
      <c r="Z91">
        <f ca="1">IF($C91-Z$1&lt;År1,0,Y90*(1-VLOOKUP($A91,[1]Hugst!$R$5:$W$9,MATCH(ROUNDUP((Z$1)/10,0)*10,[1]Hugst!$R$4:$W$4,0))))</f>
        <v>6717.1954443362001</v>
      </c>
      <c r="AA91">
        <f ca="1">IF($C91-AA$1&lt;År1,0,Z90*(1-VLOOKUP($A91,[1]Hugst!$R$5:$W$9,MATCH(ROUNDUP((AA$1)/10,0)*10,[1]Hugst!$R$4:$W$4,0))))</f>
        <v>6709.6690936499863</v>
      </c>
      <c r="AB91">
        <f ca="1">IF($C91-AB$1&lt;År1,0,AA90*(1-VLOOKUP($A91,[1]Hugst!$R$5:$W$9,MATCH(ROUNDUP((AB$1)/10,0)*10,[1]Hugst!$R$4:$W$4,0))))</f>
        <v>6702.169404903877</v>
      </c>
      <c r="AC91">
        <f ca="1">IF($C91-AC$1&lt;År1,0,AB90*(1-VLOOKUP($A91,[1]Hugst!$R$5:$W$9,MATCH(ROUNDUP((AC$1)/10,0)*10,[1]Hugst!$R$4:$W$4,0))))</f>
        <v>6694.6963763300064</v>
      </c>
      <c r="AD91">
        <f ca="1">IF($C91-AD$1&lt;År1,0,AC90*(1-VLOOKUP($A91,[1]Hugst!$R$5:$W$9,MATCH(ROUNDUP((AD$1)/10,0)*10,[1]Hugst!$R$4:$W$4,0))))</f>
        <v>6687.2500063096413</v>
      </c>
      <c r="AE91">
        <f ca="1">IF($C91-AE$1&lt;År1,0,AD90*(1-VLOOKUP($A91,[1]Hugst!$R$5:$W$9,MATCH(ROUNDUP((AE$1)/10,0)*10,[1]Hugst!$R$4:$W$4,0))))</f>
        <v>6679.8302933734485</v>
      </c>
      <c r="AF91">
        <f ca="1">IF($C91-AF$1&lt;År1,0,AE90*(1-VLOOKUP($A91,[1]Hugst!$R$5:$W$9,MATCH(ROUNDUP((AF$1)/10,0)*10,[1]Hugst!$R$4:$W$4,0))))</f>
        <v>6672.4372362016684</v>
      </c>
      <c r="AG91">
        <f ca="1">IF($C91-AG$1&lt;År1,0,AF90*(1-VLOOKUP($A91,[1]Hugst!$R$5:$W$9,MATCH(ROUNDUP((AG$1)/10,0)*10,[1]Hugst!$R$4:$W$4,0))))</f>
        <v>6665.070833624457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756.18825154397564</v>
      </c>
      <c r="E92">
        <f t="shared" ca="1" si="1"/>
        <v>201.12905964499805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6343.051193219153</v>
      </c>
      <c r="G92">
        <f ca="1">IF($C92-G$1&lt;År1,0,F91*(1-VLOOKUP($A92,[1]Hugst!$R$5:$W$9,MATCH(ROUNDUP((G$1)/10,0)*10,[1]Hugst!$R$4:$W$4,0))))</f>
        <v>6336.165834377518</v>
      </c>
      <c r="H92">
        <f ca="1">IF($C92-H$1&lt;År1,0,G91*(1-VLOOKUP($A92,[1]Hugst!$R$5:$W$9,MATCH(ROUNDUP((H$1)/10,0)*10,[1]Hugst!$R$4:$W$4,0))))</f>
        <v>6329.2895334191435</v>
      </c>
      <c r="I92">
        <f ca="1">IF($C92-I$1&lt;År1,0,H91*(1-VLOOKUP($A92,[1]Hugst!$R$5:$W$9,MATCH(ROUNDUP((I$1)/10,0)*10,[1]Hugst!$R$4:$W$4,0))))</f>
        <v>6322.4223639013162</v>
      </c>
      <c r="J92">
        <f ca="1">IF($C92-J$1&lt;År1,0,I91*(1-VLOOKUP($A92,[1]Hugst!$R$5:$W$9,MATCH(ROUNDUP((J$1)/10,0)*10,[1]Hugst!$R$4:$W$4,0))))</f>
        <v>6315.5643997363095</v>
      </c>
      <c r="K92">
        <f ca="1">IF($C92-K$1&lt;År1,0,J91*(1-VLOOKUP($A92,[1]Hugst!$R$5:$W$9,MATCH(ROUNDUP((K$1)/10,0)*10,[1]Hugst!$R$4:$W$4,0))))</f>
        <v>6308.7157151928859</v>
      </c>
      <c r="L92">
        <f ca="1">IF($C92-L$1&lt;År1,0,K91*(1-VLOOKUP($A92,[1]Hugst!$R$5:$W$9,MATCH(ROUNDUP((L$1)/10,0)*10,[1]Hugst!$R$4:$W$4,0))))</f>
        <v>6301.8763848977342</v>
      </c>
      <c r="M92">
        <f ca="1">IF($C92-M$1&lt;År1,0,L91*(1-VLOOKUP($A92,[1]Hugst!$R$5:$W$9,MATCH(ROUNDUP((M$1)/10,0)*10,[1]Hugst!$R$4:$W$4,0))))</f>
        <v>6295.0464838376774</v>
      </c>
      <c r="N92">
        <f ca="1">IF($C92-N$1&lt;År1,0,M91*(1-VLOOKUP($A92,[1]Hugst!$R$5:$W$9,MATCH(ROUNDUP((N$1)/10,0)*10,[1]Hugst!$R$4:$W$4,0))))</f>
        <v>6288.226087360812</v>
      </c>
      <c r="O92">
        <f ca="1">IF($C92-O$1&lt;År1,0,N91*(1-VLOOKUP($A92,[1]Hugst!$R$5:$W$9,MATCH(ROUNDUP((O$1)/10,0)*10,[1]Hugst!$R$4:$W$4,0))))</f>
        <v>6280.4886355776835</v>
      </c>
      <c r="P92">
        <f ca="1">IF($C92-P$1&lt;År1,0,O91*(1-VLOOKUP($A92,[1]Hugst!$R$5:$W$9,MATCH(ROUNDUP((P$1)/10,0)*10,[1]Hugst!$R$4:$W$4,0))))</f>
        <v>6264.6260855331875</v>
      </c>
      <c r="Q92">
        <f ca="1">IF($C92-Q$1&lt;År1,0,P91*(1-VLOOKUP($A92,[1]Hugst!$R$5:$W$9,MATCH(ROUNDUP((Q$1)/10,0)*10,[1]Hugst!$R$4:$W$4,0))))</f>
        <v>6248.7952273023711</v>
      </c>
      <c r="R92">
        <f ca="1">IF($C92-R$1&lt;År1,0,Q91*(1-VLOOKUP($A92,[1]Hugst!$R$5:$W$9,MATCH(ROUNDUP((R$1)/10,0)*10,[1]Hugst!$R$4:$W$4,0))))</f>
        <v>6232.9960387136953</v>
      </c>
      <c r="S92">
        <f ca="1">IF($C92-S$1&lt;År1,0,R91*(1-VLOOKUP($A92,[1]Hugst!$R$5:$W$9,MATCH(ROUNDUP((S$1)/10,0)*10,[1]Hugst!$R$4:$W$4,0))))</f>
        <v>6217.2284977206746</v>
      </c>
      <c r="T92">
        <f ca="1">IF($C92-T$1&lt;År1,0,S91*(1-VLOOKUP($A92,[1]Hugst!$R$5:$W$9,MATCH(ROUNDUP((T$1)/10,0)*10,[1]Hugst!$R$4:$W$4,0))))</f>
        <v>6201.4925824021902</v>
      </c>
      <c r="U92">
        <f ca="1">IF($C92-U$1&lt;År1,0,T91*(1-VLOOKUP($A92,[1]Hugst!$R$5:$W$9,MATCH(ROUNDUP((U$1)/10,0)*10,[1]Hugst!$R$4:$W$4,0))))</f>
        <v>6185.7882709625519</v>
      </c>
      <c r="V92">
        <f ca="1">IF($C92-V$1&lt;År1,0,U91*(1-VLOOKUP($A92,[1]Hugst!$R$5:$W$9,MATCH(ROUNDUP((V$1)/10,0)*10,[1]Hugst!$R$4:$W$4,0))))</f>
        <v>6170.1155417318769</v>
      </c>
      <c r="W92">
        <f ca="1">IF($C92-W$1&lt;År1,0,V91*(1-VLOOKUP($A92,[1]Hugst!$R$5:$W$9,MATCH(ROUNDUP((W$1)/10,0)*10,[1]Hugst!$R$4:$W$4,0))))</f>
        <v>6154.4743731656727</v>
      </c>
      <c r="X92">
        <f ca="1">IF($C92-X$1&lt;År1,0,W91*(1-VLOOKUP($A92,[1]Hugst!$R$5:$W$9,MATCH(ROUNDUP((X$1)/10,0)*10,[1]Hugst!$R$4:$W$4,0))))</f>
        <v>6737.1228540271668</v>
      </c>
      <c r="Y92">
        <f ca="1">IF($C92-Y$1&lt;År1,0,X91*(1-VLOOKUP($A92,[1]Hugst!$R$5:$W$9,MATCH(ROUNDUP((Y$1)/10,0)*10,[1]Hugst!$R$4:$W$4,0))))</f>
        <v>6720.6321455435072</v>
      </c>
      <c r="Z92">
        <f ca="1">IF($C92-Z$1&lt;År1,0,Y91*(1-VLOOKUP($A92,[1]Hugst!$R$5:$W$9,MATCH(ROUNDUP((Z$1)/10,0)*10,[1]Hugst!$R$4:$W$4,0))))</f>
        <v>6713.0656331668852</v>
      </c>
      <c r="AA92">
        <f ca="1">IF($C92-AA$1&lt;År1,0,Z91*(1-VLOOKUP($A92,[1]Hugst!$R$5:$W$9,MATCH(ROUNDUP((AA$1)/10,0)*10,[1]Hugst!$R$4:$W$4,0))))</f>
        <v>6705.5257403862934</v>
      </c>
      <c r="AB92">
        <f ca="1">IF($C92-AB$1&lt;År1,0,AA91*(1-VLOOKUP($A92,[1]Hugst!$R$5:$W$9,MATCH(ROUNDUP((AB$1)/10,0)*10,[1]Hugst!$R$4:$W$4,0))))</f>
        <v>6698.012465139831</v>
      </c>
      <c r="AC92">
        <f ca="1">IF($C92-AC$1&lt;År1,0,AB91*(1-VLOOKUP($A92,[1]Hugst!$R$5:$W$9,MATCH(ROUNDUP((AC$1)/10,0)*10,[1]Hugst!$R$4:$W$4,0))))</f>
        <v>6690.5258055140011</v>
      </c>
      <c r="AD92">
        <f ca="1">IF($C92-AD$1&lt;År1,0,AC91*(1-VLOOKUP($A92,[1]Hugst!$R$5:$W$9,MATCH(ROUNDUP((AD$1)/10,0)*10,[1]Hugst!$R$4:$W$4,0))))</f>
        <v>6683.0657597440095</v>
      </c>
      <c r="AE92">
        <f ca="1">IF($C92-AE$1&lt;År1,0,AD91*(1-VLOOKUP($A92,[1]Hugst!$R$5:$W$9,MATCH(ROUNDUP((AE$1)/10,0)*10,[1]Hugst!$R$4:$W$4,0))))</f>
        <v>6675.632326213934</v>
      </c>
      <c r="AF92">
        <f ca="1">IF($C92-AF$1&lt;År1,0,AE91*(1-VLOOKUP($A92,[1]Hugst!$R$5:$W$9,MATCH(ROUNDUP((AF$1)/10,0)*10,[1]Hugst!$R$4:$W$4,0))))</f>
        <v>6668.2255034569944</v>
      </c>
      <c r="AG92">
        <f ca="1">IF($C92-AG$1&lt;År1,0,AF91*(1-VLOOKUP($A92,[1]Hugst!$R$5:$W$9,MATCH(ROUNDUP((AG$1)/10,0)*10,[1]Hugst!$R$4:$W$4,0))))</f>
        <v>6660.8452901557248</v>
      </c>
      <c r="AH92">
        <f ca="1">IF($C92-AH$1&lt;År1,0,AG91*(1-VLOOKUP($A92,[1]Hugst!$R$5:$W$9,MATCH(ROUNDUP((AH$1)/10,0)*10,[1]Hugst!$R$4:$W$4,0))))</f>
        <v>6653.4916851423122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752.40731028625669</v>
      </c>
      <c r="E93">
        <f t="shared" ca="1" si="1"/>
        <v>211.80434442331898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6349.945536739755</v>
      </c>
      <c r="G93">
        <f ca="1">IF($C93-G$1&lt;År1,0,F92*(1-VLOOKUP($A93,[1]Hugst!$R$5:$W$9,MATCH(ROUNDUP((G$1)/10,0)*10,[1]Hugst!$R$4:$W$4,0))))</f>
        <v>6343.051193219153</v>
      </c>
      <c r="H93">
        <f ca="1">IF($C93-H$1&lt;År1,0,G92*(1-VLOOKUP($A93,[1]Hugst!$R$5:$W$9,MATCH(ROUNDUP((H$1)/10,0)*10,[1]Hugst!$R$4:$W$4,0))))</f>
        <v>6336.165834377518</v>
      </c>
      <c r="I93">
        <f ca="1">IF($C93-I$1&lt;År1,0,H92*(1-VLOOKUP($A93,[1]Hugst!$R$5:$W$9,MATCH(ROUNDUP((I$1)/10,0)*10,[1]Hugst!$R$4:$W$4,0))))</f>
        <v>6329.2895334191435</v>
      </c>
      <c r="J93">
        <f ca="1">IF($C93-J$1&lt;År1,0,I92*(1-VLOOKUP($A93,[1]Hugst!$R$5:$W$9,MATCH(ROUNDUP((J$1)/10,0)*10,[1]Hugst!$R$4:$W$4,0))))</f>
        <v>6322.4223639013162</v>
      </c>
      <c r="K93">
        <f ca="1">IF($C93-K$1&lt;År1,0,J92*(1-VLOOKUP($A93,[1]Hugst!$R$5:$W$9,MATCH(ROUNDUP((K$1)/10,0)*10,[1]Hugst!$R$4:$W$4,0))))</f>
        <v>6315.5643997363095</v>
      </c>
      <c r="L93">
        <f ca="1">IF($C93-L$1&lt;År1,0,K92*(1-VLOOKUP($A93,[1]Hugst!$R$5:$W$9,MATCH(ROUNDUP((L$1)/10,0)*10,[1]Hugst!$R$4:$W$4,0))))</f>
        <v>6308.7157151928859</v>
      </c>
      <c r="M93">
        <f ca="1">IF($C93-M$1&lt;År1,0,L92*(1-VLOOKUP($A93,[1]Hugst!$R$5:$W$9,MATCH(ROUNDUP((M$1)/10,0)*10,[1]Hugst!$R$4:$W$4,0))))</f>
        <v>6301.8763848977342</v>
      </c>
      <c r="N93">
        <f ca="1">IF($C93-N$1&lt;År1,0,M92*(1-VLOOKUP($A93,[1]Hugst!$R$5:$W$9,MATCH(ROUNDUP((N$1)/10,0)*10,[1]Hugst!$R$4:$W$4,0))))</f>
        <v>6295.0464838376774</v>
      </c>
      <c r="O93">
        <f ca="1">IF($C93-O$1&lt;År1,0,N92*(1-VLOOKUP($A93,[1]Hugst!$R$5:$W$9,MATCH(ROUNDUP((O$1)/10,0)*10,[1]Hugst!$R$4:$W$4,0))))</f>
        <v>6288.226087360812</v>
      </c>
      <c r="P93">
        <f ca="1">IF($C93-P$1&lt;År1,0,O92*(1-VLOOKUP($A93,[1]Hugst!$R$5:$W$9,MATCH(ROUNDUP((P$1)/10,0)*10,[1]Hugst!$R$4:$W$4,0))))</f>
        <v>6270.9082291844288</v>
      </c>
      <c r="Q93">
        <f ca="1">IF($C93-Q$1&lt;År1,0,P92*(1-VLOOKUP($A93,[1]Hugst!$R$5:$W$9,MATCH(ROUNDUP((Q$1)/10,0)*10,[1]Hugst!$R$4:$W$4,0))))</f>
        <v>6255.0698762501706</v>
      </c>
      <c r="R93">
        <f ca="1">IF($C93-R$1&lt;År1,0,Q92*(1-VLOOKUP($A93,[1]Hugst!$R$5:$W$9,MATCH(ROUNDUP((R$1)/10,0)*10,[1]Hugst!$R$4:$W$4,0))))</f>
        <v>6239.2631667861469</v>
      </c>
      <c r="S93">
        <f ca="1">IF($C93-S$1&lt;År1,0,R92*(1-VLOOKUP($A93,[1]Hugst!$R$5:$W$9,MATCH(ROUNDUP((S$1)/10,0)*10,[1]Hugst!$R$4:$W$4,0))))</f>
        <v>6223.48807865464</v>
      </c>
      <c r="T93">
        <f ca="1">IF($C93-T$1&lt;År1,0,S92*(1-VLOOKUP($A93,[1]Hugst!$R$5:$W$9,MATCH(ROUNDUP((T$1)/10,0)*10,[1]Hugst!$R$4:$W$4,0))))</f>
        <v>6207.744589842795</v>
      </c>
      <c r="U93">
        <f ca="1">IF($C93-U$1&lt;År1,0,T92*(1-VLOOKUP($A93,[1]Hugst!$R$5:$W$9,MATCH(ROUNDUP((U$1)/10,0)*10,[1]Hugst!$R$4:$W$4,0))))</f>
        <v>6192.0326784629324</v>
      </c>
      <c r="V93">
        <f ca="1">IF($C93-V$1&lt;År1,0,U92*(1-VLOOKUP($A93,[1]Hugst!$R$5:$W$9,MATCH(ROUNDUP((V$1)/10,0)*10,[1]Hugst!$R$4:$W$4,0))))</f>
        <v>6176.3523227526084</v>
      </c>
      <c r="W93">
        <f ca="1">IF($C93-W$1&lt;År1,0,V92*(1-VLOOKUP($A93,[1]Hugst!$R$5:$W$9,MATCH(ROUNDUP((W$1)/10,0)*10,[1]Hugst!$R$4:$W$4,0))))</f>
        <v>6160.7035010749978</v>
      </c>
      <c r="X93">
        <f ca="1">IF($C93-X$1&lt;År1,0,W92*(1-VLOOKUP($A93,[1]Hugst!$R$5:$W$9,MATCH(ROUNDUP((X$1)/10,0)*10,[1]Hugst!$R$4:$W$4,0))))</f>
        <v>6145.0861919184708</v>
      </c>
      <c r="Y93">
        <f ca="1">IF($C93-Y$1&lt;År1,0,X92*(1-VLOOKUP($A93,[1]Hugst!$R$5:$W$9,MATCH(ROUNDUP((Y$1)/10,0)*10,[1]Hugst!$R$4:$W$4,0))))</f>
        <v>6726.8458869617016</v>
      </c>
      <c r="Z93">
        <f ca="1">IF($C93-Z$1&lt;År1,0,Y92*(1-VLOOKUP($A93,[1]Hugst!$R$5:$W$9,MATCH(ROUNDUP((Z$1)/10,0)*10,[1]Hugst!$R$4:$W$4,0))))</f>
        <v>6708.9564710533677</v>
      </c>
      <c r="AA93">
        <f ca="1">IF($C93-AA$1&lt;År1,0,Z92*(1-VLOOKUP($A93,[1]Hugst!$R$5:$W$9,MATCH(ROUNDUP((AA$1)/10,0)*10,[1]Hugst!$R$4:$W$4,0))))</f>
        <v>6701.4031038889252</v>
      </c>
      <c r="AB93">
        <f ca="1">IF($C93-AB$1&lt;År1,0,AA92*(1-VLOOKUP($A93,[1]Hugst!$R$5:$W$9,MATCH(ROUNDUP((AB$1)/10,0)*10,[1]Hugst!$R$4:$W$4,0))))</f>
        <v>6693.8763100746046</v>
      </c>
      <c r="AC93">
        <f ca="1">IF($C93-AC$1&lt;År1,0,AB92*(1-VLOOKUP($A93,[1]Hugst!$R$5:$W$9,MATCH(ROUNDUP((AC$1)/10,0)*10,[1]Hugst!$R$4:$W$4,0))))</f>
        <v>6686.3760875520875</v>
      </c>
      <c r="AD93">
        <f ca="1">IF($C93-AD$1&lt;År1,0,AC92*(1-VLOOKUP($A93,[1]Hugst!$R$5:$W$9,MATCH(ROUNDUP((AD$1)/10,0)*10,[1]Hugst!$R$4:$W$4,0))))</f>
        <v>6678.9024344112013</v>
      </c>
      <c r="AE93">
        <f ca="1">IF($C93-AE$1&lt;År1,0,AD92*(1-VLOOKUP($A93,[1]Hugst!$R$5:$W$9,MATCH(ROUNDUP((AE$1)/10,0)*10,[1]Hugst!$R$4:$W$4,0))))</f>
        <v>6671.4553488902166</v>
      </c>
      <c r="AF93">
        <f ca="1">IF($C93-AF$1&lt;År1,0,AE92*(1-VLOOKUP($A93,[1]Hugst!$R$5:$W$9,MATCH(ROUNDUP((AF$1)/10,0)*10,[1]Hugst!$R$4:$W$4,0))))</f>
        <v>6664.0348293760198</v>
      </c>
      <c r="AG93">
        <f ca="1">IF($C93-AG$1&lt;År1,0,AF92*(1-VLOOKUP($A93,[1]Hugst!$R$5:$W$9,MATCH(ROUNDUP((AG$1)/10,0)*10,[1]Hugst!$R$4:$W$4,0))))</f>
        <v>6656.6408744043783</v>
      </c>
      <c r="AH93">
        <f ca="1">IF($C93-AH$1&lt;År1,0,AG92*(1-VLOOKUP($A93,[1]Hugst!$R$5:$W$9,MATCH(ROUNDUP((AH$1)/10,0)*10,[1]Hugst!$R$4:$W$4,0))))</f>
        <v>6649.2734826601154</v>
      </c>
      <c r="AI93">
        <f ca="1">IF($C93-AI$1&lt;År1,0,AH92*(1-VLOOKUP($A93,[1]Hugst!$R$5:$W$9,MATCH(ROUNDUP((AI$1)/10,0)*10,[1]Hugst!$R$4:$W$4,0))))</f>
        <v>6641.9326529774462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748.64527373483725</v>
      </c>
      <c r="E94">
        <f t="shared" ca="1" si="1"/>
        <v>216.84527261499898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6351.2244283800155</v>
      </c>
      <c r="G94">
        <f ca="1">IF($C94-G$1&lt;År1,0,F93*(1-VLOOKUP($A94,[1]Hugst!$R$5:$W$9,MATCH(ROUNDUP((G$1)/10,0)*10,[1]Hugst!$R$4:$W$4,0))))</f>
        <v>6349.945536739755</v>
      </c>
      <c r="H94">
        <f ca="1">IF($C94-H$1&lt;År1,0,G93*(1-VLOOKUP($A94,[1]Hugst!$R$5:$W$9,MATCH(ROUNDUP((H$1)/10,0)*10,[1]Hugst!$R$4:$W$4,0))))</f>
        <v>6343.051193219153</v>
      </c>
      <c r="I94">
        <f ca="1">IF($C94-I$1&lt;År1,0,H93*(1-VLOOKUP($A94,[1]Hugst!$R$5:$W$9,MATCH(ROUNDUP((I$1)/10,0)*10,[1]Hugst!$R$4:$W$4,0))))</f>
        <v>6336.165834377518</v>
      </c>
      <c r="J94">
        <f ca="1">IF($C94-J$1&lt;År1,0,I93*(1-VLOOKUP($A94,[1]Hugst!$R$5:$W$9,MATCH(ROUNDUP((J$1)/10,0)*10,[1]Hugst!$R$4:$W$4,0))))</f>
        <v>6329.2895334191435</v>
      </c>
      <c r="K94">
        <f ca="1">IF($C94-K$1&lt;År1,0,J93*(1-VLOOKUP($A94,[1]Hugst!$R$5:$W$9,MATCH(ROUNDUP((K$1)/10,0)*10,[1]Hugst!$R$4:$W$4,0))))</f>
        <v>6322.4223639013162</v>
      </c>
      <c r="L94">
        <f ca="1">IF($C94-L$1&lt;År1,0,K93*(1-VLOOKUP($A94,[1]Hugst!$R$5:$W$9,MATCH(ROUNDUP((L$1)/10,0)*10,[1]Hugst!$R$4:$W$4,0))))</f>
        <v>6315.5643997363095</v>
      </c>
      <c r="M94">
        <f ca="1">IF($C94-M$1&lt;År1,0,L93*(1-VLOOKUP($A94,[1]Hugst!$R$5:$W$9,MATCH(ROUNDUP((M$1)/10,0)*10,[1]Hugst!$R$4:$W$4,0))))</f>
        <v>6308.7157151928859</v>
      </c>
      <c r="N94">
        <f ca="1">IF($C94-N$1&lt;År1,0,M93*(1-VLOOKUP($A94,[1]Hugst!$R$5:$W$9,MATCH(ROUNDUP((N$1)/10,0)*10,[1]Hugst!$R$4:$W$4,0))))</f>
        <v>6301.8763848977342</v>
      </c>
      <c r="O94">
        <f ca="1">IF($C94-O$1&lt;År1,0,N93*(1-VLOOKUP($A94,[1]Hugst!$R$5:$W$9,MATCH(ROUNDUP((O$1)/10,0)*10,[1]Hugst!$R$4:$W$4,0))))</f>
        <v>6295.0464838376774</v>
      </c>
      <c r="P94">
        <f ca="1">IF($C94-P$1&lt;År1,0,O93*(1-VLOOKUP($A94,[1]Hugst!$R$5:$W$9,MATCH(ROUNDUP((P$1)/10,0)*10,[1]Hugst!$R$4:$W$4,0))))</f>
        <v>6278.6338780750075</v>
      </c>
      <c r="Q94">
        <f ca="1">IF($C94-Q$1&lt;År1,0,P93*(1-VLOOKUP($A94,[1]Hugst!$R$5:$W$9,MATCH(ROUNDUP((Q$1)/10,0)*10,[1]Hugst!$R$4:$W$4,0))))</f>
        <v>6261.3424369704189</v>
      </c>
      <c r="R94">
        <f ca="1">IF($C94-R$1&lt;År1,0,Q93*(1-VLOOKUP($A94,[1]Hugst!$R$5:$W$9,MATCH(ROUNDUP((R$1)/10,0)*10,[1]Hugst!$R$4:$W$4,0))))</f>
        <v>6245.5282442355519</v>
      </c>
      <c r="S94">
        <f ca="1">IF($C94-S$1&lt;År1,0,R93*(1-VLOOKUP($A94,[1]Hugst!$R$5:$W$9,MATCH(ROUNDUP((S$1)/10,0)*10,[1]Hugst!$R$4:$W$4,0))))</f>
        <v>6229.7456467012189</v>
      </c>
      <c r="T94">
        <f ca="1">IF($C94-T$1&lt;År1,0,S93*(1-VLOOKUP($A94,[1]Hugst!$R$5:$W$9,MATCH(ROUNDUP((T$1)/10,0)*10,[1]Hugst!$R$4:$W$4,0))))</f>
        <v>6213.9946222634717</v>
      </c>
      <c r="U94">
        <f ca="1">IF($C94-U$1&lt;År1,0,T93*(1-VLOOKUP($A94,[1]Hugst!$R$5:$W$9,MATCH(ROUNDUP((U$1)/10,0)*10,[1]Hugst!$R$4:$W$4,0))))</f>
        <v>6198.2751489430348</v>
      </c>
      <c r="V94">
        <f ca="1">IF($C94-V$1&lt;År1,0,U93*(1-VLOOKUP($A94,[1]Hugst!$R$5:$W$9,MATCH(ROUNDUP((V$1)/10,0)*10,[1]Hugst!$R$4:$W$4,0))))</f>
        <v>6182.5872048856163</v>
      </c>
      <c r="W94">
        <f ca="1">IF($C94-W$1&lt;År1,0,V93*(1-VLOOKUP($A94,[1]Hugst!$R$5:$W$9,MATCH(ROUNDUP((W$1)/10,0)*10,[1]Hugst!$R$4:$W$4,0))))</f>
        <v>6166.9307683619691</v>
      </c>
      <c r="X94">
        <f ca="1">IF($C94-X$1&lt;År1,0,W93*(1-VLOOKUP($A94,[1]Hugst!$R$5:$W$9,MATCH(ROUNDUP((X$1)/10,0)*10,[1]Hugst!$R$4:$W$4,0))))</f>
        <v>6151.3058177682733</v>
      </c>
      <c r="Y94">
        <f ca="1">IF($C94-Y$1&lt;År1,0,X93*(1-VLOOKUP($A94,[1]Hugst!$R$5:$W$9,MATCH(ROUNDUP((Y$1)/10,0)*10,[1]Hugst!$R$4:$W$4,0))))</f>
        <v>6135.7123316257139</v>
      </c>
      <c r="Z94">
        <f ca="1">IF($C94-Z$1&lt;År1,0,Y93*(1-VLOOKUP($A94,[1]Hugst!$R$5:$W$9,MATCH(ROUNDUP((Z$1)/10,0)*10,[1]Hugst!$R$4:$W$4,0))))</f>
        <v>6715.1594174123184</v>
      </c>
      <c r="AA94">
        <f ca="1">IF($C94-AA$1&lt;År1,0,Z93*(1-VLOOKUP($A94,[1]Hugst!$R$5:$W$9,MATCH(ROUNDUP((AA$1)/10,0)*10,[1]Hugst!$R$4:$W$4,0))))</f>
        <v>6697.301080573995</v>
      </c>
      <c r="AB94">
        <f ca="1">IF($C94-AB$1&lt;År1,0,AA93*(1-VLOOKUP($A94,[1]Hugst!$R$5:$W$9,MATCH(ROUNDUP((AB$1)/10,0)*10,[1]Hugst!$R$4:$W$4,0))))</f>
        <v>6689.7608357847112</v>
      </c>
      <c r="AC94">
        <f ca="1">IF($C94-AC$1&lt;År1,0,AB93*(1-VLOOKUP($A94,[1]Hugst!$R$5:$W$9,MATCH(ROUNDUP((AC$1)/10,0)*10,[1]Hugst!$R$4:$W$4,0))))</f>
        <v>6682.2471181799829</v>
      </c>
      <c r="AD94">
        <f ca="1">IF($C94-AD$1&lt;År1,0,AC93*(1-VLOOKUP($A94,[1]Hugst!$R$5:$W$9,MATCH(ROUNDUP((AD$1)/10,0)*10,[1]Hugst!$R$4:$W$4,0))))</f>
        <v>6674.7599257050688</v>
      </c>
      <c r="AE94">
        <f ca="1">IF($C94-AE$1&lt;År1,0,AD93*(1-VLOOKUP($A94,[1]Hugst!$R$5:$W$9,MATCH(ROUNDUP((AE$1)/10,0)*10,[1]Hugst!$R$4:$W$4,0))))</f>
        <v>6667.2992564531141</v>
      </c>
      <c r="AF94">
        <f ca="1">IF($C94-AF$1&lt;År1,0,AE93*(1-VLOOKUP($A94,[1]Hugst!$R$5:$W$9,MATCH(ROUNDUP((AF$1)/10,0)*10,[1]Hugst!$R$4:$W$4,0))))</f>
        <v>6659.865108665449</v>
      </c>
      <c r="AG94">
        <f ca="1">IF($C94-AG$1&lt;År1,0,AF93*(1-VLOOKUP($A94,[1]Hugst!$R$5:$W$9,MATCH(ROUNDUP((AG$1)/10,0)*10,[1]Hugst!$R$4:$W$4,0))))</f>
        <v>6652.4574807317649</v>
      </c>
      <c r="AH94">
        <f ca="1">IF($C94-AH$1&lt;År1,0,AG93*(1-VLOOKUP($A94,[1]Hugst!$R$5:$W$9,MATCH(ROUNDUP((AH$1)/10,0)*10,[1]Hugst!$R$4:$W$4,0))))</f>
        <v>6645.0763711903701</v>
      </c>
      <c r="AI94">
        <f ca="1">IF($C94-AI$1&lt;År1,0,AH93*(1-VLOOKUP($A94,[1]Hugst!$R$5:$W$9,MATCH(ROUNDUP((AI$1)/10,0)*10,[1]Hugst!$R$4:$W$4,0))))</f>
        <v>6637.7217787283753</v>
      </c>
      <c r="AJ94">
        <f ca="1">IF($C94-AJ$1&lt;År1,0,AI93*(1-VLOOKUP($A94,[1]Hugst!$R$5:$W$9,MATCH(ROUNDUP((AJ$1)/10,0)*10,[1]Hugst!$R$4:$W$4,0))))</f>
        <v>6636.0224586675931</v>
      </c>
      <c r="AL94">
        <f ca="1">SUM(F94:AJ94)</f>
        <v>198675.02880562455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254.69095675387072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1164.7794964720401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253.41750197010114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1163.5060416882704</v>
      </c>
      <c r="G96">
        <f ca="1">IF($C96-G$1&lt;År1,0,F95*(1-VLOOKUP($A96,[1]Hugst!$R$5:$W$9,MATCH(ROUNDUP((G$1)/10,0)*10,[1]Hugst!$R$4:$W$4,0))))</f>
        <v>1164.7794964720401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252.1504144602514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1162.2389541784207</v>
      </c>
      <c r="G97">
        <f ca="1">IF($C97-G$1&lt;År1,0,F96*(1-VLOOKUP($A97,[1]Hugst!$R$5:$W$9,MATCH(ROUNDUP((G$1)/10,0)*10,[1]Hugst!$R$4:$W$4,0))))</f>
        <v>1163.5060416882704</v>
      </c>
      <c r="H97">
        <f ca="1">IF($C97-H$1&lt;År1,0,G96*(1-VLOOKUP($A97,[1]Hugst!$R$5:$W$9,MATCH(ROUNDUP((H$1)/10,0)*10,[1]Hugst!$R$4:$W$4,0))))</f>
        <v>1164.7794964720401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250.88966238794376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1160.9782021061133</v>
      </c>
      <c r="G98">
        <f ca="1">IF($C98-G$1&lt;År1,0,F97*(1-VLOOKUP($A98,[1]Hugst!$R$5:$W$9,MATCH(ROUNDUP((G$1)/10,0)*10,[1]Hugst!$R$4:$W$4,0))))</f>
        <v>1162.2389541784207</v>
      </c>
      <c r="H98">
        <f ca="1">IF($C98-H$1&lt;År1,0,G97*(1-VLOOKUP($A98,[1]Hugst!$R$5:$W$9,MATCH(ROUNDUP((H$1)/10,0)*10,[1]Hugst!$R$4:$W$4,0))))</f>
        <v>1163.5060416882704</v>
      </c>
      <c r="I98">
        <f ca="1">IF($C98-I$1&lt;År1,0,H97*(1-VLOOKUP($A98,[1]Hugst!$R$5:$W$9,MATCH(ROUNDUP((I$1)/10,0)*10,[1]Hugst!$R$4:$W$4,0))))</f>
        <v>1164.7794964720401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249.63521407601093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1159.7237537941803</v>
      </c>
      <c r="G99">
        <f ca="1">IF($C99-G$1&lt;År1,0,F98*(1-VLOOKUP($A99,[1]Hugst!$R$5:$W$9,MATCH(ROUNDUP((G$1)/10,0)*10,[1]Hugst!$R$4:$W$4,0))))</f>
        <v>1160.9782021061133</v>
      </c>
      <c r="H99">
        <f ca="1">IF($C99-H$1&lt;År1,0,G98*(1-VLOOKUP($A99,[1]Hugst!$R$5:$W$9,MATCH(ROUNDUP((H$1)/10,0)*10,[1]Hugst!$R$4:$W$4,0))))</f>
        <v>1162.2389541784207</v>
      </c>
      <c r="I99">
        <f ca="1">IF($C99-I$1&lt;År1,0,H98*(1-VLOOKUP($A99,[1]Hugst!$R$5:$W$9,MATCH(ROUNDUP((I$1)/10,0)*10,[1]Hugst!$R$4:$W$4,0))))</f>
        <v>1163.5060416882704</v>
      </c>
      <c r="J99">
        <f ca="1">IF($C99-J$1&lt;År1,0,I98*(1-VLOOKUP($A99,[1]Hugst!$R$5:$W$9,MATCH(ROUNDUP((J$1)/10,0)*10,[1]Hugst!$R$4:$W$4,0))))</f>
        <v>1164.7794964720401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248.38703800562644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1158.4755777237958</v>
      </c>
      <c r="G100">
        <f ca="1">IF($C100-G$1&lt;År1,0,F99*(1-VLOOKUP($A100,[1]Hugst!$R$5:$W$9,MATCH(ROUNDUP((G$1)/10,0)*10,[1]Hugst!$R$4:$W$4,0))))</f>
        <v>1159.7237537941803</v>
      </c>
      <c r="H100">
        <f ca="1">IF($C100-H$1&lt;År1,0,G99*(1-VLOOKUP($A100,[1]Hugst!$R$5:$W$9,MATCH(ROUNDUP((H$1)/10,0)*10,[1]Hugst!$R$4:$W$4,0))))</f>
        <v>1160.9782021061133</v>
      </c>
      <c r="I100">
        <f ca="1">IF($C100-I$1&lt;År1,0,H99*(1-VLOOKUP($A100,[1]Hugst!$R$5:$W$9,MATCH(ROUNDUP((I$1)/10,0)*10,[1]Hugst!$R$4:$W$4,0))))</f>
        <v>1162.2389541784207</v>
      </c>
      <c r="J100">
        <f ca="1">IF($C100-J$1&lt;År1,0,I99*(1-VLOOKUP($A100,[1]Hugst!$R$5:$W$9,MATCH(ROUNDUP((J$1)/10,0)*10,[1]Hugst!$R$4:$W$4,0))))</f>
        <v>1163.5060416882704</v>
      </c>
      <c r="K100">
        <f ca="1">IF($C100-K$1&lt;År1,0,J99*(1-VLOOKUP($A100,[1]Hugst!$R$5:$W$9,MATCH(ROUNDUP((K$1)/10,0)*10,[1]Hugst!$R$4:$W$4,0))))</f>
        <v>1164.7794964720401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247.14510281560933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1157.2336425337787</v>
      </c>
      <c r="G101">
        <f ca="1">IF($C101-G$1&lt;År1,0,F100*(1-VLOOKUP($A101,[1]Hugst!$R$5:$W$9,MATCH(ROUNDUP((G$1)/10,0)*10,[1]Hugst!$R$4:$W$4,0))))</f>
        <v>1158.4755777237958</v>
      </c>
      <c r="H101">
        <f ca="1">IF($C101-H$1&lt;År1,0,G100*(1-VLOOKUP($A101,[1]Hugst!$R$5:$W$9,MATCH(ROUNDUP((H$1)/10,0)*10,[1]Hugst!$R$4:$W$4,0))))</f>
        <v>1159.7237537941803</v>
      </c>
      <c r="I101">
        <f ca="1">IF($C101-I$1&lt;År1,0,H100*(1-VLOOKUP($A101,[1]Hugst!$R$5:$W$9,MATCH(ROUNDUP((I$1)/10,0)*10,[1]Hugst!$R$4:$W$4,0))))</f>
        <v>1160.9782021061133</v>
      </c>
      <c r="J101">
        <f ca="1">IF($C101-J$1&lt;År1,0,I100*(1-VLOOKUP($A101,[1]Hugst!$R$5:$W$9,MATCH(ROUNDUP((J$1)/10,0)*10,[1]Hugst!$R$4:$W$4,0))))</f>
        <v>1162.2389541784207</v>
      </c>
      <c r="K101">
        <f ca="1">IF($C101-K$1&lt;År1,0,J100*(1-VLOOKUP($A101,[1]Hugst!$R$5:$W$9,MATCH(ROUNDUP((K$1)/10,0)*10,[1]Hugst!$R$4:$W$4,0))))</f>
        <v>1163.5060416882704</v>
      </c>
      <c r="L101">
        <f ca="1">IF($C101-L$1&lt;År1,0,K100*(1-VLOOKUP($A101,[1]Hugst!$R$5:$W$9,MATCH(ROUNDUP((L$1)/10,0)*10,[1]Hugst!$R$4:$W$4,0))))</f>
        <v>1164.7794964720401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245.90937730151927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1155.9979170196887</v>
      </c>
      <c r="G102">
        <f ca="1">IF($C102-G$1&lt;År1,0,F101*(1-VLOOKUP($A102,[1]Hugst!$R$5:$W$9,MATCH(ROUNDUP((G$1)/10,0)*10,[1]Hugst!$R$4:$W$4,0))))</f>
        <v>1157.2336425337787</v>
      </c>
      <c r="H102">
        <f ca="1">IF($C102-H$1&lt;År1,0,G101*(1-VLOOKUP($A102,[1]Hugst!$R$5:$W$9,MATCH(ROUNDUP((H$1)/10,0)*10,[1]Hugst!$R$4:$W$4,0))))</f>
        <v>1158.4755777237958</v>
      </c>
      <c r="I102">
        <f ca="1">IF($C102-I$1&lt;År1,0,H101*(1-VLOOKUP($A102,[1]Hugst!$R$5:$W$9,MATCH(ROUNDUP((I$1)/10,0)*10,[1]Hugst!$R$4:$W$4,0))))</f>
        <v>1159.7237537941803</v>
      </c>
      <c r="J102">
        <f ca="1">IF($C102-J$1&lt;År1,0,I101*(1-VLOOKUP($A102,[1]Hugst!$R$5:$W$9,MATCH(ROUNDUP((J$1)/10,0)*10,[1]Hugst!$R$4:$W$4,0))))</f>
        <v>1160.9782021061133</v>
      </c>
      <c r="K102">
        <f ca="1">IF($C102-K$1&lt;År1,0,J101*(1-VLOOKUP($A102,[1]Hugst!$R$5:$W$9,MATCH(ROUNDUP((K$1)/10,0)*10,[1]Hugst!$R$4:$W$4,0))))</f>
        <v>1162.2389541784207</v>
      </c>
      <c r="L102">
        <f ca="1">IF($C102-L$1&lt;År1,0,K101*(1-VLOOKUP($A102,[1]Hugst!$R$5:$W$9,MATCH(ROUNDUP((L$1)/10,0)*10,[1]Hugst!$R$4:$W$4,0))))</f>
        <v>1163.5060416882704</v>
      </c>
      <c r="M102">
        <f ca="1">IF($C102-M$1&lt;År1,0,L101*(1-VLOOKUP($A102,[1]Hugst!$R$5:$W$9,MATCH(ROUNDUP((M$1)/10,0)*10,[1]Hugst!$R$4:$W$4,0))))</f>
        <v>1164.7794964720401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244.67983041501748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1154.7683701331869</v>
      </c>
      <c r="G103">
        <f ca="1">IF($C103-G$1&lt;År1,0,F102*(1-VLOOKUP($A103,[1]Hugst!$R$5:$W$9,MATCH(ROUNDUP((G$1)/10,0)*10,[1]Hugst!$R$4:$W$4,0))))</f>
        <v>1155.9979170196887</v>
      </c>
      <c r="H103">
        <f ca="1">IF($C103-H$1&lt;År1,0,G102*(1-VLOOKUP($A103,[1]Hugst!$R$5:$W$9,MATCH(ROUNDUP((H$1)/10,0)*10,[1]Hugst!$R$4:$W$4,0))))</f>
        <v>1157.2336425337787</v>
      </c>
      <c r="I103">
        <f ca="1">IF($C103-I$1&lt;År1,0,H102*(1-VLOOKUP($A103,[1]Hugst!$R$5:$W$9,MATCH(ROUNDUP((I$1)/10,0)*10,[1]Hugst!$R$4:$W$4,0))))</f>
        <v>1158.4755777237958</v>
      </c>
      <c r="J103">
        <f ca="1">IF($C103-J$1&lt;År1,0,I102*(1-VLOOKUP($A103,[1]Hugst!$R$5:$W$9,MATCH(ROUNDUP((J$1)/10,0)*10,[1]Hugst!$R$4:$W$4,0))))</f>
        <v>1159.7237537941803</v>
      </c>
      <c r="K103">
        <f ca="1">IF($C103-K$1&lt;År1,0,J102*(1-VLOOKUP($A103,[1]Hugst!$R$5:$W$9,MATCH(ROUNDUP((K$1)/10,0)*10,[1]Hugst!$R$4:$W$4,0))))</f>
        <v>1160.9782021061133</v>
      </c>
      <c r="L103">
        <f ca="1">IF($C103-L$1&lt;År1,0,K102*(1-VLOOKUP($A103,[1]Hugst!$R$5:$W$9,MATCH(ROUNDUP((L$1)/10,0)*10,[1]Hugst!$R$4:$W$4,0))))</f>
        <v>1162.2389541784207</v>
      </c>
      <c r="M103">
        <f ca="1">IF($C103-M$1&lt;År1,0,L102*(1-VLOOKUP($A103,[1]Hugst!$R$5:$W$9,MATCH(ROUNDUP((M$1)/10,0)*10,[1]Hugst!$R$4:$W$4,0))))</f>
        <v>1163.5060416882704</v>
      </c>
      <c r="N103">
        <f ca="1">IF($C103-N$1&lt;År1,0,M102*(1-VLOOKUP($A103,[1]Hugst!$R$5:$W$9,MATCH(ROUNDUP((N$1)/10,0)*10,[1]Hugst!$R$4:$W$4,0))))</f>
        <v>1164.7794964720401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243.45643126293999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1153.5449709811094</v>
      </c>
      <c r="G104">
        <f ca="1">IF($C104-G$1&lt;År1,0,F103*(1-VLOOKUP($A104,[1]Hugst!$R$5:$W$9,MATCH(ROUNDUP((G$1)/10,0)*10,[1]Hugst!$R$4:$W$4,0))))</f>
        <v>1154.7683701331869</v>
      </c>
      <c r="H104">
        <f ca="1">IF($C104-H$1&lt;År1,0,G103*(1-VLOOKUP($A104,[1]Hugst!$R$5:$W$9,MATCH(ROUNDUP((H$1)/10,0)*10,[1]Hugst!$R$4:$W$4,0))))</f>
        <v>1155.9979170196887</v>
      </c>
      <c r="I104">
        <f ca="1">IF($C104-I$1&lt;År1,0,H103*(1-VLOOKUP($A104,[1]Hugst!$R$5:$W$9,MATCH(ROUNDUP((I$1)/10,0)*10,[1]Hugst!$R$4:$W$4,0))))</f>
        <v>1157.2336425337787</v>
      </c>
      <c r="J104">
        <f ca="1">IF($C104-J$1&lt;År1,0,I103*(1-VLOOKUP($A104,[1]Hugst!$R$5:$W$9,MATCH(ROUNDUP((J$1)/10,0)*10,[1]Hugst!$R$4:$W$4,0))))</f>
        <v>1158.4755777237958</v>
      </c>
      <c r="K104">
        <f ca="1">IF($C104-K$1&lt;År1,0,J103*(1-VLOOKUP($A104,[1]Hugst!$R$5:$W$9,MATCH(ROUNDUP((K$1)/10,0)*10,[1]Hugst!$R$4:$W$4,0))))</f>
        <v>1159.7237537941803</v>
      </c>
      <c r="L104">
        <f ca="1">IF($C104-L$1&lt;År1,0,K103*(1-VLOOKUP($A104,[1]Hugst!$R$5:$W$9,MATCH(ROUNDUP((L$1)/10,0)*10,[1]Hugst!$R$4:$W$4,0))))</f>
        <v>1160.9782021061133</v>
      </c>
      <c r="M104">
        <f ca="1">IF($C104-M$1&lt;År1,0,L103*(1-VLOOKUP($A104,[1]Hugst!$R$5:$W$9,MATCH(ROUNDUP((M$1)/10,0)*10,[1]Hugst!$R$4:$W$4,0))))</f>
        <v>1162.2389541784207</v>
      </c>
      <c r="N104">
        <f ca="1">IF($C104-N$1&lt;År1,0,M103*(1-VLOOKUP($A104,[1]Hugst!$R$5:$W$9,MATCH(ROUNDUP((N$1)/10,0)*10,[1]Hugst!$R$4:$W$4,0))))</f>
        <v>1163.5060416882704</v>
      </c>
      <c r="O104">
        <f ca="1">IF($C104-O$1&lt;År1,0,N103*(1-VLOOKUP($A104,[1]Hugst!$R$5:$W$9,MATCH(ROUNDUP((O$1)/10,0)*10,[1]Hugst!$R$4:$W$4,0))))</f>
        <v>1164.7794964720401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242.23914910663143</v>
      </c>
      <c r="E105">
        <f t="shared" ca="1" si="2"/>
        <v>1.7767822827536293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1154.1044711075544</v>
      </c>
      <c r="G105">
        <f ca="1">IF($C105-G$1&lt;År1,0,F104*(1-VLOOKUP($A105,[1]Hugst!$R$5:$W$9,MATCH(ROUNDUP((G$1)/10,0)*10,[1]Hugst!$R$4:$W$4,0))))</f>
        <v>1153.5449709811094</v>
      </c>
      <c r="H105">
        <f ca="1">IF($C105-H$1&lt;År1,0,G104*(1-VLOOKUP($A105,[1]Hugst!$R$5:$W$9,MATCH(ROUNDUP((H$1)/10,0)*10,[1]Hugst!$R$4:$W$4,0))))</f>
        <v>1154.7683701331869</v>
      </c>
      <c r="I105">
        <f ca="1">IF($C105-I$1&lt;År1,0,H104*(1-VLOOKUP($A105,[1]Hugst!$R$5:$W$9,MATCH(ROUNDUP((I$1)/10,0)*10,[1]Hugst!$R$4:$W$4,0))))</f>
        <v>1155.9979170196887</v>
      </c>
      <c r="J105">
        <f ca="1">IF($C105-J$1&lt;År1,0,I104*(1-VLOOKUP($A105,[1]Hugst!$R$5:$W$9,MATCH(ROUNDUP((J$1)/10,0)*10,[1]Hugst!$R$4:$W$4,0))))</f>
        <v>1157.2336425337787</v>
      </c>
      <c r="K105">
        <f ca="1">IF($C105-K$1&lt;År1,0,J104*(1-VLOOKUP($A105,[1]Hugst!$R$5:$W$9,MATCH(ROUNDUP((K$1)/10,0)*10,[1]Hugst!$R$4:$W$4,0))))</f>
        <v>1158.4755777237958</v>
      </c>
      <c r="L105">
        <f ca="1">IF($C105-L$1&lt;År1,0,K104*(1-VLOOKUP($A105,[1]Hugst!$R$5:$W$9,MATCH(ROUNDUP((L$1)/10,0)*10,[1]Hugst!$R$4:$W$4,0))))</f>
        <v>1159.7237537941803</v>
      </c>
      <c r="M105">
        <f ca="1">IF($C105-M$1&lt;År1,0,L104*(1-VLOOKUP($A105,[1]Hugst!$R$5:$W$9,MATCH(ROUNDUP((M$1)/10,0)*10,[1]Hugst!$R$4:$W$4,0))))</f>
        <v>1160.9782021061133</v>
      </c>
      <c r="N105">
        <f ca="1">IF($C105-N$1&lt;År1,0,M104*(1-VLOOKUP($A105,[1]Hugst!$R$5:$W$9,MATCH(ROUNDUP((N$1)/10,0)*10,[1]Hugst!$R$4:$W$4,0))))</f>
        <v>1162.2389541784207</v>
      </c>
      <c r="O105">
        <f ca="1">IF($C105-O$1&lt;År1,0,N104*(1-VLOOKUP($A105,[1]Hugst!$R$5:$W$9,MATCH(ROUNDUP((O$1)/10,0)*10,[1]Hugst!$R$4:$W$4,0))))</f>
        <v>1163.5060416882704</v>
      </c>
      <c r="P105">
        <f ca="1">IF($C105-P$1&lt;År1,0,O104*(1-VLOOKUP($A105,[1]Hugst!$R$5:$W$9,MATCH(ROUNDUP((P$1)/10,0)*10,[1]Hugst!$R$4:$W$4,0))))</f>
        <v>1163.0027141892861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241.02795336108557</v>
      </c>
      <c r="E106">
        <f t="shared" ca="1" si="2"/>
        <v>3.5489116615081002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1062.5466866961187</v>
      </c>
      <c r="G106">
        <f ca="1">IF($C106-G$1&lt;År1,0,F105*(1-VLOOKUP($A106,[1]Hugst!$R$5:$W$9,MATCH(ROUNDUP((G$1)/10,0)*10,[1]Hugst!$R$4:$W$4,0))))</f>
        <v>1154.1044711075544</v>
      </c>
      <c r="H106">
        <f ca="1">IF($C106-H$1&lt;År1,0,G105*(1-VLOOKUP($A106,[1]Hugst!$R$5:$W$9,MATCH(ROUNDUP((H$1)/10,0)*10,[1]Hugst!$R$4:$W$4,0))))</f>
        <v>1153.5449709811094</v>
      </c>
      <c r="I106">
        <f ca="1">IF($C106-I$1&lt;År1,0,H105*(1-VLOOKUP($A106,[1]Hugst!$R$5:$W$9,MATCH(ROUNDUP((I$1)/10,0)*10,[1]Hugst!$R$4:$W$4,0))))</f>
        <v>1154.7683701331869</v>
      </c>
      <c r="J106">
        <f ca="1">IF($C106-J$1&lt;År1,0,I105*(1-VLOOKUP($A106,[1]Hugst!$R$5:$W$9,MATCH(ROUNDUP((J$1)/10,0)*10,[1]Hugst!$R$4:$W$4,0))))</f>
        <v>1155.9979170196887</v>
      </c>
      <c r="K106">
        <f ca="1">IF($C106-K$1&lt;År1,0,J105*(1-VLOOKUP($A106,[1]Hugst!$R$5:$W$9,MATCH(ROUNDUP((K$1)/10,0)*10,[1]Hugst!$R$4:$W$4,0))))</f>
        <v>1157.2336425337787</v>
      </c>
      <c r="L106">
        <f ca="1">IF($C106-L$1&lt;År1,0,K105*(1-VLOOKUP($A106,[1]Hugst!$R$5:$W$9,MATCH(ROUNDUP((L$1)/10,0)*10,[1]Hugst!$R$4:$W$4,0))))</f>
        <v>1158.4755777237958</v>
      </c>
      <c r="M106">
        <f ca="1">IF($C106-M$1&lt;År1,0,L105*(1-VLOOKUP($A106,[1]Hugst!$R$5:$W$9,MATCH(ROUNDUP((M$1)/10,0)*10,[1]Hugst!$R$4:$W$4,0))))</f>
        <v>1159.7237537941803</v>
      </c>
      <c r="N106">
        <f ca="1">IF($C106-N$1&lt;År1,0,M105*(1-VLOOKUP($A106,[1]Hugst!$R$5:$W$9,MATCH(ROUNDUP((N$1)/10,0)*10,[1]Hugst!$R$4:$W$4,0))))</f>
        <v>1160.9782021061133</v>
      </c>
      <c r="O106">
        <f ca="1">IF($C106-O$1&lt;År1,0,N105*(1-VLOOKUP($A106,[1]Hugst!$R$5:$W$9,MATCH(ROUNDUP((O$1)/10,0)*10,[1]Hugst!$R$4:$W$4,0))))</f>
        <v>1162.2389541784207</v>
      </c>
      <c r="P106">
        <f ca="1">IF($C106-P$1&lt;År1,0,O105*(1-VLOOKUP($A106,[1]Hugst!$R$5:$W$9,MATCH(ROUNDUP((P$1)/10,0)*10,[1]Hugst!$R$4:$W$4,0))))</f>
        <v>1161.7312019636611</v>
      </c>
      <c r="Q106">
        <f ca="1">IF($C106-Q$1&lt;År1,0,P105*(1-VLOOKUP($A106,[1]Hugst!$R$5:$W$9,MATCH(ROUNDUP((Q$1)/10,0)*10,[1]Hugst!$R$4:$W$4,0))))</f>
        <v>1161.2286422523871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239.82281359428907</v>
      </c>
      <c r="E107">
        <f t="shared" ca="1" si="2"/>
        <v>5.3164049467050063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1063.1090402145192</v>
      </c>
      <c r="G107">
        <f ca="1">IF($C107-G$1&lt;År1,0,F106*(1-VLOOKUP($A107,[1]Hugst!$R$5:$W$9,MATCH(ROUNDUP((G$1)/10,0)*10,[1]Hugst!$R$4:$W$4,0))))</f>
        <v>1062.5466866961187</v>
      </c>
      <c r="H107">
        <f ca="1">IF($C107-H$1&lt;År1,0,G106*(1-VLOOKUP($A107,[1]Hugst!$R$5:$W$9,MATCH(ROUNDUP((H$1)/10,0)*10,[1]Hugst!$R$4:$W$4,0))))</f>
        <v>1154.1044711075544</v>
      </c>
      <c r="I107">
        <f ca="1">IF($C107-I$1&lt;År1,0,H106*(1-VLOOKUP($A107,[1]Hugst!$R$5:$W$9,MATCH(ROUNDUP((I$1)/10,0)*10,[1]Hugst!$R$4:$W$4,0))))</f>
        <v>1153.5449709811094</v>
      </c>
      <c r="J107">
        <f ca="1">IF($C107-J$1&lt;År1,0,I106*(1-VLOOKUP($A107,[1]Hugst!$R$5:$W$9,MATCH(ROUNDUP((J$1)/10,0)*10,[1]Hugst!$R$4:$W$4,0))))</f>
        <v>1154.7683701331869</v>
      </c>
      <c r="K107">
        <f ca="1">IF($C107-K$1&lt;År1,0,J106*(1-VLOOKUP($A107,[1]Hugst!$R$5:$W$9,MATCH(ROUNDUP((K$1)/10,0)*10,[1]Hugst!$R$4:$W$4,0))))</f>
        <v>1155.9979170196887</v>
      </c>
      <c r="L107">
        <f ca="1">IF($C107-L$1&lt;År1,0,K106*(1-VLOOKUP($A107,[1]Hugst!$R$5:$W$9,MATCH(ROUNDUP((L$1)/10,0)*10,[1]Hugst!$R$4:$W$4,0))))</f>
        <v>1157.2336425337787</v>
      </c>
      <c r="M107">
        <f ca="1">IF($C107-M$1&lt;År1,0,L106*(1-VLOOKUP($A107,[1]Hugst!$R$5:$W$9,MATCH(ROUNDUP((M$1)/10,0)*10,[1]Hugst!$R$4:$W$4,0))))</f>
        <v>1158.4755777237958</v>
      </c>
      <c r="N107">
        <f ca="1">IF($C107-N$1&lt;År1,0,M106*(1-VLOOKUP($A107,[1]Hugst!$R$5:$W$9,MATCH(ROUNDUP((N$1)/10,0)*10,[1]Hugst!$R$4:$W$4,0))))</f>
        <v>1159.7237537941803</v>
      </c>
      <c r="O107">
        <f ca="1">IF($C107-O$1&lt;År1,0,N106*(1-VLOOKUP($A107,[1]Hugst!$R$5:$W$9,MATCH(ROUNDUP((O$1)/10,0)*10,[1]Hugst!$R$4:$W$4,0))))</f>
        <v>1160.9782021061133</v>
      </c>
      <c r="P107">
        <f ca="1">IF($C107-P$1&lt;År1,0,O106*(1-VLOOKUP($A107,[1]Hugst!$R$5:$W$9,MATCH(ROUNDUP((P$1)/10,0)*10,[1]Hugst!$R$4:$W$4,0))))</f>
        <v>1160.4660472991654</v>
      </c>
      <c r="Q107">
        <f ca="1">IF($C107-Q$1&lt;År1,0,P106*(1-VLOOKUP($A107,[1]Hugst!$R$5:$W$9,MATCH(ROUNDUP((Q$1)/10,0)*10,[1]Hugst!$R$4:$W$4,0))))</f>
        <v>1159.9590696216826</v>
      </c>
      <c r="R107">
        <f ca="1">IF($C107-R$1&lt;År1,0,Q106*(1-VLOOKUP($A107,[1]Hugst!$R$5:$W$9,MATCH(ROUNDUP((R$1)/10,0)*10,[1]Hugst!$R$4:$W$4,0))))</f>
        <v>1159.4572765269172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238.62369952631389</v>
      </c>
      <c r="E108">
        <f t="shared" ca="1" si="2"/>
        <v>7.0792788745711732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1063.6728000744101</v>
      </c>
      <c r="G108">
        <f ca="1">IF($C108-G$1&lt;År1,0,F107*(1-VLOOKUP($A108,[1]Hugst!$R$5:$W$9,MATCH(ROUNDUP((G$1)/10,0)*10,[1]Hugst!$R$4:$W$4,0))))</f>
        <v>1063.1090402145192</v>
      </c>
      <c r="H108">
        <f ca="1">IF($C108-H$1&lt;År1,0,G107*(1-VLOOKUP($A108,[1]Hugst!$R$5:$W$9,MATCH(ROUNDUP((H$1)/10,0)*10,[1]Hugst!$R$4:$W$4,0))))</f>
        <v>1062.5466866961187</v>
      </c>
      <c r="I108">
        <f ca="1">IF($C108-I$1&lt;År1,0,H107*(1-VLOOKUP($A108,[1]Hugst!$R$5:$W$9,MATCH(ROUNDUP((I$1)/10,0)*10,[1]Hugst!$R$4:$W$4,0))))</f>
        <v>1154.1044711075544</v>
      </c>
      <c r="J108">
        <f ca="1">IF($C108-J$1&lt;År1,0,I107*(1-VLOOKUP($A108,[1]Hugst!$R$5:$W$9,MATCH(ROUNDUP((J$1)/10,0)*10,[1]Hugst!$R$4:$W$4,0))))</f>
        <v>1153.5449709811094</v>
      </c>
      <c r="K108">
        <f ca="1">IF($C108-K$1&lt;År1,0,J107*(1-VLOOKUP($A108,[1]Hugst!$R$5:$W$9,MATCH(ROUNDUP((K$1)/10,0)*10,[1]Hugst!$R$4:$W$4,0))))</f>
        <v>1154.7683701331869</v>
      </c>
      <c r="L108">
        <f ca="1">IF($C108-L$1&lt;År1,0,K107*(1-VLOOKUP($A108,[1]Hugst!$R$5:$W$9,MATCH(ROUNDUP((L$1)/10,0)*10,[1]Hugst!$R$4:$W$4,0))))</f>
        <v>1155.9979170196887</v>
      </c>
      <c r="M108">
        <f ca="1">IF($C108-M$1&lt;År1,0,L107*(1-VLOOKUP($A108,[1]Hugst!$R$5:$W$9,MATCH(ROUNDUP((M$1)/10,0)*10,[1]Hugst!$R$4:$W$4,0))))</f>
        <v>1157.2336425337787</v>
      </c>
      <c r="N108">
        <f ca="1">IF($C108-N$1&lt;År1,0,M107*(1-VLOOKUP($A108,[1]Hugst!$R$5:$W$9,MATCH(ROUNDUP((N$1)/10,0)*10,[1]Hugst!$R$4:$W$4,0))))</f>
        <v>1158.4755777237958</v>
      </c>
      <c r="O108">
        <f ca="1">IF($C108-O$1&lt;År1,0,N107*(1-VLOOKUP($A108,[1]Hugst!$R$5:$W$9,MATCH(ROUNDUP((O$1)/10,0)*10,[1]Hugst!$R$4:$W$4,0))))</f>
        <v>1159.7237537941803</v>
      </c>
      <c r="P108">
        <f ca="1">IF($C108-P$1&lt;År1,0,O107*(1-VLOOKUP($A108,[1]Hugst!$R$5:$W$9,MATCH(ROUNDUP((P$1)/10,0)*10,[1]Hugst!$R$4:$W$4,0))))</f>
        <v>1159.2072184079852</v>
      </c>
      <c r="Q108">
        <f ca="1">IF($C108-Q$1&lt;År1,0,P107*(1-VLOOKUP($A108,[1]Hugst!$R$5:$W$9,MATCH(ROUNDUP((Q$1)/10,0)*10,[1]Hugst!$R$4:$W$4,0))))</f>
        <v>1158.6958448541327</v>
      </c>
      <c r="R108">
        <f ca="1">IF($C108-R$1&lt;År1,0,Q107*(1-VLOOKUP($A108,[1]Hugst!$R$5:$W$9,MATCH(ROUNDUP((R$1)/10,0)*10,[1]Hugst!$R$4:$W$4,0))))</f>
        <v>1158.1896405324292</v>
      </c>
      <c r="S108">
        <f ca="1">IF($C108-S$1&lt;År1,0,R107*(1-VLOOKUP($A108,[1]Hugst!$R$5:$W$9,MATCH(ROUNDUP((S$1)/10,0)*10,[1]Hugst!$R$4:$W$4,0))))</f>
        <v>1157.6886128847575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237.43058102868372</v>
      </c>
      <c r="E109">
        <f t="shared" ca="1" si="2"/>
        <v>8.8375501075042848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1064.2379528097131</v>
      </c>
      <c r="G109">
        <f ca="1">IF($C109-G$1&lt;År1,0,F108*(1-VLOOKUP($A109,[1]Hugst!$R$5:$W$9,MATCH(ROUNDUP((G$1)/10,0)*10,[1]Hugst!$R$4:$W$4,0))))</f>
        <v>1063.6728000744101</v>
      </c>
      <c r="H109">
        <f ca="1">IF($C109-H$1&lt;År1,0,G108*(1-VLOOKUP($A109,[1]Hugst!$R$5:$W$9,MATCH(ROUNDUP((H$1)/10,0)*10,[1]Hugst!$R$4:$W$4,0))))</f>
        <v>1063.1090402145192</v>
      </c>
      <c r="I109">
        <f ca="1">IF($C109-I$1&lt;År1,0,H108*(1-VLOOKUP($A109,[1]Hugst!$R$5:$W$9,MATCH(ROUNDUP((I$1)/10,0)*10,[1]Hugst!$R$4:$W$4,0))))</f>
        <v>1062.5466866961187</v>
      </c>
      <c r="J109">
        <f ca="1">IF($C109-J$1&lt;År1,0,I108*(1-VLOOKUP($A109,[1]Hugst!$R$5:$W$9,MATCH(ROUNDUP((J$1)/10,0)*10,[1]Hugst!$R$4:$W$4,0))))</f>
        <v>1154.1044711075544</v>
      </c>
      <c r="K109">
        <f ca="1">IF($C109-K$1&lt;År1,0,J108*(1-VLOOKUP($A109,[1]Hugst!$R$5:$W$9,MATCH(ROUNDUP((K$1)/10,0)*10,[1]Hugst!$R$4:$W$4,0))))</f>
        <v>1153.5449709811094</v>
      </c>
      <c r="L109">
        <f ca="1">IF($C109-L$1&lt;År1,0,K108*(1-VLOOKUP($A109,[1]Hugst!$R$5:$W$9,MATCH(ROUNDUP((L$1)/10,0)*10,[1]Hugst!$R$4:$W$4,0))))</f>
        <v>1154.7683701331869</v>
      </c>
      <c r="M109">
        <f ca="1">IF($C109-M$1&lt;År1,0,L108*(1-VLOOKUP($A109,[1]Hugst!$R$5:$W$9,MATCH(ROUNDUP((M$1)/10,0)*10,[1]Hugst!$R$4:$W$4,0))))</f>
        <v>1155.9979170196887</v>
      </c>
      <c r="N109">
        <f ca="1">IF($C109-N$1&lt;År1,0,M108*(1-VLOOKUP($A109,[1]Hugst!$R$5:$W$9,MATCH(ROUNDUP((N$1)/10,0)*10,[1]Hugst!$R$4:$W$4,0))))</f>
        <v>1157.2336425337787</v>
      </c>
      <c r="O109">
        <f ca="1">IF($C109-O$1&lt;År1,0,N108*(1-VLOOKUP($A109,[1]Hugst!$R$5:$W$9,MATCH(ROUNDUP((O$1)/10,0)*10,[1]Hugst!$R$4:$W$4,0))))</f>
        <v>1158.4755777237958</v>
      </c>
      <c r="P109">
        <f ca="1">IF($C109-P$1&lt;År1,0,O108*(1-VLOOKUP($A109,[1]Hugst!$R$5:$W$9,MATCH(ROUNDUP((P$1)/10,0)*10,[1]Hugst!$R$4:$W$4,0))))</f>
        <v>1157.954683661274</v>
      </c>
      <c r="Q109">
        <f ca="1">IF($C109-Q$1&lt;År1,0,P108*(1-VLOOKUP($A109,[1]Hugst!$R$5:$W$9,MATCH(ROUNDUP((Q$1)/10,0)*10,[1]Hugst!$R$4:$W$4,0))))</f>
        <v>1157.4389362104137</v>
      </c>
      <c r="R109">
        <f ca="1">IF($C109-R$1&lt;År1,0,Q108*(1-VLOOKUP($A109,[1]Hugst!$R$5:$W$9,MATCH(ROUNDUP((R$1)/10,0)*10,[1]Hugst!$R$4:$W$4,0))))</f>
        <v>1156.9283427179146</v>
      </c>
      <c r="S109">
        <f ca="1">IF($C109-S$1&lt;År1,0,R108*(1-VLOOKUP($A109,[1]Hugst!$R$5:$W$9,MATCH(ROUNDUP((S$1)/10,0)*10,[1]Hugst!$R$4:$W$4,0))))</f>
        <v>1156.422910572295</v>
      </c>
      <c r="T109">
        <f ca="1">IF($C109-T$1&lt;År1,0,S108*(1-VLOOKUP($A109,[1]Hugst!$R$5:$W$9,MATCH(ROUNDUP((T$1)/10,0)*10,[1]Hugst!$R$4:$W$4,0))))</f>
        <v>1155.9226472040857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236.24342812354462</v>
      </c>
      <c r="E110">
        <f t="shared" ca="1" si="2"/>
        <v>10.591235234376654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1064.8044850314463</v>
      </c>
      <c r="G110">
        <f ca="1">IF($C110-G$1&lt;År1,0,F109*(1-VLOOKUP($A110,[1]Hugst!$R$5:$W$9,MATCH(ROUNDUP((G$1)/10,0)*10,[1]Hugst!$R$4:$W$4,0))))</f>
        <v>1064.2379528097131</v>
      </c>
      <c r="H110">
        <f ca="1">IF($C110-H$1&lt;År1,0,G109*(1-VLOOKUP($A110,[1]Hugst!$R$5:$W$9,MATCH(ROUNDUP((H$1)/10,0)*10,[1]Hugst!$R$4:$W$4,0))))</f>
        <v>1063.6728000744101</v>
      </c>
      <c r="I110">
        <f ca="1">IF($C110-I$1&lt;År1,0,H109*(1-VLOOKUP($A110,[1]Hugst!$R$5:$W$9,MATCH(ROUNDUP((I$1)/10,0)*10,[1]Hugst!$R$4:$W$4,0))))</f>
        <v>1063.1090402145192</v>
      </c>
      <c r="J110">
        <f ca="1">IF($C110-J$1&lt;År1,0,I109*(1-VLOOKUP($A110,[1]Hugst!$R$5:$W$9,MATCH(ROUNDUP((J$1)/10,0)*10,[1]Hugst!$R$4:$W$4,0))))</f>
        <v>1062.5466866961187</v>
      </c>
      <c r="K110">
        <f ca="1">IF($C110-K$1&lt;År1,0,J109*(1-VLOOKUP($A110,[1]Hugst!$R$5:$W$9,MATCH(ROUNDUP((K$1)/10,0)*10,[1]Hugst!$R$4:$W$4,0))))</f>
        <v>1154.1044711075544</v>
      </c>
      <c r="L110">
        <f ca="1">IF($C110-L$1&lt;År1,0,K109*(1-VLOOKUP($A110,[1]Hugst!$R$5:$W$9,MATCH(ROUNDUP((L$1)/10,0)*10,[1]Hugst!$R$4:$W$4,0))))</f>
        <v>1153.5449709811094</v>
      </c>
      <c r="M110">
        <f ca="1">IF($C110-M$1&lt;År1,0,L109*(1-VLOOKUP($A110,[1]Hugst!$R$5:$W$9,MATCH(ROUNDUP((M$1)/10,0)*10,[1]Hugst!$R$4:$W$4,0))))</f>
        <v>1154.7683701331869</v>
      </c>
      <c r="N110">
        <f ca="1">IF($C110-N$1&lt;År1,0,M109*(1-VLOOKUP($A110,[1]Hugst!$R$5:$W$9,MATCH(ROUNDUP((N$1)/10,0)*10,[1]Hugst!$R$4:$W$4,0))))</f>
        <v>1155.9979170196887</v>
      </c>
      <c r="O110">
        <f ca="1">IF($C110-O$1&lt;År1,0,N109*(1-VLOOKUP($A110,[1]Hugst!$R$5:$W$9,MATCH(ROUNDUP((O$1)/10,0)*10,[1]Hugst!$R$4:$W$4,0))))</f>
        <v>1157.2336425337787</v>
      </c>
      <c r="P110">
        <f ca="1">IF($C110-P$1&lt;År1,0,O109*(1-VLOOKUP($A110,[1]Hugst!$R$5:$W$9,MATCH(ROUNDUP((P$1)/10,0)*10,[1]Hugst!$R$4:$W$4,0))))</f>
        <v>1156.7084115882849</v>
      </c>
      <c r="Q110">
        <f ca="1">IF($C110-Q$1&lt;År1,0,P109*(1-VLOOKUP($A110,[1]Hugst!$R$5:$W$9,MATCH(ROUNDUP((Q$1)/10,0)*10,[1]Hugst!$R$4:$W$4,0))))</f>
        <v>1156.1883121099263</v>
      </c>
      <c r="R110">
        <f ca="1">IF($C110-R$1&lt;År1,0,Q109*(1-VLOOKUP($A110,[1]Hugst!$R$5:$W$9,MATCH(ROUNDUP((R$1)/10,0)*10,[1]Hugst!$R$4:$W$4,0))))</f>
        <v>1155.6733513924655</v>
      </c>
      <c r="S110">
        <f ca="1">IF($C110-S$1&lt;År1,0,R109*(1-VLOOKUP($A110,[1]Hugst!$R$5:$W$9,MATCH(ROUNDUP((S$1)/10,0)*10,[1]Hugst!$R$4:$W$4,0))))</f>
        <v>1155.1635367713957</v>
      </c>
      <c r="T110">
        <f ca="1">IF($C110-T$1&lt;År1,0,S109*(1-VLOOKUP($A110,[1]Hugst!$R$5:$W$9,MATCH(ROUNDUP((T$1)/10,0)*10,[1]Hugst!$R$4:$W$4,0))))</f>
        <v>1154.6588756239644</v>
      </c>
      <c r="U110">
        <f ca="1">IF($C110-U$1&lt;År1,0,T109*(1-VLOOKUP($A110,[1]Hugst!$R$5:$W$9,MATCH(ROUNDUP((U$1)/10,0)*10,[1]Hugst!$R$4:$W$4,0))))</f>
        <v>1154.1593753693676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235.0622109829219</v>
      </c>
      <c r="E111">
        <f t="shared" ca="1" si="2"/>
        <v>12.340350770929945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1065.3723834273769</v>
      </c>
      <c r="G111">
        <f ca="1">IF($C111-G$1&lt;År1,0,F110*(1-VLOOKUP($A111,[1]Hugst!$R$5:$W$9,MATCH(ROUNDUP((G$1)/10,0)*10,[1]Hugst!$R$4:$W$4,0))))</f>
        <v>1064.8044850314463</v>
      </c>
      <c r="H111">
        <f ca="1">IF($C111-H$1&lt;År1,0,G110*(1-VLOOKUP($A111,[1]Hugst!$R$5:$W$9,MATCH(ROUNDUP((H$1)/10,0)*10,[1]Hugst!$R$4:$W$4,0))))</f>
        <v>1064.2379528097131</v>
      </c>
      <c r="I111">
        <f ca="1">IF($C111-I$1&lt;År1,0,H110*(1-VLOOKUP($A111,[1]Hugst!$R$5:$W$9,MATCH(ROUNDUP((I$1)/10,0)*10,[1]Hugst!$R$4:$W$4,0))))</f>
        <v>1063.6728000744101</v>
      </c>
      <c r="J111">
        <f ca="1">IF($C111-J$1&lt;År1,0,I110*(1-VLOOKUP($A111,[1]Hugst!$R$5:$W$9,MATCH(ROUNDUP((J$1)/10,0)*10,[1]Hugst!$R$4:$W$4,0))))</f>
        <v>1063.1090402145192</v>
      </c>
      <c r="K111">
        <f ca="1">IF($C111-K$1&lt;År1,0,J110*(1-VLOOKUP($A111,[1]Hugst!$R$5:$W$9,MATCH(ROUNDUP((K$1)/10,0)*10,[1]Hugst!$R$4:$W$4,0))))</f>
        <v>1062.5466866961187</v>
      </c>
      <c r="L111">
        <f ca="1">IF($C111-L$1&lt;År1,0,K110*(1-VLOOKUP($A111,[1]Hugst!$R$5:$W$9,MATCH(ROUNDUP((L$1)/10,0)*10,[1]Hugst!$R$4:$W$4,0))))</f>
        <v>1154.1044711075544</v>
      </c>
      <c r="M111">
        <f ca="1">IF($C111-M$1&lt;År1,0,L110*(1-VLOOKUP($A111,[1]Hugst!$R$5:$W$9,MATCH(ROUNDUP((M$1)/10,0)*10,[1]Hugst!$R$4:$W$4,0))))</f>
        <v>1153.5449709811094</v>
      </c>
      <c r="N111">
        <f ca="1">IF($C111-N$1&lt;År1,0,M110*(1-VLOOKUP($A111,[1]Hugst!$R$5:$W$9,MATCH(ROUNDUP((N$1)/10,0)*10,[1]Hugst!$R$4:$W$4,0))))</f>
        <v>1154.7683701331869</v>
      </c>
      <c r="O111">
        <f ca="1">IF($C111-O$1&lt;År1,0,N110*(1-VLOOKUP($A111,[1]Hugst!$R$5:$W$9,MATCH(ROUNDUP((O$1)/10,0)*10,[1]Hugst!$R$4:$W$4,0))))</f>
        <v>1155.9979170196887</v>
      </c>
      <c r="P111">
        <f ca="1">IF($C111-P$1&lt;År1,0,O110*(1-VLOOKUP($A111,[1]Hugst!$R$5:$W$9,MATCH(ROUNDUP((P$1)/10,0)*10,[1]Hugst!$R$4:$W$4,0))))</f>
        <v>1155.4683708756763</v>
      </c>
      <c r="Q111">
        <f ca="1">IF($C111-Q$1&lt;År1,0,P110*(1-VLOOKUP($A111,[1]Hugst!$R$5:$W$9,MATCH(ROUNDUP((Q$1)/10,0)*10,[1]Hugst!$R$4:$W$4,0))))</f>
        <v>1154.94394112993</v>
      </c>
      <c r="R111">
        <f ca="1">IF($C111-R$1&lt;År1,0,Q110*(1-VLOOKUP($A111,[1]Hugst!$R$5:$W$9,MATCH(ROUNDUP((R$1)/10,0)*10,[1]Hugst!$R$4:$W$4,0))))</f>
        <v>1154.4246350236569</v>
      </c>
      <c r="S111">
        <f ca="1">IF($C111-S$1&lt;År1,0,R110*(1-VLOOKUP($A111,[1]Hugst!$R$5:$W$9,MATCH(ROUNDUP((S$1)/10,0)*10,[1]Hugst!$R$4:$W$4,0))))</f>
        <v>1153.910459839494</v>
      </c>
      <c r="T111">
        <f ca="1">IF($C111-T$1&lt;År1,0,S110*(1-VLOOKUP($A111,[1]Hugst!$R$5:$W$9,MATCH(ROUNDUP((T$1)/10,0)*10,[1]Hugst!$R$4:$W$4,0))))</f>
        <v>1153.4014229017444</v>
      </c>
      <c r="U111">
        <f ca="1">IF($C111-U$1&lt;År1,0,T110*(1-VLOOKUP($A111,[1]Hugst!$R$5:$W$9,MATCH(ROUNDUP((U$1)/10,0)*10,[1]Hugst!$R$4:$W$4,0))))</f>
        <v>1152.8975315764023</v>
      </c>
      <c r="V111">
        <f ca="1">IF($C111-V$1&lt;År1,0,U110*(1-VLOOKUP($A111,[1]Hugst!$R$5:$W$9,MATCH(ROUNDUP((V$1)/10,0)*10,[1]Hugst!$R$4:$W$4,0))))</f>
        <v>1152.3987932713464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233.88689992800937</v>
      </c>
      <c r="E112">
        <f t="shared" ca="1" si="2"/>
        <v>14.084913160124415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1065.9416347616589</v>
      </c>
      <c r="G112">
        <f ca="1">IF($C112-G$1&lt;År1,0,F111*(1-VLOOKUP($A112,[1]Hugst!$R$5:$W$9,MATCH(ROUNDUP((G$1)/10,0)*10,[1]Hugst!$R$4:$W$4,0))))</f>
        <v>1065.3723834273769</v>
      </c>
      <c r="H112">
        <f ca="1">IF($C112-H$1&lt;År1,0,G111*(1-VLOOKUP($A112,[1]Hugst!$R$5:$W$9,MATCH(ROUNDUP((H$1)/10,0)*10,[1]Hugst!$R$4:$W$4,0))))</f>
        <v>1064.8044850314463</v>
      </c>
      <c r="I112">
        <f ca="1">IF($C112-I$1&lt;År1,0,H111*(1-VLOOKUP($A112,[1]Hugst!$R$5:$W$9,MATCH(ROUNDUP((I$1)/10,0)*10,[1]Hugst!$R$4:$W$4,0))))</f>
        <v>1064.2379528097131</v>
      </c>
      <c r="J112">
        <f ca="1">IF($C112-J$1&lt;År1,0,I111*(1-VLOOKUP($A112,[1]Hugst!$R$5:$W$9,MATCH(ROUNDUP((J$1)/10,0)*10,[1]Hugst!$R$4:$W$4,0))))</f>
        <v>1063.6728000744101</v>
      </c>
      <c r="K112">
        <f ca="1">IF($C112-K$1&lt;År1,0,J111*(1-VLOOKUP($A112,[1]Hugst!$R$5:$W$9,MATCH(ROUNDUP((K$1)/10,0)*10,[1]Hugst!$R$4:$W$4,0))))</f>
        <v>1063.1090402145192</v>
      </c>
      <c r="L112">
        <f ca="1">IF($C112-L$1&lt;År1,0,K111*(1-VLOOKUP($A112,[1]Hugst!$R$5:$W$9,MATCH(ROUNDUP((L$1)/10,0)*10,[1]Hugst!$R$4:$W$4,0))))</f>
        <v>1062.5466866961187</v>
      </c>
      <c r="M112">
        <f ca="1">IF($C112-M$1&lt;År1,0,L111*(1-VLOOKUP($A112,[1]Hugst!$R$5:$W$9,MATCH(ROUNDUP((M$1)/10,0)*10,[1]Hugst!$R$4:$W$4,0))))</f>
        <v>1154.1044711075544</v>
      </c>
      <c r="N112">
        <f ca="1">IF($C112-N$1&lt;År1,0,M111*(1-VLOOKUP($A112,[1]Hugst!$R$5:$W$9,MATCH(ROUNDUP((N$1)/10,0)*10,[1]Hugst!$R$4:$W$4,0))))</f>
        <v>1153.5449709811094</v>
      </c>
      <c r="O112">
        <f ca="1">IF($C112-O$1&lt;År1,0,N111*(1-VLOOKUP($A112,[1]Hugst!$R$5:$W$9,MATCH(ROUNDUP((O$1)/10,0)*10,[1]Hugst!$R$4:$W$4,0))))</f>
        <v>1154.7683701331869</v>
      </c>
      <c r="P112">
        <f ca="1">IF($C112-P$1&lt;År1,0,O111*(1-VLOOKUP($A112,[1]Hugst!$R$5:$W$9,MATCH(ROUNDUP((P$1)/10,0)*10,[1]Hugst!$R$4:$W$4,0))))</f>
        <v>1154.2345303666077</v>
      </c>
      <c r="Q112">
        <f ca="1">IF($C112-Q$1&lt;År1,0,P111*(1-VLOOKUP($A112,[1]Hugst!$R$5:$W$9,MATCH(ROUNDUP((Q$1)/10,0)*10,[1]Hugst!$R$4:$W$4,0))))</f>
        <v>1153.7057920048489</v>
      </c>
      <c r="R112">
        <f ca="1">IF($C112-R$1&lt;År1,0,Q111*(1-VLOOKUP($A112,[1]Hugst!$R$5:$W$9,MATCH(ROUNDUP((R$1)/10,0)*10,[1]Hugst!$R$4:$W$4,0))))</f>
        <v>1153.1821622366808</v>
      </c>
      <c r="S112">
        <f ca="1">IF($C112-S$1&lt;År1,0,R111*(1-VLOOKUP($A112,[1]Hugst!$R$5:$W$9,MATCH(ROUNDUP((S$1)/10,0)*10,[1]Hugst!$R$4:$W$4,0))))</f>
        <v>1152.663648292265</v>
      </c>
      <c r="T112">
        <f ca="1">IF($C112-T$1&lt;År1,0,S111*(1-VLOOKUP($A112,[1]Hugst!$R$5:$W$9,MATCH(ROUNDUP((T$1)/10,0)*10,[1]Hugst!$R$4:$W$4,0))))</f>
        <v>1152.1502574431286</v>
      </c>
      <c r="U112">
        <f ca="1">IF($C112-U$1&lt;År1,0,T111*(1-VLOOKUP($A112,[1]Hugst!$R$5:$W$9,MATCH(ROUNDUP((U$1)/10,0)*10,[1]Hugst!$R$4:$W$4,0))))</f>
        <v>1151.6419970024026</v>
      </c>
      <c r="V112">
        <f ca="1">IF($C112-V$1&lt;År1,0,U111*(1-VLOOKUP($A112,[1]Hugst!$R$5:$W$9,MATCH(ROUNDUP((V$1)/10,0)*10,[1]Hugst!$R$4:$W$4,0))))</f>
        <v>1151.1388743248451</v>
      </c>
      <c r="W112">
        <f ca="1">IF($C112-W$1&lt;År1,0,V111*(1-VLOOKUP($A112,[1]Hugst!$R$5:$W$9,MATCH(ROUNDUP((W$1)/10,0)*10,[1]Hugst!$R$4:$W$4,0))))</f>
        <v>1150.6408968070341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232.71746542837354</v>
      </c>
      <c r="E113">
        <f t="shared" ca="1" si="2"/>
        <v>15.82493877246452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1066.5122258743631</v>
      </c>
      <c r="G113">
        <f ca="1">IF($C113-G$1&lt;År1,0,F112*(1-VLOOKUP($A113,[1]Hugst!$R$5:$W$9,MATCH(ROUNDUP((G$1)/10,0)*10,[1]Hugst!$R$4:$W$4,0))))</f>
        <v>1065.9416347616589</v>
      </c>
      <c r="H113">
        <f ca="1">IF($C113-H$1&lt;År1,0,G112*(1-VLOOKUP($A113,[1]Hugst!$R$5:$W$9,MATCH(ROUNDUP((H$1)/10,0)*10,[1]Hugst!$R$4:$W$4,0))))</f>
        <v>1065.3723834273769</v>
      </c>
      <c r="I113">
        <f ca="1">IF($C113-I$1&lt;År1,0,H112*(1-VLOOKUP($A113,[1]Hugst!$R$5:$W$9,MATCH(ROUNDUP((I$1)/10,0)*10,[1]Hugst!$R$4:$W$4,0))))</f>
        <v>1064.8044850314463</v>
      </c>
      <c r="J113">
        <f ca="1">IF($C113-J$1&lt;År1,0,I112*(1-VLOOKUP($A113,[1]Hugst!$R$5:$W$9,MATCH(ROUNDUP((J$1)/10,0)*10,[1]Hugst!$R$4:$W$4,0))))</f>
        <v>1064.2379528097131</v>
      </c>
      <c r="K113">
        <f ca="1">IF($C113-K$1&lt;År1,0,J112*(1-VLOOKUP($A113,[1]Hugst!$R$5:$W$9,MATCH(ROUNDUP((K$1)/10,0)*10,[1]Hugst!$R$4:$W$4,0))))</f>
        <v>1063.6728000744101</v>
      </c>
      <c r="L113">
        <f ca="1">IF($C113-L$1&lt;År1,0,K112*(1-VLOOKUP($A113,[1]Hugst!$R$5:$W$9,MATCH(ROUNDUP((L$1)/10,0)*10,[1]Hugst!$R$4:$W$4,0))))</f>
        <v>1063.1090402145192</v>
      </c>
      <c r="M113">
        <f ca="1">IF($C113-M$1&lt;År1,0,L112*(1-VLOOKUP($A113,[1]Hugst!$R$5:$W$9,MATCH(ROUNDUP((M$1)/10,0)*10,[1]Hugst!$R$4:$W$4,0))))</f>
        <v>1062.5466866961187</v>
      </c>
      <c r="N113">
        <f ca="1">IF($C113-N$1&lt;År1,0,M112*(1-VLOOKUP($A113,[1]Hugst!$R$5:$W$9,MATCH(ROUNDUP((N$1)/10,0)*10,[1]Hugst!$R$4:$W$4,0))))</f>
        <v>1154.1044711075544</v>
      </c>
      <c r="O113">
        <f ca="1">IF($C113-O$1&lt;År1,0,N112*(1-VLOOKUP($A113,[1]Hugst!$R$5:$W$9,MATCH(ROUNDUP((O$1)/10,0)*10,[1]Hugst!$R$4:$W$4,0))))</f>
        <v>1153.5449709811094</v>
      </c>
      <c r="P113">
        <f ca="1">IF($C113-P$1&lt;År1,0,O112*(1-VLOOKUP($A113,[1]Hugst!$R$5:$W$9,MATCH(ROUNDUP((P$1)/10,0)*10,[1]Hugst!$R$4:$W$4,0))))</f>
        <v>1153.0068590601022</v>
      </c>
      <c r="Q113">
        <f ca="1">IF($C113-Q$1&lt;År1,0,P112*(1-VLOOKUP($A113,[1]Hugst!$R$5:$W$9,MATCH(ROUNDUP((Q$1)/10,0)*10,[1]Hugst!$R$4:$W$4,0))))</f>
        <v>1152.4738336253704</v>
      </c>
      <c r="R113">
        <f ca="1">IF($C113-R$1&lt;År1,0,Q112*(1-VLOOKUP($A113,[1]Hugst!$R$5:$W$9,MATCH(ROUNDUP((R$1)/10,0)*10,[1]Hugst!$R$4:$W$4,0))))</f>
        <v>1151.9459018136552</v>
      </c>
      <c r="S113">
        <f ca="1">IF($C113-S$1&lt;År1,0,R112*(1-VLOOKUP($A113,[1]Hugst!$R$5:$W$9,MATCH(ROUNDUP((S$1)/10,0)*10,[1]Hugst!$R$4:$W$4,0))))</f>
        <v>1151.4230708027603</v>
      </c>
      <c r="T113">
        <f ca="1">IF($C113-T$1&lt;År1,0,S112*(1-VLOOKUP($A113,[1]Hugst!$R$5:$W$9,MATCH(ROUNDUP((T$1)/10,0)*10,[1]Hugst!$R$4:$W$4,0))))</f>
        <v>1150.9053478118192</v>
      </c>
      <c r="U113">
        <f ca="1">IF($C113-U$1&lt;År1,0,T112*(1-VLOOKUP($A113,[1]Hugst!$R$5:$W$9,MATCH(ROUNDUP((U$1)/10,0)*10,[1]Hugst!$R$4:$W$4,0))))</f>
        <v>1150.3927401012661</v>
      </c>
      <c r="V113">
        <f ca="1">IF($C113-V$1&lt;År1,0,U112*(1-VLOOKUP($A113,[1]Hugst!$R$5:$W$9,MATCH(ROUNDUP((V$1)/10,0)*10,[1]Hugst!$R$4:$W$4,0))))</f>
        <v>1149.8852549730768</v>
      </c>
      <c r="W113">
        <f ca="1">IF($C113-W$1&lt;År1,0,V112*(1-VLOOKUP($A113,[1]Hugst!$R$5:$W$9,MATCH(ROUNDUP((W$1)/10,0)*10,[1]Hugst!$R$4:$W$4,0))))</f>
        <v>1149.3828997707903</v>
      </c>
      <c r="X113">
        <f ca="1">IF($C113-X$1&lt;År1,0,W112*(1-VLOOKUP($A113,[1]Hugst!$R$5:$W$9,MATCH(ROUNDUP((X$1)/10,0)*10,[1]Hugst!$R$4:$W$4,0))))</f>
        <v>1148.8856818797012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231.55387810122284</v>
      </c>
      <c r="E114">
        <f t="shared" ca="1" si="2"/>
        <v>17.560443906335422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1067.0841436810833</v>
      </c>
      <c r="G114">
        <f ca="1">IF($C114-G$1&lt;År1,0,F113*(1-VLOOKUP($A114,[1]Hugst!$R$5:$W$9,MATCH(ROUNDUP((G$1)/10,0)*10,[1]Hugst!$R$4:$W$4,0))))</f>
        <v>1066.5122258743631</v>
      </c>
      <c r="H114">
        <f ca="1">IF($C114-H$1&lt;År1,0,G113*(1-VLOOKUP($A114,[1]Hugst!$R$5:$W$9,MATCH(ROUNDUP((H$1)/10,0)*10,[1]Hugst!$R$4:$W$4,0))))</f>
        <v>1065.9416347616589</v>
      </c>
      <c r="I114">
        <f ca="1">IF($C114-I$1&lt;År1,0,H113*(1-VLOOKUP($A114,[1]Hugst!$R$5:$W$9,MATCH(ROUNDUP((I$1)/10,0)*10,[1]Hugst!$R$4:$W$4,0))))</f>
        <v>1065.3723834273769</v>
      </c>
      <c r="J114">
        <f ca="1">IF($C114-J$1&lt;År1,0,I113*(1-VLOOKUP($A114,[1]Hugst!$R$5:$W$9,MATCH(ROUNDUP((J$1)/10,0)*10,[1]Hugst!$R$4:$W$4,0))))</f>
        <v>1064.8044850314463</v>
      </c>
      <c r="K114">
        <f ca="1">IF($C114-K$1&lt;År1,0,J113*(1-VLOOKUP($A114,[1]Hugst!$R$5:$W$9,MATCH(ROUNDUP((K$1)/10,0)*10,[1]Hugst!$R$4:$W$4,0))))</f>
        <v>1064.2379528097131</v>
      </c>
      <c r="L114">
        <f ca="1">IF($C114-L$1&lt;År1,0,K113*(1-VLOOKUP($A114,[1]Hugst!$R$5:$W$9,MATCH(ROUNDUP((L$1)/10,0)*10,[1]Hugst!$R$4:$W$4,0))))</f>
        <v>1063.6728000744101</v>
      </c>
      <c r="M114">
        <f ca="1">IF($C114-M$1&lt;År1,0,L113*(1-VLOOKUP($A114,[1]Hugst!$R$5:$W$9,MATCH(ROUNDUP((M$1)/10,0)*10,[1]Hugst!$R$4:$W$4,0))))</f>
        <v>1063.1090402145192</v>
      </c>
      <c r="N114">
        <f ca="1">IF($C114-N$1&lt;År1,0,M113*(1-VLOOKUP($A114,[1]Hugst!$R$5:$W$9,MATCH(ROUNDUP((N$1)/10,0)*10,[1]Hugst!$R$4:$W$4,0))))</f>
        <v>1062.5466866961187</v>
      </c>
      <c r="O114">
        <f ca="1">IF($C114-O$1&lt;År1,0,N113*(1-VLOOKUP($A114,[1]Hugst!$R$5:$W$9,MATCH(ROUNDUP((O$1)/10,0)*10,[1]Hugst!$R$4:$W$4,0))))</f>
        <v>1154.1044711075544</v>
      </c>
      <c r="P114">
        <f ca="1">IF($C114-P$1&lt;År1,0,O113*(1-VLOOKUP($A114,[1]Hugst!$R$5:$W$9,MATCH(ROUNDUP((P$1)/10,0)*10,[1]Hugst!$R$4:$W$4,0))))</f>
        <v>1151.7853261101211</v>
      </c>
      <c r="Q114">
        <f ca="1">IF($C114-Q$1&lt;År1,0,P113*(1-VLOOKUP($A114,[1]Hugst!$R$5:$W$9,MATCH(ROUNDUP((Q$1)/10,0)*10,[1]Hugst!$R$4:$W$4,0))))</f>
        <v>1151.2480350378071</v>
      </c>
      <c r="R114">
        <f ca="1">IF($C114-R$1&lt;År1,0,Q113*(1-VLOOKUP($A114,[1]Hugst!$R$5:$W$9,MATCH(ROUNDUP((R$1)/10,0)*10,[1]Hugst!$R$4:$W$4,0))))</f>
        <v>1150.7158226927215</v>
      </c>
      <c r="S114">
        <f ca="1">IF($C114-S$1&lt;År1,0,R113*(1-VLOOKUP($A114,[1]Hugst!$R$5:$W$9,MATCH(ROUNDUP((S$1)/10,0)*10,[1]Hugst!$R$4:$W$4,0))))</f>
        <v>1150.1886962007191</v>
      </c>
      <c r="T114">
        <f ca="1">IF($C114-T$1&lt;År1,0,S113*(1-VLOOKUP($A114,[1]Hugst!$R$5:$W$9,MATCH(ROUNDUP((T$1)/10,0)*10,[1]Hugst!$R$4:$W$4,0))))</f>
        <v>1149.6666627286543</v>
      </c>
      <c r="U114">
        <f ca="1">IF($C114-U$1&lt;År1,0,T113*(1-VLOOKUP($A114,[1]Hugst!$R$5:$W$9,MATCH(ROUNDUP((U$1)/10,0)*10,[1]Hugst!$R$4:$W$4,0))))</f>
        <v>1149.1497294846486</v>
      </c>
      <c r="V114">
        <f ca="1">IF($C114-V$1&lt;År1,0,U113*(1-VLOOKUP($A114,[1]Hugst!$R$5:$W$9,MATCH(ROUNDUP((V$1)/10,0)*10,[1]Hugst!$R$4:$W$4,0))))</f>
        <v>1148.6379037180607</v>
      </c>
      <c r="W114">
        <f ca="1">IF($C114-W$1&lt;År1,0,V113*(1-VLOOKUP($A114,[1]Hugst!$R$5:$W$9,MATCH(ROUNDUP((W$1)/10,0)*10,[1]Hugst!$R$4:$W$4,0))))</f>
        <v>1148.131192719728</v>
      </c>
      <c r="X114">
        <f ca="1">IF($C114-X$1&lt;År1,0,W113*(1-VLOOKUP($A114,[1]Hugst!$R$5:$W$9,MATCH(ROUNDUP((X$1)/10,0)*10,[1]Hugst!$R$4:$W$4,0))))</f>
        <v>1147.6296038219873</v>
      </c>
      <c r="Y114">
        <f ca="1">IF($C114-Y$1&lt;År1,0,X113*(1-VLOOKUP($A114,[1]Hugst!$R$5:$W$9,MATCH(ROUNDUP((Y$1)/10,0)*10,[1]Hugst!$R$4:$W$4,0))))</f>
        <v>1147.1331443988677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230.39610871072</v>
      </c>
      <c r="E115">
        <f t="shared" ca="1" si="2"/>
        <v>19.537191817405983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1067.9031222016511</v>
      </c>
      <c r="G115">
        <f ca="1">IF($C115-G$1&lt;År1,0,F114*(1-VLOOKUP($A115,[1]Hugst!$R$5:$W$9,MATCH(ROUNDUP((G$1)/10,0)*10,[1]Hugst!$R$4:$W$4,0))))</f>
        <v>1067.0841436810833</v>
      </c>
      <c r="H115">
        <f ca="1">IF($C115-H$1&lt;År1,0,G114*(1-VLOOKUP($A115,[1]Hugst!$R$5:$W$9,MATCH(ROUNDUP((H$1)/10,0)*10,[1]Hugst!$R$4:$W$4,0))))</f>
        <v>1066.5122258743631</v>
      </c>
      <c r="I115">
        <f ca="1">IF($C115-I$1&lt;År1,0,H114*(1-VLOOKUP($A115,[1]Hugst!$R$5:$W$9,MATCH(ROUNDUP((I$1)/10,0)*10,[1]Hugst!$R$4:$W$4,0))))</f>
        <v>1065.9416347616589</v>
      </c>
      <c r="J115">
        <f ca="1">IF($C115-J$1&lt;År1,0,I114*(1-VLOOKUP($A115,[1]Hugst!$R$5:$W$9,MATCH(ROUNDUP((J$1)/10,0)*10,[1]Hugst!$R$4:$W$4,0))))</f>
        <v>1065.3723834273769</v>
      </c>
      <c r="K115">
        <f ca="1">IF($C115-K$1&lt;År1,0,J114*(1-VLOOKUP($A115,[1]Hugst!$R$5:$W$9,MATCH(ROUNDUP((K$1)/10,0)*10,[1]Hugst!$R$4:$W$4,0))))</f>
        <v>1064.8044850314463</v>
      </c>
      <c r="L115">
        <f ca="1">IF($C115-L$1&lt;År1,0,K114*(1-VLOOKUP($A115,[1]Hugst!$R$5:$W$9,MATCH(ROUNDUP((L$1)/10,0)*10,[1]Hugst!$R$4:$W$4,0))))</f>
        <v>1064.2379528097131</v>
      </c>
      <c r="M115">
        <f ca="1">IF($C115-M$1&lt;År1,0,L114*(1-VLOOKUP($A115,[1]Hugst!$R$5:$W$9,MATCH(ROUNDUP((M$1)/10,0)*10,[1]Hugst!$R$4:$W$4,0))))</f>
        <v>1063.6728000744101</v>
      </c>
      <c r="N115">
        <f ca="1">IF($C115-N$1&lt;År1,0,M114*(1-VLOOKUP($A115,[1]Hugst!$R$5:$W$9,MATCH(ROUNDUP((N$1)/10,0)*10,[1]Hugst!$R$4:$W$4,0))))</f>
        <v>1063.1090402145192</v>
      </c>
      <c r="O115">
        <f ca="1">IF($C115-O$1&lt;År1,0,N114*(1-VLOOKUP($A115,[1]Hugst!$R$5:$W$9,MATCH(ROUNDUP((O$1)/10,0)*10,[1]Hugst!$R$4:$W$4,0))))</f>
        <v>1062.5466866961187</v>
      </c>
      <c r="P115">
        <f ca="1">IF($C115-P$1&lt;År1,0,O114*(1-VLOOKUP($A115,[1]Hugst!$R$5:$W$9,MATCH(ROUNDUP((P$1)/10,0)*10,[1]Hugst!$R$4:$W$4,0))))</f>
        <v>1152.3439727617972</v>
      </c>
      <c r="Q115">
        <f ca="1">IF($C115-Q$1&lt;År1,0,P114*(1-VLOOKUP($A115,[1]Hugst!$R$5:$W$9,MATCH(ROUNDUP((Q$1)/10,0)*10,[1]Hugst!$R$4:$W$4,0))))</f>
        <v>1150.0283654431735</v>
      </c>
      <c r="R115">
        <f ca="1">IF($C115-R$1&lt;År1,0,Q114*(1-VLOOKUP($A115,[1]Hugst!$R$5:$W$9,MATCH(ROUNDUP((R$1)/10,0)*10,[1]Hugst!$R$4:$W$4,0))))</f>
        <v>1149.4918939674103</v>
      </c>
      <c r="S115">
        <f ca="1">IF($C115-S$1&lt;År1,0,R114*(1-VLOOKUP($A115,[1]Hugst!$R$5:$W$9,MATCH(ROUNDUP((S$1)/10,0)*10,[1]Hugst!$R$4:$W$4,0))))</f>
        <v>1148.9604934716649</v>
      </c>
      <c r="T115">
        <f ca="1">IF($C115-T$1&lt;År1,0,S114*(1-VLOOKUP($A115,[1]Hugst!$R$5:$W$9,MATCH(ROUNDUP((T$1)/10,0)*10,[1]Hugst!$R$4:$W$4,0))))</f>
        <v>1148.4341710709214</v>
      </c>
      <c r="U115">
        <f ca="1">IF($C115-U$1&lt;År1,0,T114*(1-VLOOKUP($A115,[1]Hugst!$R$5:$W$9,MATCH(ROUNDUP((U$1)/10,0)*10,[1]Hugst!$R$4:$W$4,0))))</f>
        <v>1147.912933921102</v>
      </c>
      <c r="V115">
        <f ca="1">IF($C115-V$1&lt;År1,0,U114*(1-VLOOKUP($A115,[1]Hugst!$R$5:$W$9,MATCH(ROUNDUP((V$1)/10,0)*10,[1]Hugst!$R$4:$W$4,0))))</f>
        <v>1147.396789219333</v>
      </c>
      <c r="W115">
        <f ca="1">IF($C115-W$1&lt;År1,0,V114*(1-VLOOKUP($A115,[1]Hugst!$R$5:$W$9,MATCH(ROUNDUP((W$1)/10,0)*10,[1]Hugst!$R$4:$W$4,0))))</f>
        <v>1146.8857442039143</v>
      </c>
      <c r="X115">
        <f ca="1">IF($C115-X$1&lt;År1,0,W114*(1-VLOOKUP($A115,[1]Hugst!$R$5:$W$9,MATCH(ROUNDUP((X$1)/10,0)*10,[1]Hugst!$R$4:$W$4,0))))</f>
        <v>1146.3798061545622</v>
      </c>
      <c r="Y115">
        <f ca="1">IF($C115-Y$1&lt;År1,0,X114*(1-VLOOKUP($A115,[1]Hugst!$R$5:$W$9,MATCH(ROUNDUP((Y$1)/10,0)*10,[1]Hugst!$R$4:$W$4,0))))</f>
        <v>1145.8789823924283</v>
      </c>
      <c r="Z115">
        <f ca="1">IF($C115-Z$1&lt;År1,0,Y114*(1-VLOOKUP($A115,[1]Hugst!$R$5:$W$9,MATCH(ROUNDUP((Z$1)/10,0)*10,[1]Hugst!$R$4:$W$4,0))))</f>
        <v>1145.1402435971577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229.24412816716904</v>
      </c>
      <c r="E116">
        <f t="shared" ca="1" si="2"/>
        <v>21.370571996372746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1068.5845218370669</v>
      </c>
      <c r="G116">
        <f ca="1">IF($C116-G$1&lt;År1,0,F115*(1-VLOOKUP($A116,[1]Hugst!$R$5:$W$9,MATCH(ROUNDUP((G$1)/10,0)*10,[1]Hugst!$R$4:$W$4,0))))</f>
        <v>1067.9031222016511</v>
      </c>
      <c r="H116">
        <f ca="1">IF($C116-H$1&lt;År1,0,G115*(1-VLOOKUP($A116,[1]Hugst!$R$5:$W$9,MATCH(ROUNDUP((H$1)/10,0)*10,[1]Hugst!$R$4:$W$4,0))))</f>
        <v>1067.0841436810833</v>
      </c>
      <c r="I116">
        <f ca="1">IF($C116-I$1&lt;År1,0,H115*(1-VLOOKUP($A116,[1]Hugst!$R$5:$W$9,MATCH(ROUNDUP((I$1)/10,0)*10,[1]Hugst!$R$4:$W$4,0))))</f>
        <v>1066.5122258743631</v>
      </c>
      <c r="J116">
        <f ca="1">IF($C116-J$1&lt;År1,0,I115*(1-VLOOKUP($A116,[1]Hugst!$R$5:$W$9,MATCH(ROUNDUP((J$1)/10,0)*10,[1]Hugst!$R$4:$W$4,0))))</f>
        <v>1065.9416347616589</v>
      </c>
      <c r="K116">
        <f ca="1">IF($C116-K$1&lt;År1,0,J115*(1-VLOOKUP($A116,[1]Hugst!$R$5:$W$9,MATCH(ROUNDUP((K$1)/10,0)*10,[1]Hugst!$R$4:$W$4,0))))</f>
        <v>1065.3723834273769</v>
      </c>
      <c r="L116">
        <f ca="1">IF($C116-L$1&lt;År1,0,K115*(1-VLOOKUP($A116,[1]Hugst!$R$5:$W$9,MATCH(ROUNDUP((L$1)/10,0)*10,[1]Hugst!$R$4:$W$4,0))))</f>
        <v>1064.8044850314463</v>
      </c>
      <c r="M116">
        <f ca="1">IF($C116-M$1&lt;År1,0,L115*(1-VLOOKUP($A116,[1]Hugst!$R$5:$W$9,MATCH(ROUNDUP((M$1)/10,0)*10,[1]Hugst!$R$4:$W$4,0))))</f>
        <v>1064.2379528097131</v>
      </c>
      <c r="N116">
        <f ca="1">IF($C116-N$1&lt;År1,0,M115*(1-VLOOKUP($A116,[1]Hugst!$R$5:$W$9,MATCH(ROUNDUP((N$1)/10,0)*10,[1]Hugst!$R$4:$W$4,0))))</f>
        <v>1063.6728000744101</v>
      </c>
      <c r="O116">
        <f ca="1">IF($C116-O$1&lt;År1,0,N115*(1-VLOOKUP($A116,[1]Hugst!$R$5:$W$9,MATCH(ROUNDUP((O$1)/10,0)*10,[1]Hugst!$R$4:$W$4,0))))</f>
        <v>1063.1090402145192</v>
      </c>
      <c r="P116">
        <f ca="1">IF($C116-P$1&lt;År1,0,O115*(1-VLOOKUP($A116,[1]Hugst!$R$5:$W$9,MATCH(ROUNDUP((P$1)/10,0)*10,[1]Hugst!$R$4:$W$4,0))))</f>
        <v>1060.9258527672603</v>
      </c>
      <c r="Q116">
        <f ca="1">IF($C116-Q$1&lt;År1,0,P115*(1-VLOOKUP($A116,[1]Hugst!$R$5:$W$9,MATCH(ROUNDUP((Q$1)/10,0)*10,[1]Hugst!$R$4:$W$4,0))))</f>
        <v>1150.5861599219911</v>
      </c>
      <c r="R116">
        <f ca="1">IF($C116-R$1&lt;År1,0,Q115*(1-VLOOKUP($A116,[1]Hugst!$R$5:$W$9,MATCH(ROUNDUP((R$1)/10,0)*10,[1]Hugst!$R$4:$W$4,0))))</f>
        <v>1148.2740848857177</v>
      </c>
      <c r="S116">
        <f ca="1">IF($C116-S$1&lt;År1,0,R115*(1-VLOOKUP($A116,[1]Hugst!$R$5:$W$9,MATCH(ROUNDUP((S$1)/10,0)*10,[1]Hugst!$R$4:$W$4,0))))</f>
        <v>1147.7384317562735</v>
      </c>
      <c r="T116">
        <f ca="1">IF($C116-T$1&lt;År1,0,S115*(1-VLOOKUP($A116,[1]Hugst!$R$5:$W$9,MATCH(ROUNDUP((T$1)/10,0)*10,[1]Hugst!$R$4:$W$4,0))))</f>
        <v>1147.2078418714539</v>
      </c>
      <c r="U116">
        <f ca="1">IF($C116-U$1&lt;År1,0,T115*(1-VLOOKUP($A116,[1]Hugst!$R$5:$W$9,MATCH(ROUNDUP((U$1)/10,0)*10,[1]Hugst!$R$4:$W$4,0))))</f>
        <v>1146.6823223353895</v>
      </c>
      <c r="V116">
        <f ca="1">IF($C116-V$1&lt;År1,0,U115*(1-VLOOKUP($A116,[1]Hugst!$R$5:$W$9,MATCH(ROUNDUP((V$1)/10,0)*10,[1]Hugst!$R$4:$W$4,0))))</f>
        <v>1146.1618802930866</v>
      </c>
      <c r="W116">
        <f ca="1">IF($C116-W$1&lt;År1,0,V115*(1-VLOOKUP($A116,[1]Hugst!$R$5:$W$9,MATCH(ROUNDUP((W$1)/10,0)*10,[1]Hugst!$R$4:$W$4,0))))</f>
        <v>1145.6465229306932</v>
      </c>
      <c r="X116">
        <f ca="1">IF($C116-X$1&lt;År1,0,W115*(1-VLOOKUP($A116,[1]Hugst!$R$5:$W$9,MATCH(ROUNDUP((X$1)/10,0)*10,[1]Hugst!$R$4:$W$4,0))))</f>
        <v>1145.1362574754676</v>
      </c>
      <c r="Y116">
        <f ca="1">IF($C116-Y$1&lt;År1,0,X115*(1-VLOOKUP($A116,[1]Hugst!$R$5:$W$9,MATCH(ROUNDUP((Y$1)/10,0)*10,[1]Hugst!$R$4:$W$4,0))))</f>
        <v>1144.6310911960213</v>
      </c>
      <c r="Z116">
        <f ca="1">IF($C116-Z$1&lt;År1,0,Y115*(1-VLOOKUP($A116,[1]Hugst!$R$5:$W$9,MATCH(ROUNDUP((Z$1)/10,0)*10,[1]Hugst!$R$4:$W$4,0))))</f>
        <v>1143.8882604314922</v>
      </c>
      <c r="AA116">
        <f ca="1">IF($C116-AA$1&lt;År1,0,Z115*(1-VLOOKUP($A116,[1]Hugst!$R$5:$W$9,MATCH(ROUNDUP((AA$1)/10,0)*10,[1]Hugst!$R$4:$W$4,0))))</f>
        <v>1143.1508050383659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228.09790752633126</v>
      </c>
      <c r="E117">
        <f t="shared" ca="1" si="2"/>
        <v>23.201327907776431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1069.2690571076328</v>
      </c>
      <c r="G117">
        <f ca="1">IF($C117-G$1&lt;År1,0,F116*(1-VLOOKUP($A117,[1]Hugst!$R$5:$W$9,MATCH(ROUNDUP((G$1)/10,0)*10,[1]Hugst!$R$4:$W$4,0))))</f>
        <v>1068.5845218370669</v>
      </c>
      <c r="H117">
        <f ca="1">IF($C117-H$1&lt;År1,0,G116*(1-VLOOKUP($A117,[1]Hugst!$R$5:$W$9,MATCH(ROUNDUP((H$1)/10,0)*10,[1]Hugst!$R$4:$W$4,0))))</f>
        <v>1067.9031222016511</v>
      </c>
      <c r="I117">
        <f ca="1">IF($C117-I$1&lt;År1,0,H116*(1-VLOOKUP($A117,[1]Hugst!$R$5:$W$9,MATCH(ROUNDUP((I$1)/10,0)*10,[1]Hugst!$R$4:$W$4,0))))</f>
        <v>1067.0841436810833</v>
      </c>
      <c r="J117">
        <f ca="1">IF($C117-J$1&lt;År1,0,I116*(1-VLOOKUP($A117,[1]Hugst!$R$5:$W$9,MATCH(ROUNDUP((J$1)/10,0)*10,[1]Hugst!$R$4:$W$4,0))))</f>
        <v>1066.5122258743631</v>
      </c>
      <c r="K117">
        <f ca="1">IF($C117-K$1&lt;År1,0,J116*(1-VLOOKUP($A117,[1]Hugst!$R$5:$W$9,MATCH(ROUNDUP((K$1)/10,0)*10,[1]Hugst!$R$4:$W$4,0))))</f>
        <v>1065.9416347616589</v>
      </c>
      <c r="L117">
        <f ca="1">IF($C117-L$1&lt;År1,0,K116*(1-VLOOKUP($A117,[1]Hugst!$R$5:$W$9,MATCH(ROUNDUP((L$1)/10,0)*10,[1]Hugst!$R$4:$W$4,0))))</f>
        <v>1065.3723834273769</v>
      </c>
      <c r="M117">
        <f ca="1">IF($C117-M$1&lt;År1,0,L116*(1-VLOOKUP($A117,[1]Hugst!$R$5:$W$9,MATCH(ROUNDUP((M$1)/10,0)*10,[1]Hugst!$R$4:$W$4,0))))</f>
        <v>1064.8044850314463</v>
      </c>
      <c r="N117">
        <f ca="1">IF($C117-N$1&lt;År1,0,M116*(1-VLOOKUP($A117,[1]Hugst!$R$5:$W$9,MATCH(ROUNDUP((N$1)/10,0)*10,[1]Hugst!$R$4:$W$4,0))))</f>
        <v>1064.2379528097131</v>
      </c>
      <c r="O117">
        <f ca="1">IF($C117-O$1&lt;År1,0,N116*(1-VLOOKUP($A117,[1]Hugst!$R$5:$W$9,MATCH(ROUNDUP((O$1)/10,0)*10,[1]Hugst!$R$4:$W$4,0))))</f>
        <v>1063.6728000744101</v>
      </c>
      <c r="P117">
        <f ca="1">IF($C117-P$1&lt;År1,0,O116*(1-VLOOKUP($A117,[1]Hugst!$R$5:$W$9,MATCH(ROUNDUP((P$1)/10,0)*10,[1]Hugst!$R$4:$W$4,0))))</f>
        <v>1061.4873484582597</v>
      </c>
      <c r="Q117">
        <f ca="1">IF($C117-Q$1&lt;År1,0,P116*(1-VLOOKUP($A117,[1]Hugst!$R$5:$W$9,MATCH(ROUNDUP((Q$1)/10,0)*10,[1]Hugst!$R$4:$W$4,0))))</f>
        <v>1059.3074912969373</v>
      </c>
      <c r="R117">
        <f ca="1">IF($C117-R$1&lt;År1,0,Q116*(1-VLOOKUP($A117,[1]Hugst!$R$5:$W$9,MATCH(ROUNDUP((R$1)/10,0)*10,[1]Hugst!$R$4:$W$4,0))))</f>
        <v>1148.8310284916015</v>
      </c>
      <c r="S117">
        <f ca="1">IF($C117-S$1&lt;År1,0,R116*(1-VLOOKUP($A117,[1]Hugst!$R$5:$W$9,MATCH(ROUNDUP((S$1)/10,0)*10,[1]Hugst!$R$4:$W$4,0))))</f>
        <v>1146.5224803494514</v>
      </c>
      <c r="T117">
        <f ca="1">IF($C117-T$1&lt;År1,0,S116*(1-VLOOKUP($A117,[1]Hugst!$R$5:$W$9,MATCH(ROUNDUP((T$1)/10,0)*10,[1]Hugst!$R$4:$W$4,0))))</f>
        <v>1145.9876443180012</v>
      </c>
      <c r="U117">
        <f ca="1">IF($C117-U$1&lt;År1,0,T116*(1-VLOOKUP($A117,[1]Hugst!$R$5:$W$9,MATCH(ROUNDUP((U$1)/10,0)*10,[1]Hugst!$R$4:$W$4,0))))</f>
        <v>1145.457863807582</v>
      </c>
      <c r="V117">
        <f ca="1">IF($C117-V$1&lt;År1,0,U116*(1-VLOOKUP($A117,[1]Hugst!$R$5:$W$9,MATCH(ROUNDUP((V$1)/10,0)*10,[1]Hugst!$R$4:$W$4,0))))</f>
        <v>1144.9331459114881</v>
      </c>
      <c r="W117">
        <f ca="1">IF($C117-W$1&lt;År1,0,V116*(1-VLOOKUP($A117,[1]Hugst!$R$5:$W$9,MATCH(ROUNDUP((W$1)/10,0)*10,[1]Hugst!$R$4:$W$4,0))))</f>
        <v>1144.4134977638259</v>
      </c>
      <c r="X117">
        <f ca="1">IF($C117-X$1&lt;År1,0,W116*(1-VLOOKUP($A117,[1]Hugst!$R$5:$W$9,MATCH(ROUNDUP((X$1)/10,0)*10,[1]Hugst!$R$4:$W$4,0))))</f>
        <v>1143.898926539782</v>
      </c>
      <c r="Y117">
        <f ca="1">IF($C117-Y$1&lt;År1,0,X116*(1-VLOOKUP($A117,[1]Hugst!$R$5:$W$9,MATCH(ROUNDUP((Y$1)/10,0)*10,[1]Hugst!$R$4:$W$4,0))))</f>
        <v>1143.3894394555898</v>
      </c>
      <c r="Z117">
        <f ca="1">IF($C117-Z$1&lt;År1,0,Y116*(1-VLOOKUP($A117,[1]Hugst!$R$5:$W$9,MATCH(ROUNDUP((Z$1)/10,0)*10,[1]Hugst!$R$4:$W$4,0))))</f>
        <v>1142.6425371816554</v>
      </c>
      <c r="AA117">
        <f ca="1">IF($C117-AA$1&lt;År1,0,Z116*(1-VLOOKUP($A117,[1]Hugst!$R$5:$W$9,MATCH(ROUNDUP((AA$1)/10,0)*10,[1]Hugst!$R$4:$W$4,0))))</f>
        <v>1141.9009969282001</v>
      </c>
      <c r="AB117">
        <f ca="1">IF($C117-AB$1&lt;År1,0,AA116*(1-VLOOKUP($A117,[1]Hugst!$R$5:$W$9,MATCH(ROUNDUP((AB$1)/10,0)*10,[1]Hugst!$R$4:$W$4,0))))</f>
        <v>1141.1648227075789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226.95741798870131</v>
      </c>
      <c r="E118">
        <f t="shared" ca="1" si="2"/>
        <v>25.029468212695065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1069.9567078749214</v>
      </c>
      <c r="G118">
        <f ca="1">IF($C118-G$1&lt;År1,0,F117*(1-VLOOKUP($A118,[1]Hugst!$R$5:$W$9,MATCH(ROUNDUP((G$1)/10,0)*10,[1]Hugst!$R$4:$W$4,0))))</f>
        <v>1069.2690571076328</v>
      </c>
      <c r="H118">
        <f ca="1">IF($C118-H$1&lt;År1,0,G117*(1-VLOOKUP($A118,[1]Hugst!$R$5:$W$9,MATCH(ROUNDUP((H$1)/10,0)*10,[1]Hugst!$R$4:$W$4,0))))</f>
        <v>1068.5845218370669</v>
      </c>
      <c r="I118">
        <f ca="1">IF($C118-I$1&lt;År1,0,H117*(1-VLOOKUP($A118,[1]Hugst!$R$5:$W$9,MATCH(ROUNDUP((I$1)/10,0)*10,[1]Hugst!$R$4:$W$4,0))))</f>
        <v>1067.9031222016511</v>
      </c>
      <c r="J118">
        <f ca="1">IF($C118-J$1&lt;År1,0,I117*(1-VLOOKUP($A118,[1]Hugst!$R$5:$W$9,MATCH(ROUNDUP((J$1)/10,0)*10,[1]Hugst!$R$4:$W$4,0))))</f>
        <v>1067.0841436810833</v>
      </c>
      <c r="K118">
        <f ca="1">IF($C118-K$1&lt;År1,0,J117*(1-VLOOKUP($A118,[1]Hugst!$R$5:$W$9,MATCH(ROUNDUP((K$1)/10,0)*10,[1]Hugst!$R$4:$W$4,0))))</f>
        <v>1066.5122258743631</v>
      </c>
      <c r="L118">
        <f ca="1">IF($C118-L$1&lt;År1,0,K117*(1-VLOOKUP($A118,[1]Hugst!$R$5:$W$9,MATCH(ROUNDUP((L$1)/10,0)*10,[1]Hugst!$R$4:$W$4,0))))</f>
        <v>1065.9416347616589</v>
      </c>
      <c r="M118">
        <f ca="1">IF($C118-M$1&lt;År1,0,L117*(1-VLOOKUP($A118,[1]Hugst!$R$5:$W$9,MATCH(ROUNDUP((M$1)/10,0)*10,[1]Hugst!$R$4:$W$4,0))))</f>
        <v>1065.3723834273769</v>
      </c>
      <c r="N118">
        <f ca="1">IF($C118-N$1&lt;År1,0,M117*(1-VLOOKUP($A118,[1]Hugst!$R$5:$W$9,MATCH(ROUNDUP((N$1)/10,0)*10,[1]Hugst!$R$4:$W$4,0))))</f>
        <v>1064.8044850314463</v>
      </c>
      <c r="O118">
        <f ca="1">IF($C118-O$1&lt;År1,0,N117*(1-VLOOKUP($A118,[1]Hugst!$R$5:$W$9,MATCH(ROUNDUP((O$1)/10,0)*10,[1]Hugst!$R$4:$W$4,0))))</f>
        <v>1064.2379528097131</v>
      </c>
      <c r="P118">
        <f ca="1">IF($C118-P$1&lt;År1,0,O117*(1-VLOOKUP($A118,[1]Hugst!$R$5:$W$9,MATCH(ROUNDUP((P$1)/10,0)*10,[1]Hugst!$R$4:$W$4,0))))</f>
        <v>1062.0502483454829</v>
      </c>
      <c r="Q118">
        <f ca="1">IF($C118-Q$1&lt;År1,0,P117*(1-VLOOKUP($A118,[1]Hugst!$R$5:$W$9,MATCH(ROUNDUP((Q$1)/10,0)*10,[1]Hugst!$R$4:$W$4,0))))</f>
        <v>1059.8681304690861</v>
      </c>
      <c r="R118">
        <f ca="1">IF($C118-R$1&lt;År1,0,Q117*(1-VLOOKUP($A118,[1]Hugst!$R$5:$W$9,MATCH(ROUNDUP((R$1)/10,0)*10,[1]Hugst!$R$4:$W$4,0))))</f>
        <v>1057.6915985136029</v>
      </c>
      <c r="S118">
        <f ca="1">IF($C118-S$1&lt;År1,0,R117*(1-VLOOKUP($A118,[1]Hugst!$R$5:$W$9,MATCH(ROUNDUP((S$1)/10,0)*10,[1]Hugst!$R$4:$W$4,0))))</f>
        <v>1147.0785743803431</v>
      </c>
      <c r="T118">
        <f ca="1">IF($C118-T$1&lt;År1,0,S117*(1-VLOOKUP($A118,[1]Hugst!$R$5:$W$9,MATCH(ROUNDUP((T$1)/10,0)*10,[1]Hugst!$R$4:$W$4,0))))</f>
        <v>1144.7735477523081</v>
      </c>
      <c r="U118">
        <f ca="1">IF($C118-U$1&lt;År1,0,T117*(1-VLOOKUP($A118,[1]Hugst!$R$5:$W$9,MATCH(ROUNDUP((U$1)/10,0)*10,[1]Hugst!$R$4:$W$4,0))))</f>
        <v>1144.2395275724314</v>
      </c>
      <c r="V118">
        <f ca="1">IF($C118-V$1&lt;År1,0,U117*(1-VLOOKUP($A118,[1]Hugst!$R$5:$W$9,MATCH(ROUNDUP((V$1)/10,0)*10,[1]Hugst!$R$4:$W$4,0))))</f>
        <v>1143.7105552017738</v>
      </c>
      <c r="W118">
        <f ca="1">IF($C118-W$1&lt;År1,0,V117*(1-VLOOKUP($A118,[1]Hugst!$R$5:$W$9,MATCH(ROUNDUP((W$1)/10,0)*10,[1]Hugst!$R$4:$W$4,0))))</f>
        <v>1143.1866377228096</v>
      </c>
      <c r="X118">
        <f ca="1">IF($C118-X$1&lt;År1,0,W117*(1-VLOOKUP($A118,[1]Hugst!$R$5:$W$9,MATCH(ROUNDUP((X$1)/10,0)*10,[1]Hugst!$R$4:$W$4,0))))</f>
        <v>1142.6677822587624</v>
      </c>
      <c r="Y118">
        <f ca="1">IF($C118-Y$1&lt;År1,0,X117*(1-VLOOKUP($A118,[1]Hugst!$R$5:$W$9,MATCH(ROUNDUP((Y$1)/10,0)*10,[1]Hugst!$R$4:$W$4,0))))</f>
        <v>1142.1539959738739</v>
      </c>
      <c r="Z118">
        <f ca="1">IF($C118-Z$1&lt;År1,0,Y117*(1-VLOOKUP($A118,[1]Hugst!$R$5:$W$9,MATCH(ROUNDUP((Z$1)/10,0)*10,[1]Hugst!$R$4:$W$4,0))))</f>
        <v>1141.403042548061</v>
      </c>
      <c r="AA118">
        <f ca="1">IF($C118-AA$1&lt;År1,0,Z117*(1-VLOOKUP($A118,[1]Hugst!$R$5:$W$9,MATCH(ROUNDUP((AA$1)/10,0)*10,[1]Hugst!$R$4:$W$4,0))))</f>
        <v>1140.6574378585856</v>
      </c>
      <c r="AB118">
        <f ca="1">IF($C118-AB$1&lt;År1,0,AA117*(1-VLOOKUP($A118,[1]Hugst!$R$5:$W$9,MATCH(ROUNDUP((AB$1)/10,0)*10,[1]Hugst!$R$4:$W$4,0))))</f>
        <v>1139.9171858742147</v>
      </c>
      <c r="AC118">
        <f ca="1">IF($C118-AC$1&lt;År1,0,AB117*(1-VLOOKUP($A118,[1]Hugst!$R$5:$W$9,MATCH(ROUNDUP((AC$1)/10,0)*10,[1]Hugst!$R$4:$W$4,0))))</f>
        <v>1139.1822906003326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225.82263089875323</v>
      </c>
      <c r="E119">
        <f t="shared" ca="1" si="2"/>
        <v>26.855001527463173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1070.6474540997415</v>
      </c>
      <c r="G119">
        <f ca="1">IF($C119-G$1&lt;År1,0,F118*(1-VLOOKUP($A119,[1]Hugst!$R$5:$W$9,MATCH(ROUNDUP((G$1)/10,0)*10,[1]Hugst!$R$4:$W$4,0))))</f>
        <v>1069.9567078749214</v>
      </c>
      <c r="H119">
        <f ca="1">IF($C119-H$1&lt;År1,0,G118*(1-VLOOKUP($A119,[1]Hugst!$R$5:$W$9,MATCH(ROUNDUP((H$1)/10,0)*10,[1]Hugst!$R$4:$W$4,0))))</f>
        <v>1069.2690571076328</v>
      </c>
      <c r="I119">
        <f ca="1">IF($C119-I$1&lt;År1,0,H118*(1-VLOOKUP($A119,[1]Hugst!$R$5:$W$9,MATCH(ROUNDUP((I$1)/10,0)*10,[1]Hugst!$R$4:$W$4,0))))</f>
        <v>1068.5845218370669</v>
      </c>
      <c r="J119">
        <f ca="1">IF($C119-J$1&lt;År1,0,I118*(1-VLOOKUP($A119,[1]Hugst!$R$5:$W$9,MATCH(ROUNDUP((J$1)/10,0)*10,[1]Hugst!$R$4:$W$4,0))))</f>
        <v>1067.9031222016511</v>
      </c>
      <c r="K119">
        <f ca="1">IF($C119-K$1&lt;År1,0,J118*(1-VLOOKUP($A119,[1]Hugst!$R$5:$W$9,MATCH(ROUNDUP((K$1)/10,0)*10,[1]Hugst!$R$4:$W$4,0))))</f>
        <v>1067.0841436810833</v>
      </c>
      <c r="L119">
        <f ca="1">IF($C119-L$1&lt;År1,0,K118*(1-VLOOKUP($A119,[1]Hugst!$R$5:$W$9,MATCH(ROUNDUP((L$1)/10,0)*10,[1]Hugst!$R$4:$W$4,0))))</f>
        <v>1066.5122258743631</v>
      </c>
      <c r="M119">
        <f ca="1">IF($C119-M$1&lt;År1,0,L118*(1-VLOOKUP($A119,[1]Hugst!$R$5:$W$9,MATCH(ROUNDUP((M$1)/10,0)*10,[1]Hugst!$R$4:$W$4,0))))</f>
        <v>1065.9416347616589</v>
      </c>
      <c r="N119">
        <f ca="1">IF($C119-N$1&lt;År1,0,M118*(1-VLOOKUP($A119,[1]Hugst!$R$5:$W$9,MATCH(ROUNDUP((N$1)/10,0)*10,[1]Hugst!$R$4:$W$4,0))))</f>
        <v>1065.3723834273769</v>
      </c>
      <c r="O119">
        <f ca="1">IF($C119-O$1&lt;År1,0,N118*(1-VLOOKUP($A119,[1]Hugst!$R$5:$W$9,MATCH(ROUNDUP((O$1)/10,0)*10,[1]Hugst!$R$4:$W$4,0))))</f>
        <v>1064.8044850314463</v>
      </c>
      <c r="P119">
        <f ca="1">IF($C119-P$1&lt;År1,0,O118*(1-VLOOKUP($A119,[1]Hugst!$R$5:$W$9,MATCH(ROUNDUP((P$1)/10,0)*10,[1]Hugst!$R$4:$W$4,0))))</f>
        <v>1062.6145389833932</v>
      </c>
      <c r="Q119">
        <f ca="1">IF($C119-Q$1&lt;År1,0,P118*(1-VLOOKUP($A119,[1]Hugst!$R$5:$W$9,MATCH(ROUNDUP((Q$1)/10,0)*10,[1]Hugst!$R$4:$W$4,0))))</f>
        <v>1060.4301716954644</v>
      </c>
      <c r="R119">
        <f ca="1">IF($C119-R$1&lt;År1,0,Q118*(1-VLOOKUP($A119,[1]Hugst!$R$5:$W$9,MATCH(ROUNDUP((R$1)/10,0)*10,[1]Hugst!$R$4:$W$4,0))))</f>
        <v>1058.2513824734551</v>
      </c>
      <c r="S119">
        <f ca="1">IF($C119-S$1&lt;År1,0,R118*(1-VLOOKUP($A119,[1]Hugst!$R$5:$W$9,MATCH(ROUNDUP((S$1)/10,0)*10,[1]Hugst!$R$4:$W$4,0))))</f>
        <v>1056.0781706514636</v>
      </c>
      <c r="T119">
        <f ca="1">IF($C119-T$1&lt;År1,0,S118*(1-VLOOKUP($A119,[1]Hugst!$R$5:$W$9,MATCH(ROUNDUP((T$1)/10,0)*10,[1]Hugst!$R$4:$W$4,0))))</f>
        <v>1145.3287935041697</v>
      </c>
      <c r="U119">
        <f ca="1">IF($C119-U$1&lt;År1,0,T118*(1-VLOOKUP($A119,[1]Hugst!$R$5:$W$9,MATCH(ROUNDUP((U$1)/10,0)*10,[1]Hugst!$R$4:$W$4,0))))</f>
        <v>1143.0272830184485</v>
      </c>
      <c r="V119">
        <f ca="1">IF($C119-V$1&lt;År1,0,U118*(1-VLOOKUP($A119,[1]Hugst!$R$5:$W$9,MATCH(ROUNDUP((V$1)/10,0)*10,[1]Hugst!$R$4:$W$4,0))))</f>
        <v>1142.4940774456259</v>
      </c>
      <c r="W119">
        <f ca="1">IF($C119-W$1&lt;År1,0,V118*(1-VLOOKUP($A119,[1]Hugst!$R$5:$W$9,MATCH(ROUNDUP((W$1)/10,0)*10,[1]Hugst!$R$4:$W$4,0))))</f>
        <v>1141.9659119819744</v>
      </c>
      <c r="X119">
        <f ca="1">IF($C119-X$1&lt;År1,0,W118*(1-VLOOKUP($A119,[1]Hugst!$R$5:$W$9,MATCH(ROUNDUP((X$1)/10,0)*10,[1]Hugst!$R$4:$W$4,0))))</f>
        <v>1141.4427936991647</v>
      </c>
      <c r="Y119">
        <f ca="1">IF($C119-Y$1&lt;År1,0,X118*(1-VLOOKUP($A119,[1]Hugst!$R$5:$W$9,MATCH(ROUNDUP((Y$1)/10,0)*10,[1]Hugst!$R$4:$W$4,0))))</f>
        <v>1140.924729709554</v>
      </c>
      <c r="Z119">
        <f ca="1">IF($C119-Z$1&lt;År1,0,Y118*(1-VLOOKUP($A119,[1]Hugst!$R$5:$W$9,MATCH(ROUNDUP((Z$1)/10,0)*10,[1]Hugst!$R$4:$W$4,0))))</f>
        <v>1140.1697453876479</v>
      </c>
      <c r="AA119">
        <f ca="1">IF($C119-AA$1&lt;År1,0,Z118*(1-VLOOKUP($A119,[1]Hugst!$R$5:$W$9,MATCH(ROUNDUP((AA$1)/10,0)*10,[1]Hugst!$R$4:$W$4,0))))</f>
        <v>1139.4200965843122</v>
      </c>
      <c r="AB119">
        <f ca="1">IF($C119-AB$1&lt;År1,0,AA118*(1-VLOOKUP($A119,[1]Hugst!$R$5:$W$9,MATCH(ROUNDUP((AB$1)/10,0)*10,[1]Hugst!$R$4:$W$4,0))))</f>
        <v>1138.6757872250178</v>
      </c>
      <c r="AC119">
        <f ca="1">IF($C119-AC$1&lt;År1,0,AB118*(1-VLOOKUP($A119,[1]Hugst!$R$5:$W$9,MATCH(ROUNDUP((AC$1)/10,0)*10,[1]Hugst!$R$4:$W$4,0))))</f>
        <v>1137.9368212716365</v>
      </c>
      <c r="AD119">
        <f ca="1">IF($C119-AD$1&lt;År1,0,AC118*(1-VLOOKUP($A119,[1]Hugst!$R$5:$W$9,MATCH(ROUNDUP((AD$1)/10,0)*10,[1]Hugst!$R$4:$W$4,0))))</f>
        <v>1137.2032027225948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224.69351774426195</v>
      </c>
      <c r="E120">
        <f t="shared" ca="1" si="2"/>
        <v>28.67793642390825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1071.3412758416953</v>
      </c>
      <c r="G120">
        <f ca="1">IF($C120-G$1&lt;År1,0,F119*(1-VLOOKUP($A120,[1]Hugst!$R$5:$W$9,MATCH(ROUNDUP((G$1)/10,0)*10,[1]Hugst!$R$4:$W$4,0))))</f>
        <v>1070.6474540997415</v>
      </c>
      <c r="H120">
        <f ca="1">IF($C120-H$1&lt;År1,0,G119*(1-VLOOKUP($A120,[1]Hugst!$R$5:$W$9,MATCH(ROUNDUP((H$1)/10,0)*10,[1]Hugst!$R$4:$W$4,0))))</f>
        <v>1069.9567078749214</v>
      </c>
      <c r="I120">
        <f ca="1">IF($C120-I$1&lt;År1,0,H119*(1-VLOOKUP($A120,[1]Hugst!$R$5:$W$9,MATCH(ROUNDUP((I$1)/10,0)*10,[1]Hugst!$R$4:$W$4,0))))</f>
        <v>1069.2690571076328</v>
      </c>
      <c r="J120">
        <f ca="1">IF($C120-J$1&lt;År1,0,I119*(1-VLOOKUP($A120,[1]Hugst!$R$5:$W$9,MATCH(ROUNDUP((J$1)/10,0)*10,[1]Hugst!$R$4:$W$4,0))))</f>
        <v>1068.5845218370669</v>
      </c>
      <c r="K120">
        <f ca="1">IF($C120-K$1&lt;År1,0,J119*(1-VLOOKUP($A120,[1]Hugst!$R$5:$W$9,MATCH(ROUNDUP((K$1)/10,0)*10,[1]Hugst!$R$4:$W$4,0))))</f>
        <v>1067.9031222016511</v>
      </c>
      <c r="L120">
        <f ca="1">IF($C120-L$1&lt;År1,0,K119*(1-VLOOKUP($A120,[1]Hugst!$R$5:$W$9,MATCH(ROUNDUP((L$1)/10,0)*10,[1]Hugst!$R$4:$W$4,0))))</f>
        <v>1067.0841436810833</v>
      </c>
      <c r="M120">
        <f ca="1">IF($C120-M$1&lt;År1,0,L119*(1-VLOOKUP($A120,[1]Hugst!$R$5:$W$9,MATCH(ROUNDUP((M$1)/10,0)*10,[1]Hugst!$R$4:$W$4,0))))</f>
        <v>1066.5122258743631</v>
      </c>
      <c r="N120">
        <f ca="1">IF($C120-N$1&lt;År1,0,M119*(1-VLOOKUP($A120,[1]Hugst!$R$5:$W$9,MATCH(ROUNDUP((N$1)/10,0)*10,[1]Hugst!$R$4:$W$4,0))))</f>
        <v>1065.9416347616589</v>
      </c>
      <c r="O120">
        <f ca="1">IF($C120-O$1&lt;År1,0,N119*(1-VLOOKUP($A120,[1]Hugst!$R$5:$W$9,MATCH(ROUNDUP((O$1)/10,0)*10,[1]Hugst!$R$4:$W$4,0))))</f>
        <v>1065.3723834273769</v>
      </c>
      <c r="P120">
        <f ca="1">IF($C120-P$1&lt;År1,0,O119*(1-VLOOKUP($A120,[1]Hugst!$R$5:$W$9,MATCH(ROUNDUP((P$1)/10,0)*10,[1]Hugst!$R$4:$W$4,0))))</f>
        <v>1063.1802070034323</v>
      </c>
      <c r="Q120">
        <f ca="1">IF($C120-Q$1&lt;År1,0,P119*(1-VLOOKUP($A120,[1]Hugst!$R$5:$W$9,MATCH(ROUNDUP((Q$1)/10,0)*10,[1]Hugst!$R$4:$W$4,0))))</f>
        <v>1060.9936015510457</v>
      </c>
      <c r="R120">
        <f ca="1">IF($C120-R$1&lt;År1,0,Q119*(1-VLOOKUP($A120,[1]Hugst!$R$5:$W$9,MATCH(ROUNDUP((R$1)/10,0)*10,[1]Hugst!$R$4:$W$4,0))))</f>
        <v>1058.8125663488104</v>
      </c>
      <c r="S120">
        <f ca="1">IF($C120-S$1&lt;År1,0,R119*(1-VLOOKUP($A120,[1]Hugst!$R$5:$W$9,MATCH(ROUNDUP((S$1)/10,0)*10,[1]Hugst!$R$4:$W$4,0))))</f>
        <v>1056.6371007035802</v>
      </c>
      <c r="T120">
        <f ca="1">IF($C120-T$1&lt;År1,0,S119*(1-VLOOKUP($A120,[1]Hugst!$R$5:$W$9,MATCH(ROUNDUP((T$1)/10,0)*10,[1]Hugst!$R$4:$W$4,0))))</f>
        <v>1054.4672039504699</v>
      </c>
      <c r="U120">
        <f ca="1">IF($C120-U$1&lt;År1,0,T119*(1-VLOOKUP($A120,[1]Hugst!$R$5:$W$9,MATCH(ROUNDUP((U$1)/10,0)*10,[1]Hugst!$R$4:$W$4,0))))</f>
        <v>1143.5816817852649</v>
      </c>
      <c r="V120">
        <f ca="1">IF($C120-V$1&lt;År1,0,U119*(1-VLOOKUP($A120,[1]Hugst!$R$5:$W$9,MATCH(ROUNDUP((V$1)/10,0)*10,[1]Hugst!$R$4:$W$4,0))))</f>
        <v>1141.2836820782509</v>
      </c>
      <c r="W120">
        <f ca="1">IF($C120-W$1&lt;År1,0,V119*(1-VLOOKUP($A120,[1]Hugst!$R$5:$W$9,MATCH(ROUNDUP((W$1)/10,0)*10,[1]Hugst!$R$4:$W$4,0))))</f>
        <v>1140.7512898698612</v>
      </c>
      <c r="X120">
        <f ca="1">IF($C120-X$1&lt;År1,0,W119*(1-VLOOKUP($A120,[1]Hugst!$R$5:$W$9,MATCH(ROUNDUP((X$1)/10,0)*10,[1]Hugst!$R$4:$W$4,0))))</f>
        <v>1140.2239300823408</v>
      </c>
      <c r="Y120">
        <f ca="1">IF($C120-Y$1&lt;År1,0,X119*(1-VLOOKUP($A120,[1]Hugst!$R$5:$W$9,MATCH(ROUNDUP((Y$1)/10,0)*10,[1]Hugst!$R$4:$W$4,0))))</f>
        <v>1139.7016097765727</v>
      </c>
      <c r="Z120">
        <f ca="1">IF($C120-Z$1&lt;År1,0,Y119*(1-VLOOKUP($A120,[1]Hugst!$R$5:$W$9,MATCH(ROUNDUP((Z$1)/10,0)*10,[1]Hugst!$R$4:$W$4,0))))</f>
        <v>1138.9426147130246</v>
      </c>
      <c r="AA120">
        <f ca="1">IF($C120-AA$1&lt;År1,0,Z119*(1-VLOOKUP($A120,[1]Hugst!$R$5:$W$9,MATCH(ROUNDUP((AA$1)/10,0)*10,[1]Hugst!$R$4:$W$4,0))))</f>
        <v>1138.1889420164237</v>
      </c>
      <c r="AB120">
        <f ca="1">IF($C120-AB$1&lt;År1,0,AA119*(1-VLOOKUP($A120,[1]Hugst!$R$5:$W$9,MATCH(ROUNDUP((AB$1)/10,0)*10,[1]Hugst!$R$4:$W$4,0))))</f>
        <v>1137.4405955690597</v>
      </c>
      <c r="AC120">
        <f ca="1">IF($C120-AC$1&lt;År1,0,AB119*(1-VLOOKUP($A120,[1]Hugst!$R$5:$W$9,MATCH(ROUNDUP((AC$1)/10,0)*10,[1]Hugst!$R$4:$W$4,0))))</f>
        <v>1136.6975792895844</v>
      </c>
      <c r="AD120">
        <f ca="1">IF($C120-AD$1&lt;År1,0,AC119*(1-VLOOKUP($A120,[1]Hugst!$R$5:$W$9,MATCH(ROUNDUP((AD$1)/10,0)*10,[1]Hugst!$R$4:$W$4,0))))</f>
        <v>1135.9598971329865</v>
      </c>
      <c r="AE120">
        <f ca="1">IF($C120-AE$1&lt;År1,0,AD119*(1-VLOOKUP($A120,[1]Hugst!$R$5:$W$9,MATCH(ROUNDUP((AE$1)/10,0)*10,[1]Hugst!$R$4:$W$4,0))))</f>
        <v>1135.2275530907461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223.5700501555466</v>
      </c>
      <c r="E121">
        <f t="shared" ca="1" si="2"/>
        <v>30.498281429659983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1072.0381532587317</v>
      </c>
      <c r="G121">
        <f ca="1">IF($C121-G$1&lt;År1,0,F120*(1-VLOOKUP($A121,[1]Hugst!$R$5:$W$9,MATCH(ROUNDUP((G$1)/10,0)*10,[1]Hugst!$R$4:$W$4,0))))</f>
        <v>1071.3412758416953</v>
      </c>
      <c r="H121">
        <f ca="1">IF($C121-H$1&lt;År1,0,G120*(1-VLOOKUP($A121,[1]Hugst!$R$5:$W$9,MATCH(ROUNDUP((H$1)/10,0)*10,[1]Hugst!$R$4:$W$4,0))))</f>
        <v>1070.6474540997415</v>
      </c>
      <c r="I121">
        <f ca="1">IF($C121-I$1&lt;År1,0,H120*(1-VLOOKUP($A121,[1]Hugst!$R$5:$W$9,MATCH(ROUNDUP((I$1)/10,0)*10,[1]Hugst!$R$4:$W$4,0))))</f>
        <v>1069.9567078749214</v>
      </c>
      <c r="J121">
        <f ca="1">IF($C121-J$1&lt;År1,0,I120*(1-VLOOKUP($A121,[1]Hugst!$R$5:$W$9,MATCH(ROUNDUP((J$1)/10,0)*10,[1]Hugst!$R$4:$W$4,0))))</f>
        <v>1069.2690571076328</v>
      </c>
      <c r="K121">
        <f ca="1">IF($C121-K$1&lt;År1,0,J120*(1-VLOOKUP($A121,[1]Hugst!$R$5:$W$9,MATCH(ROUNDUP((K$1)/10,0)*10,[1]Hugst!$R$4:$W$4,0))))</f>
        <v>1068.5845218370669</v>
      </c>
      <c r="L121">
        <f ca="1">IF($C121-L$1&lt;År1,0,K120*(1-VLOOKUP($A121,[1]Hugst!$R$5:$W$9,MATCH(ROUNDUP((L$1)/10,0)*10,[1]Hugst!$R$4:$W$4,0))))</f>
        <v>1067.9031222016511</v>
      </c>
      <c r="M121">
        <f ca="1">IF($C121-M$1&lt;År1,0,L120*(1-VLOOKUP($A121,[1]Hugst!$R$5:$W$9,MATCH(ROUNDUP((M$1)/10,0)*10,[1]Hugst!$R$4:$W$4,0))))</f>
        <v>1067.0841436810833</v>
      </c>
      <c r="N121">
        <f ca="1">IF($C121-N$1&lt;År1,0,M120*(1-VLOOKUP($A121,[1]Hugst!$R$5:$W$9,MATCH(ROUNDUP((N$1)/10,0)*10,[1]Hugst!$R$4:$W$4,0))))</f>
        <v>1066.5122258743631</v>
      </c>
      <c r="O121">
        <f ca="1">IF($C121-O$1&lt;År1,0,N120*(1-VLOOKUP($A121,[1]Hugst!$R$5:$W$9,MATCH(ROUNDUP((O$1)/10,0)*10,[1]Hugst!$R$4:$W$4,0))))</f>
        <v>1065.9416347616589</v>
      </c>
      <c r="P121">
        <f ca="1">IF($C121-P$1&lt;År1,0,O120*(1-VLOOKUP($A121,[1]Hugst!$R$5:$W$9,MATCH(ROUNDUP((P$1)/10,0)*10,[1]Hugst!$R$4:$W$4,0))))</f>
        <v>1063.7472391136741</v>
      </c>
      <c r="Q121">
        <f ca="1">IF($C121-Q$1&lt;År1,0,P120*(1-VLOOKUP($A121,[1]Hugst!$R$5:$W$9,MATCH(ROUNDUP((Q$1)/10,0)*10,[1]Hugst!$R$4:$W$4,0))))</f>
        <v>1061.5584066876643</v>
      </c>
      <c r="R121">
        <f ca="1">IF($C121-R$1&lt;År1,0,Q120*(1-VLOOKUP($A121,[1]Hugst!$R$5:$W$9,MATCH(ROUNDUP((R$1)/10,0)*10,[1]Hugst!$R$4:$W$4,0))))</f>
        <v>1059.3751367351203</v>
      </c>
      <c r="S121">
        <f ca="1">IF($C121-S$1&lt;År1,0,R120*(1-VLOOKUP($A121,[1]Hugst!$R$5:$W$9,MATCH(ROUNDUP((S$1)/10,0)*10,[1]Hugst!$R$4:$W$4,0))))</f>
        <v>1057.197428535736</v>
      </c>
      <c r="T121">
        <f ca="1">IF($C121-T$1&lt;År1,0,S120*(1-VLOOKUP($A121,[1]Hugst!$R$5:$W$9,MATCH(ROUNDUP((T$1)/10,0)*10,[1]Hugst!$R$4:$W$4,0))))</f>
        <v>1055.0252813974223</v>
      </c>
      <c r="U121">
        <f ca="1">IF($C121-U$1&lt;År1,0,T120*(1-VLOOKUP($A121,[1]Hugst!$R$5:$W$9,MATCH(ROUNDUP((U$1)/10,0)*10,[1]Hugst!$R$4:$W$4,0))))</f>
        <v>1052.858694656308</v>
      </c>
      <c r="V121">
        <f ca="1">IF($C121-V$1&lt;År1,0,U120*(1-VLOOKUP($A121,[1]Hugst!$R$5:$W$9,MATCH(ROUNDUP((V$1)/10,0)*10,[1]Hugst!$R$4:$W$4,0))))</f>
        <v>1141.8372351520331</v>
      </c>
      <c r="W121">
        <f ca="1">IF($C121-W$1&lt;År1,0,V120*(1-VLOOKUP($A121,[1]Hugst!$R$5:$W$9,MATCH(ROUNDUP((W$1)/10,0)*10,[1]Hugst!$R$4:$W$4,0))))</f>
        <v>1139.5427408683011</v>
      </c>
      <c r="X121">
        <f ca="1">IF($C121-X$1&lt;År1,0,W120*(1-VLOOKUP($A121,[1]Hugst!$R$5:$W$9,MATCH(ROUNDUP((X$1)/10,0)*10,[1]Hugst!$R$4:$W$4,0))))</f>
        <v>1139.0111607836191</v>
      </c>
      <c r="Y121">
        <f ca="1">IF($C121-Y$1&lt;År1,0,X120*(1-VLOOKUP($A121,[1]Hugst!$R$5:$W$9,MATCH(ROUNDUP((Y$1)/10,0)*10,[1]Hugst!$R$4:$W$4,0))))</f>
        <v>1138.4846054432321</v>
      </c>
      <c r="Z121">
        <f ca="1">IF($C121-Z$1&lt;År1,0,Y120*(1-VLOOKUP($A121,[1]Hugst!$R$5:$W$9,MATCH(ROUNDUP((Z$1)/10,0)*10,[1]Hugst!$R$4:$W$4,0))))</f>
        <v>1137.7216196917914</v>
      </c>
      <c r="AA121">
        <f ca="1">IF($C121-AA$1&lt;År1,0,Z120*(1-VLOOKUP($A121,[1]Hugst!$R$5:$W$9,MATCH(ROUNDUP((AA$1)/10,0)*10,[1]Hugst!$R$4:$W$4,0))))</f>
        <v>1136.9639432213621</v>
      </c>
      <c r="AB121">
        <f ca="1">IF($C121-AB$1&lt;År1,0,AA120*(1-VLOOKUP($A121,[1]Hugst!$R$5:$W$9,MATCH(ROUNDUP((AB$1)/10,0)*10,[1]Hugst!$R$4:$W$4,0))))</f>
        <v>1136.2115798713951</v>
      </c>
      <c r="AC121">
        <f ca="1">IF($C121-AC$1&lt;År1,0,AB120*(1-VLOOKUP($A121,[1]Hugst!$R$5:$W$9,MATCH(ROUNDUP((AC$1)/10,0)*10,[1]Hugst!$R$4:$W$4,0))))</f>
        <v>1135.4645335174355</v>
      </c>
      <c r="AD121">
        <f ca="1">IF($C121-AD$1&lt;År1,0,AC120*(1-VLOOKUP($A121,[1]Hugst!$R$5:$W$9,MATCH(ROUNDUP((AD$1)/10,0)*10,[1]Hugst!$R$4:$W$4,0))))</f>
        <v>1134.7228080713271</v>
      </c>
      <c r="AE121">
        <f ca="1">IF($C121-AE$1&lt;År1,0,AD120*(1-VLOOKUP($A121,[1]Hugst!$R$5:$W$9,MATCH(ROUNDUP((AE$1)/10,0)*10,[1]Hugst!$R$4:$W$4,0))))</f>
        <v>1133.9864074811876</v>
      </c>
      <c r="AF121">
        <f ca="1">IF($C121-AF$1&lt;År1,0,AE120*(1-VLOOKUP($A121,[1]Hugst!$R$5:$W$9,MATCH(ROUNDUP((AF$1)/10,0)*10,[1]Hugst!$R$4:$W$4,0))))</f>
        <v>1133.255335731563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222.4521999047538</v>
      </c>
      <c r="E122">
        <f t="shared" ca="1" si="2"/>
        <v>32.316045028263034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1072.7380666065419</v>
      </c>
      <c r="G122">
        <f ca="1">IF($C122-G$1&lt;År1,0,F121*(1-VLOOKUP($A122,[1]Hugst!$R$5:$W$9,MATCH(ROUNDUP((G$1)/10,0)*10,[1]Hugst!$R$4:$W$4,0))))</f>
        <v>1072.0381532587317</v>
      </c>
      <c r="H122">
        <f ca="1">IF($C122-H$1&lt;År1,0,G121*(1-VLOOKUP($A122,[1]Hugst!$R$5:$W$9,MATCH(ROUNDUP((H$1)/10,0)*10,[1]Hugst!$R$4:$W$4,0))))</f>
        <v>1071.3412758416953</v>
      </c>
      <c r="I122">
        <f ca="1">IF($C122-I$1&lt;År1,0,H121*(1-VLOOKUP($A122,[1]Hugst!$R$5:$W$9,MATCH(ROUNDUP((I$1)/10,0)*10,[1]Hugst!$R$4:$W$4,0))))</f>
        <v>1070.6474540997415</v>
      </c>
      <c r="J122">
        <f ca="1">IF($C122-J$1&lt;År1,0,I121*(1-VLOOKUP($A122,[1]Hugst!$R$5:$W$9,MATCH(ROUNDUP((J$1)/10,0)*10,[1]Hugst!$R$4:$W$4,0))))</f>
        <v>1069.9567078749214</v>
      </c>
      <c r="K122">
        <f ca="1">IF($C122-K$1&lt;År1,0,J121*(1-VLOOKUP($A122,[1]Hugst!$R$5:$W$9,MATCH(ROUNDUP((K$1)/10,0)*10,[1]Hugst!$R$4:$W$4,0))))</f>
        <v>1069.2690571076328</v>
      </c>
      <c r="L122">
        <f ca="1">IF($C122-L$1&lt;År1,0,K121*(1-VLOOKUP($A122,[1]Hugst!$R$5:$W$9,MATCH(ROUNDUP((L$1)/10,0)*10,[1]Hugst!$R$4:$W$4,0))))</f>
        <v>1068.5845218370669</v>
      </c>
      <c r="M122">
        <f ca="1">IF($C122-M$1&lt;År1,0,L121*(1-VLOOKUP($A122,[1]Hugst!$R$5:$W$9,MATCH(ROUNDUP((M$1)/10,0)*10,[1]Hugst!$R$4:$W$4,0))))</f>
        <v>1067.9031222016511</v>
      </c>
      <c r="N122">
        <f ca="1">IF($C122-N$1&lt;År1,0,M121*(1-VLOOKUP($A122,[1]Hugst!$R$5:$W$9,MATCH(ROUNDUP((N$1)/10,0)*10,[1]Hugst!$R$4:$W$4,0))))</f>
        <v>1067.0841436810833</v>
      </c>
      <c r="O122">
        <f ca="1">IF($C122-O$1&lt;År1,0,N121*(1-VLOOKUP($A122,[1]Hugst!$R$5:$W$9,MATCH(ROUNDUP((O$1)/10,0)*10,[1]Hugst!$R$4:$W$4,0))))</f>
        <v>1066.5122258743631</v>
      </c>
      <c r="P122">
        <f ca="1">IF($C122-P$1&lt;År1,0,O121*(1-VLOOKUP($A122,[1]Hugst!$R$5:$W$9,MATCH(ROUNDUP((P$1)/10,0)*10,[1]Hugst!$R$4:$W$4,0))))</f>
        <v>1064.3156220984631</v>
      </c>
      <c r="Q122">
        <f ca="1">IF($C122-Q$1&lt;År1,0,P121*(1-VLOOKUP($A122,[1]Hugst!$R$5:$W$9,MATCH(ROUNDUP((Q$1)/10,0)*10,[1]Hugst!$R$4:$W$4,0))))</f>
        <v>1062.1245738336702</v>
      </c>
      <c r="R122">
        <f ca="1">IF($C122-R$1&lt;År1,0,Q121*(1-VLOOKUP($A122,[1]Hugst!$R$5:$W$9,MATCH(ROUNDUP((R$1)/10,0)*10,[1]Hugst!$R$4:$W$4,0))))</f>
        <v>1059.9390803045815</v>
      </c>
      <c r="S122">
        <f ca="1">IF($C122-S$1&lt;År1,0,R121*(1-VLOOKUP($A122,[1]Hugst!$R$5:$W$9,MATCH(ROUNDUP((S$1)/10,0)*10,[1]Hugst!$R$4:$W$4,0))))</f>
        <v>1057.7591407638295</v>
      </c>
      <c r="T122">
        <f ca="1">IF($C122-T$1&lt;År1,0,S121*(1-VLOOKUP($A122,[1]Hugst!$R$5:$W$9,MATCH(ROUNDUP((T$1)/10,0)*10,[1]Hugst!$R$4:$W$4,0))))</f>
        <v>1055.5847544922069</v>
      </c>
      <c r="U122">
        <f ca="1">IF($C122-U$1&lt;År1,0,T121*(1-VLOOKUP($A122,[1]Hugst!$R$5:$W$9,MATCH(ROUNDUP((U$1)/10,0)*10,[1]Hugst!$R$4:$W$4,0))))</f>
        <v>1053.4159207986804</v>
      </c>
      <c r="V122">
        <f ca="1">IF($C122-V$1&lt;År1,0,U121*(1-VLOOKUP($A122,[1]Hugst!$R$5:$W$9,MATCH(ROUNDUP((V$1)/10,0)*10,[1]Hugst!$R$4:$W$4,0))))</f>
        <v>1051.2526390203916</v>
      </c>
      <c r="W122">
        <f ca="1">IF($C122-W$1&lt;År1,0,V121*(1-VLOOKUP($A122,[1]Hugst!$R$5:$W$9,MATCH(ROUNDUP((W$1)/10,0)*10,[1]Hugst!$R$4:$W$4,0))))</f>
        <v>1140.0954495390893</v>
      </c>
      <c r="X122">
        <f ca="1">IF($C122-X$1&lt;År1,0,W121*(1-VLOOKUP($A122,[1]Hugst!$R$5:$W$9,MATCH(ROUNDUP((X$1)/10,0)*10,[1]Hugst!$R$4:$W$4,0))))</f>
        <v>1137.8044553313832</v>
      </c>
      <c r="Y122">
        <f ca="1">IF($C122-Y$1&lt;År1,0,X121*(1-VLOOKUP($A122,[1]Hugst!$R$5:$W$9,MATCH(ROUNDUP((Y$1)/10,0)*10,[1]Hugst!$R$4:$W$4,0))))</f>
        <v>1137.2736861315761</v>
      </c>
      <c r="Z122">
        <f ca="1">IF($C122-Z$1&lt;År1,0,Y121*(1-VLOOKUP($A122,[1]Hugst!$R$5:$W$9,MATCH(ROUNDUP((Z$1)/10,0)*10,[1]Hugst!$R$4:$W$4,0))))</f>
        <v>1136.50672964564</v>
      </c>
      <c r="AA122">
        <f ca="1">IF($C122-AA$1&lt;År1,0,Z121*(1-VLOOKUP($A122,[1]Hugst!$R$5:$W$9,MATCH(ROUNDUP((AA$1)/10,0)*10,[1]Hugst!$R$4:$W$4,0))))</f>
        <v>1135.7450694202928</v>
      </c>
      <c r="AB122">
        <f ca="1">IF($C122-AB$1&lt;År1,0,AA121*(1-VLOOKUP($A122,[1]Hugst!$R$5:$W$9,MATCH(ROUNDUP((AB$1)/10,0)*10,[1]Hugst!$R$4:$W$4,0))))</f>
        <v>1134.9887092522063</v>
      </c>
      <c r="AC122">
        <f ca="1">IF($C122-AC$1&lt;År1,0,AB121*(1-VLOOKUP($A122,[1]Hugst!$R$5:$W$9,MATCH(ROUNDUP((AC$1)/10,0)*10,[1]Hugst!$R$4:$W$4,0))))</f>
        <v>1134.2376529741609</v>
      </c>
      <c r="AD122">
        <f ca="1">IF($C122-AD$1&lt;År1,0,AC121*(1-VLOOKUP($A122,[1]Hugst!$R$5:$W$9,MATCH(ROUNDUP((AD$1)/10,0)*10,[1]Hugst!$R$4:$W$4,0))))</f>
        <v>1133.4919044549688</v>
      </c>
      <c r="AE122">
        <f ca="1">IF($C122-AE$1&lt;År1,0,AD121*(1-VLOOKUP($A122,[1]Hugst!$R$5:$W$9,MATCH(ROUNDUP((AE$1)/10,0)*10,[1]Hugst!$R$4:$W$4,0))))</f>
        <v>1132.7514675996777</v>
      </c>
      <c r="AF122">
        <f ca="1">IF($C122-AF$1&lt;År1,0,AE121*(1-VLOOKUP($A122,[1]Hugst!$R$5:$W$9,MATCH(ROUNDUP((AF$1)/10,0)*10,[1]Hugst!$R$4:$W$4,0))))</f>
        <v>1132.0163463495464</v>
      </c>
      <c r="AG122">
        <f ca="1">IF($C122-AG$1&lt;År1,0,AF121*(1-VLOOKUP($A122,[1]Hugst!$R$5:$W$9,MATCH(ROUNDUP((AG$1)/10,0)*10,[1]Hugst!$R$4:$W$4,0))))</f>
        <v>1131.2865446821988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221.33993890523561</v>
      </c>
      <c r="E123">
        <f t="shared" ca="1" si="2"/>
        <v>34.131235659540835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1073.4409962383015</v>
      </c>
      <c r="G123">
        <f ca="1">IF($C123-G$1&lt;År1,0,F122*(1-VLOOKUP($A123,[1]Hugst!$R$5:$W$9,MATCH(ROUNDUP((G$1)/10,0)*10,[1]Hugst!$R$4:$W$4,0))))</f>
        <v>1072.7380666065419</v>
      </c>
      <c r="H123">
        <f ca="1">IF($C123-H$1&lt;År1,0,G122*(1-VLOOKUP($A123,[1]Hugst!$R$5:$W$9,MATCH(ROUNDUP((H$1)/10,0)*10,[1]Hugst!$R$4:$W$4,0))))</f>
        <v>1072.0381532587317</v>
      </c>
      <c r="I123">
        <f ca="1">IF($C123-I$1&lt;År1,0,H122*(1-VLOOKUP($A123,[1]Hugst!$R$5:$W$9,MATCH(ROUNDUP((I$1)/10,0)*10,[1]Hugst!$R$4:$W$4,0))))</f>
        <v>1071.3412758416953</v>
      </c>
      <c r="J123">
        <f ca="1">IF($C123-J$1&lt;År1,0,I122*(1-VLOOKUP($A123,[1]Hugst!$R$5:$W$9,MATCH(ROUNDUP((J$1)/10,0)*10,[1]Hugst!$R$4:$W$4,0))))</f>
        <v>1070.6474540997415</v>
      </c>
      <c r="K123">
        <f ca="1">IF($C123-K$1&lt;År1,0,J122*(1-VLOOKUP($A123,[1]Hugst!$R$5:$W$9,MATCH(ROUNDUP((K$1)/10,0)*10,[1]Hugst!$R$4:$W$4,0))))</f>
        <v>1069.9567078749214</v>
      </c>
      <c r="L123">
        <f ca="1">IF($C123-L$1&lt;År1,0,K122*(1-VLOOKUP($A123,[1]Hugst!$R$5:$W$9,MATCH(ROUNDUP((L$1)/10,0)*10,[1]Hugst!$R$4:$W$4,0))))</f>
        <v>1069.2690571076328</v>
      </c>
      <c r="M123">
        <f ca="1">IF($C123-M$1&lt;År1,0,L122*(1-VLOOKUP($A123,[1]Hugst!$R$5:$W$9,MATCH(ROUNDUP((M$1)/10,0)*10,[1]Hugst!$R$4:$W$4,0))))</f>
        <v>1068.5845218370669</v>
      </c>
      <c r="N123">
        <f ca="1">IF($C123-N$1&lt;År1,0,M122*(1-VLOOKUP($A123,[1]Hugst!$R$5:$W$9,MATCH(ROUNDUP((N$1)/10,0)*10,[1]Hugst!$R$4:$W$4,0))))</f>
        <v>1067.9031222016511</v>
      </c>
      <c r="O123">
        <f ca="1">IF($C123-O$1&lt;År1,0,N122*(1-VLOOKUP($A123,[1]Hugst!$R$5:$W$9,MATCH(ROUNDUP((O$1)/10,0)*10,[1]Hugst!$R$4:$W$4,0))))</f>
        <v>1067.0841436810833</v>
      </c>
      <c r="P123">
        <f ca="1">IF($C123-P$1&lt;År1,0,O122*(1-VLOOKUP($A123,[1]Hugst!$R$5:$W$9,MATCH(ROUNDUP((P$1)/10,0)*10,[1]Hugst!$R$4:$W$4,0))))</f>
        <v>1064.8853428179445</v>
      </c>
      <c r="Q123">
        <f ca="1">IF($C123-Q$1&lt;År1,0,P122*(1-VLOOKUP($A123,[1]Hugst!$R$5:$W$9,MATCH(ROUNDUP((Q$1)/10,0)*10,[1]Hugst!$R$4:$W$4,0))))</f>
        <v>1062.6920897935672</v>
      </c>
      <c r="R123">
        <f ca="1">IF($C123-R$1&lt;År1,0,Q122*(1-VLOOKUP($A123,[1]Hugst!$R$5:$W$9,MATCH(ROUNDUP((R$1)/10,0)*10,[1]Hugst!$R$4:$W$4,0))))</f>
        <v>1060.5043838057884</v>
      </c>
      <c r="S123">
        <f ca="1">IF($C123-S$1&lt;År1,0,R122*(1-VLOOKUP($A123,[1]Hugst!$R$5:$W$9,MATCH(ROUNDUP((S$1)/10,0)*10,[1]Hugst!$R$4:$W$4,0))))</f>
        <v>1058.322224080388</v>
      </c>
      <c r="T123">
        <f ca="1">IF($C123-T$1&lt;År1,0,S122*(1-VLOOKUP($A123,[1]Hugst!$R$5:$W$9,MATCH(ROUNDUP((T$1)/10,0)*10,[1]Hugst!$R$4:$W$4,0))))</f>
        <v>1056.1456098711387</v>
      </c>
      <c r="U123">
        <f ca="1">IF($C123-U$1&lt;År1,0,T122*(1-VLOOKUP($A123,[1]Hugst!$R$5:$W$9,MATCH(ROUNDUP((U$1)/10,0)*10,[1]Hugst!$R$4:$W$4,0))))</f>
        <v>1053.9745404599307</v>
      </c>
      <c r="V123">
        <f ca="1">IF($C123-V$1&lt;År1,0,U122*(1-VLOOKUP($A123,[1]Hugst!$R$5:$W$9,MATCH(ROUNDUP((V$1)/10,0)*10,[1]Hugst!$R$4:$W$4,0))))</f>
        <v>1051.8090151567842</v>
      </c>
      <c r="W123">
        <f ca="1">IF($C123-W$1&lt;År1,0,V122*(1-VLOOKUP($A123,[1]Hugst!$R$5:$W$9,MATCH(ROUNDUP((W$1)/10,0)*10,[1]Hugst!$R$4:$W$4,0))))</f>
        <v>1049.6490332998519</v>
      </c>
      <c r="X123">
        <f ca="1">IF($C123-X$1&lt;År1,0,W122*(1-VLOOKUP($A123,[1]Hugst!$R$5:$W$9,MATCH(ROUNDUP((X$1)/10,0)*10,[1]Hugst!$R$4:$W$4,0))))</f>
        <v>1138.3563208872499</v>
      </c>
      <c r="Y123">
        <f ca="1">IF($C123-Y$1&lt;År1,0,X122*(1-VLOOKUP($A123,[1]Hugst!$R$5:$W$9,MATCH(ROUNDUP((Y$1)/10,0)*10,[1]Hugst!$R$4:$W$4,0))))</f>
        <v>1136.0688214164709</v>
      </c>
      <c r="Z123">
        <f ca="1">IF($C123-Z$1&lt;År1,0,Y122*(1-VLOOKUP($A123,[1]Hugst!$R$5:$W$9,MATCH(ROUNDUP((Z$1)/10,0)*10,[1]Hugst!$R$4:$W$4,0))))</f>
        <v>1135.2979140497373</v>
      </c>
      <c r="AA123">
        <f ca="1">IF($C123-AA$1&lt;År1,0,Z122*(1-VLOOKUP($A123,[1]Hugst!$R$5:$W$9,MATCH(ROUNDUP((AA$1)/10,0)*10,[1]Hugst!$R$4:$W$4,0))))</f>
        <v>1134.5322899882046</v>
      </c>
      <c r="AB123">
        <f ca="1">IF($C123-AB$1&lt;År1,0,AA122*(1-VLOOKUP($A123,[1]Hugst!$R$5:$W$9,MATCH(ROUNDUP((AB$1)/10,0)*10,[1]Hugst!$R$4:$W$4,0))))</f>
        <v>1133.7719529861304</v>
      </c>
      <c r="AC123">
        <f ca="1">IF($C123-AC$1&lt;År1,0,AB122*(1-VLOOKUP($A123,[1]Hugst!$R$5:$W$9,MATCH(ROUNDUP((AC$1)/10,0)*10,[1]Hugst!$R$4:$W$4,0))))</f>
        <v>1133.0169068335902</v>
      </c>
      <c r="AD123">
        <f ca="1">IF($C123-AD$1&lt;År1,0,AC122*(1-VLOOKUP($A123,[1]Hugst!$R$5:$W$9,MATCH(ROUNDUP((AD$1)/10,0)*10,[1]Hugst!$R$4:$W$4,0))))</f>
        <v>1132.2671553567059</v>
      </c>
      <c r="AE123">
        <f ca="1">IF($C123-AE$1&lt;År1,0,AD122*(1-VLOOKUP($A123,[1]Hugst!$R$5:$W$9,MATCH(ROUNDUP((AE$1)/10,0)*10,[1]Hugst!$R$4:$W$4,0))))</f>
        <v>1131.5227024175681</v>
      </c>
      <c r="AF123">
        <f ca="1">IF($C123-AF$1&lt;År1,0,AE122*(1-VLOOKUP($A123,[1]Hugst!$R$5:$W$9,MATCH(ROUNDUP((AF$1)/10,0)*10,[1]Hugst!$R$4:$W$4,0))))</f>
        <v>1130.783551914441</v>
      </c>
      <c r="AG123">
        <f ca="1">IF($C123-AG$1&lt;År1,0,AF122*(1-VLOOKUP($A123,[1]Hugst!$R$5:$W$9,MATCH(ROUNDUP((AG$1)/10,0)*10,[1]Hugst!$R$4:$W$4,0))))</f>
        <v>1130.0497077817358</v>
      </c>
      <c r="AH123">
        <f ca="1">IF($C123-AH$1&lt;År1,0,AG122*(1-VLOOKUP($A123,[1]Hugst!$R$5:$W$9,MATCH(ROUNDUP((AH$1)/10,0)*10,[1]Hugst!$R$4:$W$4,0))))</f>
        <v>1129.3211739901662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220.23323921071733</v>
      </c>
      <c r="E124">
        <f t="shared" ca="1" si="2"/>
        <v>35.94386171970109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1074.1469226039435</v>
      </c>
      <c r="G124">
        <f ca="1">IF($C124-G$1&lt;År1,0,F123*(1-VLOOKUP($A124,[1]Hugst!$R$5:$W$9,MATCH(ROUNDUP((G$1)/10,0)*10,[1]Hugst!$R$4:$W$4,0))))</f>
        <v>1073.4409962383015</v>
      </c>
      <c r="H124">
        <f ca="1">IF($C124-H$1&lt;År1,0,G123*(1-VLOOKUP($A124,[1]Hugst!$R$5:$W$9,MATCH(ROUNDUP((H$1)/10,0)*10,[1]Hugst!$R$4:$W$4,0))))</f>
        <v>1072.7380666065419</v>
      </c>
      <c r="I124">
        <f ca="1">IF($C124-I$1&lt;År1,0,H123*(1-VLOOKUP($A124,[1]Hugst!$R$5:$W$9,MATCH(ROUNDUP((I$1)/10,0)*10,[1]Hugst!$R$4:$W$4,0))))</f>
        <v>1072.0381532587317</v>
      </c>
      <c r="J124">
        <f ca="1">IF($C124-J$1&lt;År1,0,I123*(1-VLOOKUP($A124,[1]Hugst!$R$5:$W$9,MATCH(ROUNDUP((J$1)/10,0)*10,[1]Hugst!$R$4:$W$4,0))))</f>
        <v>1071.3412758416953</v>
      </c>
      <c r="K124">
        <f ca="1">IF($C124-K$1&lt;År1,0,J123*(1-VLOOKUP($A124,[1]Hugst!$R$5:$W$9,MATCH(ROUNDUP((K$1)/10,0)*10,[1]Hugst!$R$4:$W$4,0))))</f>
        <v>1070.6474540997415</v>
      </c>
      <c r="L124">
        <f ca="1">IF($C124-L$1&lt;År1,0,K123*(1-VLOOKUP($A124,[1]Hugst!$R$5:$W$9,MATCH(ROUNDUP((L$1)/10,0)*10,[1]Hugst!$R$4:$W$4,0))))</f>
        <v>1069.9567078749214</v>
      </c>
      <c r="M124">
        <f ca="1">IF($C124-M$1&lt;År1,0,L123*(1-VLOOKUP($A124,[1]Hugst!$R$5:$W$9,MATCH(ROUNDUP((M$1)/10,0)*10,[1]Hugst!$R$4:$W$4,0))))</f>
        <v>1069.2690571076328</v>
      </c>
      <c r="N124">
        <f ca="1">IF($C124-N$1&lt;År1,0,M123*(1-VLOOKUP($A124,[1]Hugst!$R$5:$W$9,MATCH(ROUNDUP((N$1)/10,0)*10,[1]Hugst!$R$4:$W$4,0))))</f>
        <v>1068.5845218370669</v>
      </c>
      <c r="O124">
        <f ca="1">IF($C124-O$1&lt;År1,0,N123*(1-VLOOKUP($A124,[1]Hugst!$R$5:$W$9,MATCH(ROUNDUP((O$1)/10,0)*10,[1]Hugst!$R$4:$W$4,0))))</f>
        <v>1067.9031222016511</v>
      </c>
      <c r="P124">
        <f ca="1">IF($C124-P$1&lt;År1,0,O123*(1-VLOOKUP($A124,[1]Hugst!$R$5:$W$9,MATCH(ROUNDUP((P$1)/10,0)*10,[1]Hugst!$R$4:$W$4,0))))</f>
        <v>1065.4563882076716</v>
      </c>
      <c r="Q124">
        <f ca="1">IF($C124-Q$1&lt;År1,0,P123*(1-VLOOKUP($A124,[1]Hugst!$R$5:$W$9,MATCH(ROUNDUP((Q$1)/10,0)*10,[1]Hugst!$R$4:$W$4,0))))</f>
        <v>1063.2609414475442</v>
      </c>
      <c r="R124">
        <f ca="1">IF($C124-R$1&lt;År1,0,Q123*(1-VLOOKUP($A124,[1]Hugst!$R$5:$W$9,MATCH(ROUNDUP((R$1)/10,0)*10,[1]Hugst!$R$4:$W$4,0))))</f>
        <v>1061.0710340633736</v>
      </c>
      <c r="S124">
        <f ca="1">IF($C124-S$1&lt;År1,0,R123*(1-VLOOKUP($A124,[1]Hugst!$R$5:$W$9,MATCH(ROUNDUP((S$1)/10,0)*10,[1]Hugst!$R$4:$W$4,0))))</f>
        <v>1058.8866652542201</v>
      </c>
      <c r="T124">
        <f ca="1">IF($C124-T$1&lt;År1,0,S123*(1-VLOOKUP($A124,[1]Hugst!$R$5:$W$9,MATCH(ROUNDUP((T$1)/10,0)*10,[1]Hugst!$R$4:$W$4,0))))</f>
        <v>1056.707834247045</v>
      </c>
      <c r="U124">
        <f ca="1">IF($C124-U$1&lt;År1,0,T123*(1-VLOOKUP($A124,[1]Hugst!$R$5:$W$9,MATCH(ROUNDUP((U$1)/10,0)*10,[1]Hugst!$R$4:$W$4,0))))</f>
        <v>1054.5345402967589</v>
      </c>
      <c r="V124">
        <f ca="1">IF($C124-V$1&lt;År1,0,U123*(1-VLOOKUP($A124,[1]Hugst!$R$5:$W$9,MATCH(ROUNDUP((V$1)/10,0)*10,[1]Hugst!$R$4:$W$4,0))))</f>
        <v>1052.3667826863477</v>
      </c>
      <c r="W124">
        <f ca="1">IF($C124-W$1&lt;År1,0,V123*(1-VLOOKUP($A124,[1]Hugst!$R$5:$W$9,MATCH(ROUNDUP((W$1)/10,0)*10,[1]Hugst!$R$4:$W$4,0))))</f>
        <v>1050.204560726884</v>
      </c>
      <c r="X124">
        <f ca="1">IF($C124-X$1&lt;År1,0,W123*(1-VLOOKUP($A124,[1]Hugst!$R$5:$W$9,MATCH(ROUNDUP((X$1)/10,0)*10,[1]Hugst!$R$4:$W$4,0))))</f>
        <v>1048.0478737575302</v>
      </c>
      <c r="Y124">
        <f ca="1">IF($C124-Y$1&lt;År1,0,X123*(1-VLOOKUP($A124,[1]Hugst!$R$5:$W$9,MATCH(ROUNDUP((Y$1)/10,0)*10,[1]Hugst!$R$4:$W$4,0))))</f>
        <v>1136.6198451435237</v>
      </c>
      <c r="Z124">
        <f ca="1">IF($C124-Z$1&lt;År1,0,Y123*(1-VLOOKUP($A124,[1]Hugst!$R$5:$W$9,MATCH(ROUNDUP((Z$1)/10,0)*10,[1]Hugst!$R$4:$W$4,0))))</f>
        <v>1134.0951425318067</v>
      </c>
      <c r="AA124">
        <f ca="1">IF($C124-AA$1&lt;År1,0,Z123*(1-VLOOKUP($A124,[1]Hugst!$R$5:$W$9,MATCH(ROUNDUP((AA$1)/10,0)*10,[1]Hugst!$R$4:$W$4,0))))</f>
        <v>1133.3255744532948</v>
      </c>
      <c r="AB124">
        <f ca="1">IF($C124-AB$1&lt;År1,0,AA123*(1-VLOOKUP($A124,[1]Hugst!$R$5:$W$9,MATCH(ROUNDUP((AB$1)/10,0)*10,[1]Hugst!$R$4:$W$4,0))))</f>
        <v>1132.5612805013607</v>
      </c>
      <c r="AC124">
        <f ca="1">IF($C124-AC$1&lt;År1,0,AB123*(1-VLOOKUP($A124,[1]Hugst!$R$5:$W$9,MATCH(ROUNDUP((AC$1)/10,0)*10,[1]Hugst!$R$4:$W$4,0))))</f>
        <v>1131.8022644237392</v>
      </c>
      <c r="AD124">
        <f ca="1">IF($C124-AD$1&lt;År1,0,AC123*(1-VLOOKUP($A124,[1]Hugst!$R$5:$W$9,MATCH(ROUNDUP((AD$1)/10,0)*10,[1]Hugst!$R$4:$W$4,0))))</f>
        <v>1131.0485300039215</v>
      </c>
      <c r="AE124">
        <f ca="1">IF($C124-AE$1&lt;År1,0,AD123*(1-VLOOKUP($A124,[1]Hugst!$R$5:$W$9,MATCH(ROUNDUP((AE$1)/10,0)*10,[1]Hugst!$R$4:$W$4,0))))</f>
        <v>1130.3000810613828</v>
      </c>
      <c r="AF124">
        <f ca="1">IF($C124-AF$1&lt;År1,0,AE123*(1-VLOOKUP($A124,[1]Hugst!$R$5:$W$9,MATCH(ROUNDUP((AF$1)/10,0)*10,[1]Hugst!$R$4:$W$4,0))))</f>
        <v>1129.5569214515037</v>
      </c>
      <c r="AG124">
        <f ca="1">IF($C124-AG$1&lt;År1,0,AF123*(1-VLOOKUP($A124,[1]Hugst!$R$5:$W$9,MATCH(ROUNDUP((AG$1)/10,0)*10,[1]Hugst!$R$4:$W$4,0))))</f>
        <v>1128.819055065776</v>
      </c>
      <c r="AH124">
        <f ca="1">IF($C124-AH$1&lt;År1,0,AG123*(1-VLOOKUP($A124,[1]Hugst!$R$5:$W$9,MATCH(ROUNDUP((AH$1)/10,0)*10,[1]Hugst!$R$4:$W$4,0))))</f>
        <v>1128.0864858317759</v>
      </c>
      <c r="AI124">
        <f ca="1">IF($C124-AI$1&lt;År1,0,AH123*(1-VLOOKUP($A124,[1]Hugst!$R$5:$W$9,MATCH(ROUNDUP((AI$1)/10,0)*10,[1]Hugst!$R$4:$W$4,0))))</f>
        <v>1127.3592177133189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219.13207301466082</v>
      </c>
      <c r="E125">
        <f ca="1">IF(C125=2020,SUM(G125:AJ125),SUM(F124:AJ124)-SUM(G125:AJ125))</f>
        <v>36.799287996400381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1073.9011826845863</v>
      </c>
      <c r="G125">
        <f ca="1">IF($C125-G$1&lt;År1,0,F124*(1-VLOOKUP($A125,[1]Hugst!$R$5:$W$9,MATCH(ROUNDUP((G$1)/10,0)*10,[1]Hugst!$R$4:$W$4,0))))</f>
        <v>1074.1469226039435</v>
      </c>
      <c r="H125">
        <f ca="1">IF($C125-H$1&lt;År1,0,G124*(1-VLOOKUP($A125,[1]Hugst!$R$5:$W$9,MATCH(ROUNDUP((H$1)/10,0)*10,[1]Hugst!$R$4:$W$4,0))))</f>
        <v>1073.4409962383015</v>
      </c>
      <c r="I125">
        <f ca="1">IF($C125-I$1&lt;År1,0,H124*(1-VLOOKUP($A125,[1]Hugst!$R$5:$W$9,MATCH(ROUNDUP((I$1)/10,0)*10,[1]Hugst!$R$4:$W$4,0))))</f>
        <v>1072.7380666065419</v>
      </c>
      <c r="J125">
        <f ca="1">IF($C125-J$1&lt;År1,0,I124*(1-VLOOKUP($A125,[1]Hugst!$R$5:$W$9,MATCH(ROUNDUP((J$1)/10,0)*10,[1]Hugst!$R$4:$W$4,0))))</f>
        <v>1072.0381532587317</v>
      </c>
      <c r="K125">
        <f ca="1">IF($C125-K$1&lt;År1,0,J124*(1-VLOOKUP($A125,[1]Hugst!$R$5:$W$9,MATCH(ROUNDUP((K$1)/10,0)*10,[1]Hugst!$R$4:$W$4,0))))</f>
        <v>1071.3412758416953</v>
      </c>
      <c r="L125">
        <f ca="1">IF($C125-L$1&lt;År1,0,K124*(1-VLOOKUP($A125,[1]Hugst!$R$5:$W$9,MATCH(ROUNDUP((L$1)/10,0)*10,[1]Hugst!$R$4:$W$4,0))))</f>
        <v>1070.6474540997415</v>
      </c>
      <c r="M125">
        <f ca="1">IF($C125-M$1&lt;År1,0,L124*(1-VLOOKUP($A125,[1]Hugst!$R$5:$W$9,MATCH(ROUNDUP((M$1)/10,0)*10,[1]Hugst!$R$4:$W$4,0))))</f>
        <v>1069.9567078749214</v>
      </c>
      <c r="N125">
        <f ca="1">IF($C125-N$1&lt;År1,0,M124*(1-VLOOKUP($A125,[1]Hugst!$R$5:$W$9,MATCH(ROUNDUP((N$1)/10,0)*10,[1]Hugst!$R$4:$W$4,0))))</f>
        <v>1069.2690571076328</v>
      </c>
      <c r="O125">
        <f ca="1">IF($C125-O$1&lt;År1,0,N124*(1-VLOOKUP($A125,[1]Hugst!$R$5:$W$9,MATCH(ROUNDUP((O$1)/10,0)*10,[1]Hugst!$R$4:$W$4,0))))</f>
        <v>1068.5845218370669</v>
      </c>
      <c r="P125">
        <f ca="1">IF($C125-P$1&lt;År1,0,O124*(1-VLOOKUP($A125,[1]Hugst!$R$5:$W$9,MATCH(ROUNDUP((P$1)/10,0)*10,[1]Hugst!$R$4:$W$4,0))))</f>
        <v>1066.2741174389705</v>
      </c>
      <c r="Q125">
        <f ca="1">IF($C125-Q$1&lt;År1,0,P124*(1-VLOOKUP($A125,[1]Hugst!$R$5:$W$9,MATCH(ROUNDUP((Q$1)/10,0)*10,[1]Hugst!$R$4:$W$4,0))))</f>
        <v>1063.8311157510836</v>
      </c>
      <c r="R125">
        <f ca="1">IF($C125-R$1&lt;År1,0,Q124*(1-VLOOKUP($A125,[1]Hugst!$R$5:$W$9,MATCH(ROUNDUP((R$1)/10,0)*10,[1]Hugst!$R$4:$W$4,0))))</f>
        <v>1061.6390179775394</v>
      </c>
      <c r="S125">
        <f ca="1">IF($C125-S$1&lt;År1,0,R124*(1-VLOOKUP($A125,[1]Hugst!$R$5:$W$9,MATCH(ROUNDUP((S$1)/10,0)*10,[1]Hugst!$R$4:$W$4,0))))</f>
        <v>1059.4524511300565</v>
      </c>
      <c r="T125">
        <f ca="1">IF($C125-T$1&lt;År1,0,S124*(1-VLOOKUP($A125,[1]Hugst!$R$5:$W$9,MATCH(ROUNDUP((T$1)/10,0)*10,[1]Hugst!$R$4:$W$4,0))))</f>
        <v>1057.2714144089171</v>
      </c>
      <c r="U125">
        <f ca="1">IF($C125-U$1&lt;År1,0,T124*(1-VLOOKUP($A125,[1]Hugst!$R$5:$W$9,MATCH(ROUNDUP((U$1)/10,0)*10,[1]Hugst!$R$4:$W$4,0))))</f>
        <v>1055.0959070422614</v>
      </c>
      <c r="V125">
        <f ca="1">IF($C125-V$1&lt;År1,0,U124*(1-VLOOKUP($A125,[1]Hugst!$R$5:$W$9,MATCH(ROUNDUP((V$1)/10,0)*10,[1]Hugst!$R$4:$W$4,0))))</f>
        <v>1052.9259282861367</v>
      </c>
      <c r="W125">
        <f ca="1">IF($C125-W$1&lt;År1,0,V124*(1-VLOOKUP($A125,[1]Hugst!$R$5:$W$9,MATCH(ROUNDUP((W$1)/10,0)*10,[1]Hugst!$R$4:$W$4,0))))</f>
        <v>1050.7614774246229</v>
      </c>
      <c r="X125">
        <f ca="1">IF($C125-X$1&lt;År1,0,W124*(1-VLOOKUP($A125,[1]Hugst!$R$5:$W$9,MATCH(ROUNDUP((X$1)/10,0)*10,[1]Hugst!$R$4:$W$4,0))))</f>
        <v>1048.6025537698429</v>
      </c>
      <c r="Y125">
        <f ca="1">IF($C125-Y$1&lt;År1,0,X124*(1-VLOOKUP($A125,[1]Hugst!$R$5:$W$9,MATCH(ROUNDUP((Y$1)/10,0)*10,[1]Hugst!$R$4:$W$4,0))))</f>
        <v>1046.4491566619679</v>
      </c>
      <c r="Z125">
        <f ca="1">IF($C125-Z$1&lt;År1,0,Y124*(1-VLOOKUP($A125,[1]Hugst!$R$5:$W$9,MATCH(ROUNDUP((Z$1)/10,0)*10,[1]Hugst!$R$4:$W$4,0))))</f>
        <v>1134.6452089718759</v>
      </c>
      <c r="AA125">
        <f ca="1">IF($C125-AA$1&lt;År1,0,Z124*(1-VLOOKUP($A125,[1]Hugst!$R$5:$W$9,MATCH(ROUNDUP((AA$1)/10,0)*10,[1]Hugst!$R$4:$W$4,0))))</f>
        <v>1132.1248924960523</v>
      </c>
      <c r="AB125">
        <f ca="1">IF($C125-AB$1&lt;År1,0,AA124*(1-VLOOKUP($A125,[1]Hugst!$R$5:$W$9,MATCH(ROUNDUP((AB$1)/10,0)*10,[1]Hugst!$R$4:$W$4,0))))</f>
        <v>1131.3566613790326</v>
      </c>
      <c r="AC125">
        <f ca="1">IF($C125-AC$1&lt;År1,0,AB124*(1-VLOOKUP($A125,[1]Hugst!$R$5:$W$9,MATCH(ROUNDUP((AC$1)/10,0)*10,[1]Hugst!$R$4:$W$4,0))))</f>
        <v>1130.5936952259133</v>
      </c>
      <c r="AD125">
        <f ca="1">IF($C125-AD$1&lt;År1,0,AC124*(1-VLOOKUP($A125,[1]Hugst!$R$5:$W$9,MATCH(ROUNDUP((AD$1)/10,0)*10,[1]Hugst!$R$4:$W$4,0))))</f>
        <v>1129.8359977779182</v>
      </c>
      <c r="AE125">
        <f ca="1">IF($C125-AE$1&lt;År1,0,AD124*(1-VLOOKUP($A125,[1]Hugst!$R$5:$W$9,MATCH(ROUNDUP((AE$1)/10,0)*10,[1]Hugst!$R$4:$W$4,0))))</f>
        <v>1129.0835728119655</v>
      </c>
      <c r="AF125">
        <f ca="1">IF($C125-AF$1&lt;År1,0,AE124*(1-VLOOKUP($A125,[1]Hugst!$R$5:$W$9,MATCH(ROUNDUP((AF$1)/10,0)*10,[1]Hugst!$R$4:$W$4,0))))</f>
        <v>1128.3364241408947</v>
      </c>
      <c r="AG125">
        <f ca="1">IF($C125-AG$1&lt;År1,0,AF124*(1-VLOOKUP($A125,[1]Hugst!$R$5:$W$9,MATCH(ROUNDUP((AG$1)/10,0)*10,[1]Hugst!$R$4:$W$4,0))))</f>
        <v>1127.5945556133888</v>
      </c>
      <c r="AH125">
        <f ca="1">IF($C125-AH$1&lt;År1,0,AG124*(1-VLOOKUP($A125,[1]Hugst!$R$5:$W$9,MATCH(ROUNDUP((AH$1)/10,0)*10,[1]Hugst!$R$4:$W$4,0))))</f>
        <v>1126.8579711141786</v>
      </c>
      <c r="AI125">
        <f ca="1">IF($C125-AI$1&lt;År1,0,AH124*(1-VLOOKUP($A125,[1]Hugst!$R$5:$W$9,MATCH(ROUNDUP((AI$1)/10,0)*10,[1]Hugst!$R$4:$W$4,0))))</f>
        <v>1126.1266745640173</v>
      </c>
      <c r="AJ125">
        <f ca="1">IF($C125-AJ$1&lt;År1,0,AI124*(1-VLOOKUP($A125,[1]Hugst!$R$5:$W$9,MATCH(ROUNDUP((AJ$1)/10,0)*10,[1]Hugst!$R$4:$W$4,0))))</f>
        <v>1126.3560590873876</v>
      </c>
      <c r="AL125">
        <f ca="1">SUM(F125:AJ125)</f>
        <v>33701.279191227186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0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0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>
        <f ca="1">IF($C127-G$1&lt;År1,0,F126*(1-VLOOKUP($A127,[1]Hugst!$R$5:$W$9,MATCH(ROUNDUP((G$1)/10,0)*10,[1]Hugst!$R$4:$W$4,0))))</f>
        <v>0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713845.53800472233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0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>
        <f ca="1">IF($C128-G$1&lt;År1,0,F127*(1-VLOOKUP($A128,[1]Hugst!$R$5:$W$9,MATCH(ROUNDUP((G$1)/10,0)*10,[1]Hugst!$R$4:$W$4,0))))</f>
        <v>0</v>
      </c>
      <c r="H128">
        <f ca="1">IF($C128-H$1&lt;År1,0,G127*(1-VLOOKUP($A128,[1]Hugst!$R$5:$W$9,MATCH(ROUNDUP((H$1)/10,0)*10,[1]Hugst!$R$4:$W$4,0))))</f>
        <v>0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0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>
        <f ca="1">IF($C129-G$1&lt;År1,0,F128*(1-VLOOKUP($A129,[1]Hugst!$R$5:$W$9,MATCH(ROUNDUP((G$1)/10,0)*10,[1]Hugst!$R$4:$W$4,0))))</f>
        <v>0</v>
      </c>
      <c r="H129">
        <f ca="1">IF($C129-H$1&lt;År1,0,G128*(1-VLOOKUP($A129,[1]Hugst!$R$5:$W$9,MATCH(ROUNDUP((H$1)/10,0)*10,[1]Hugst!$R$4:$W$4,0))))</f>
        <v>0</v>
      </c>
      <c r="I129">
        <f ca="1">IF($C129-I$1&lt;År1,0,H128*(1-VLOOKUP($A129,[1]Hugst!$R$5:$W$9,MATCH(ROUNDUP((I$1)/10,0)*10,[1]Hugst!$R$4:$W$4,0))))</f>
        <v>0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0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>
        <f ca="1">IF($C130-G$1&lt;År1,0,F129*(1-VLOOKUP($A130,[1]Hugst!$R$5:$W$9,MATCH(ROUNDUP((G$1)/10,0)*10,[1]Hugst!$R$4:$W$4,0))))</f>
        <v>0</v>
      </c>
      <c r="H130">
        <f ca="1">IF($C130-H$1&lt;År1,0,G129*(1-VLOOKUP($A130,[1]Hugst!$R$5:$W$9,MATCH(ROUNDUP((H$1)/10,0)*10,[1]Hugst!$R$4:$W$4,0))))</f>
        <v>0</v>
      </c>
      <c r="I130">
        <f ca="1">IF($C130-I$1&lt;År1,0,H129*(1-VLOOKUP($A130,[1]Hugst!$R$5:$W$9,MATCH(ROUNDUP((I$1)/10,0)*10,[1]Hugst!$R$4:$W$4,0))))</f>
        <v>0</v>
      </c>
      <c r="J130">
        <f ca="1">IF($C130-J$1&lt;År1,0,I129*(1-VLOOKUP($A130,[1]Hugst!$R$5:$W$9,MATCH(ROUNDUP((J$1)/10,0)*10,[1]Hugst!$R$4:$W$4,0))))</f>
        <v>0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0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>
        <f ca="1">IF($C131-G$1&lt;År1,0,F130*(1-VLOOKUP($A131,[1]Hugst!$R$5:$W$9,MATCH(ROUNDUP((G$1)/10,0)*10,[1]Hugst!$R$4:$W$4,0))))</f>
        <v>0</v>
      </c>
      <c r="H131">
        <f ca="1">IF($C131-H$1&lt;År1,0,G130*(1-VLOOKUP($A131,[1]Hugst!$R$5:$W$9,MATCH(ROUNDUP((H$1)/10,0)*10,[1]Hugst!$R$4:$W$4,0))))</f>
        <v>0</v>
      </c>
      <c r="I131">
        <f ca="1">IF($C131-I$1&lt;År1,0,H130*(1-VLOOKUP($A131,[1]Hugst!$R$5:$W$9,MATCH(ROUNDUP((I$1)/10,0)*10,[1]Hugst!$R$4:$W$4,0))))</f>
        <v>0</v>
      </c>
      <c r="J131">
        <f ca="1">IF($C131-J$1&lt;År1,0,I130*(1-VLOOKUP($A131,[1]Hugst!$R$5:$W$9,MATCH(ROUNDUP((J$1)/10,0)*10,[1]Hugst!$R$4:$W$4,0))))</f>
        <v>0</v>
      </c>
      <c r="K131">
        <f ca="1">IF($C131-K$1&lt;År1,0,J130*(1-VLOOKUP($A131,[1]Hugst!$R$5:$W$9,MATCH(ROUNDUP((K$1)/10,0)*10,[1]Hugst!$R$4:$W$4,0))))</f>
        <v>0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0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>
        <f ca="1">IF($C132-G$1&lt;År1,0,F131*(1-VLOOKUP($A132,[1]Hugst!$R$5:$W$9,MATCH(ROUNDUP((G$1)/10,0)*10,[1]Hugst!$R$4:$W$4,0))))</f>
        <v>0</v>
      </c>
      <c r="H132">
        <f ca="1">IF($C132-H$1&lt;År1,0,G131*(1-VLOOKUP($A132,[1]Hugst!$R$5:$W$9,MATCH(ROUNDUP((H$1)/10,0)*10,[1]Hugst!$R$4:$W$4,0))))</f>
        <v>0</v>
      </c>
      <c r="I132">
        <f ca="1">IF($C132-I$1&lt;År1,0,H131*(1-VLOOKUP($A132,[1]Hugst!$R$5:$W$9,MATCH(ROUNDUP((I$1)/10,0)*10,[1]Hugst!$R$4:$W$4,0))))</f>
        <v>0</v>
      </c>
      <c r="J132">
        <f ca="1">IF($C132-J$1&lt;År1,0,I131*(1-VLOOKUP($A132,[1]Hugst!$R$5:$W$9,MATCH(ROUNDUP((J$1)/10,0)*10,[1]Hugst!$R$4:$W$4,0))))</f>
        <v>0</v>
      </c>
      <c r="K132">
        <f ca="1">IF($C132-K$1&lt;År1,0,J131*(1-VLOOKUP($A132,[1]Hugst!$R$5:$W$9,MATCH(ROUNDUP((K$1)/10,0)*10,[1]Hugst!$R$4:$W$4,0))))</f>
        <v>0</v>
      </c>
      <c r="L132">
        <f ca="1">IF($C132-L$1&lt;År1,0,K131*(1-VLOOKUP($A132,[1]Hugst!$R$5:$W$9,MATCH(ROUNDUP((L$1)/10,0)*10,[1]Hugst!$R$4:$W$4,0))))</f>
        <v>0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0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>
        <f ca="1">IF($C133-G$1&lt;År1,0,F132*(1-VLOOKUP($A133,[1]Hugst!$R$5:$W$9,MATCH(ROUNDUP((G$1)/10,0)*10,[1]Hugst!$R$4:$W$4,0))))</f>
        <v>0</v>
      </c>
      <c r="H133">
        <f ca="1">IF($C133-H$1&lt;År1,0,G132*(1-VLOOKUP($A133,[1]Hugst!$R$5:$W$9,MATCH(ROUNDUP((H$1)/10,0)*10,[1]Hugst!$R$4:$W$4,0))))</f>
        <v>0</v>
      </c>
      <c r="I133">
        <f ca="1">IF($C133-I$1&lt;År1,0,H132*(1-VLOOKUP($A133,[1]Hugst!$R$5:$W$9,MATCH(ROUNDUP((I$1)/10,0)*10,[1]Hugst!$R$4:$W$4,0))))</f>
        <v>0</v>
      </c>
      <c r="J133">
        <f ca="1">IF($C133-J$1&lt;År1,0,I132*(1-VLOOKUP($A133,[1]Hugst!$R$5:$W$9,MATCH(ROUNDUP((J$1)/10,0)*10,[1]Hugst!$R$4:$W$4,0))))</f>
        <v>0</v>
      </c>
      <c r="K133">
        <f ca="1">IF($C133-K$1&lt;År1,0,J132*(1-VLOOKUP($A133,[1]Hugst!$R$5:$W$9,MATCH(ROUNDUP((K$1)/10,0)*10,[1]Hugst!$R$4:$W$4,0))))</f>
        <v>0</v>
      </c>
      <c r="L133">
        <f ca="1">IF($C133-L$1&lt;År1,0,K132*(1-VLOOKUP($A133,[1]Hugst!$R$5:$W$9,MATCH(ROUNDUP((L$1)/10,0)*10,[1]Hugst!$R$4:$W$4,0))))</f>
        <v>0</v>
      </c>
      <c r="M133">
        <f ca="1">IF($C133-M$1&lt;År1,0,L132*(1-VLOOKUP($A133,[1]Hugst!$R$5:$W$9,MATCH(ROUNDUP((M$1)/10,0)*10,[1]Hugst!$R$4:$W$4,0))))</f>
        <v>0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0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>
        <f ca="1">IF($C134-G$1&lt;År1,0,F133*(1-VLOOKUP($A134,[1]Hugst!$R$5:$W$9,MATCH(ROUNDUP((G$1)/10,0)*10,[1]Hugst!$R$4:$W$4,0))))</f>
        <v>0</v>
      </c>
      <c r="H134">
        <f ca="1">IF($C134-H$1&lt;År1,0,G133*(1-VLOOKUP($A134,[1]Hugst!$R$5:$W$9,MATCH(ROUNDUP((H$1)/10,0)*10,[1]Hugst!$R$4:$W$4,0))))</f>
        <v>0</v>
      </c>
      <c r="I134">
        <f ca="1">IF($C134-I$1&lt;År1,0,H133*(1-VLOOKUP($A134,[1]Hugst!$R$5:$W$9,MATCH(ROUNDUP((I$1)/10,0)*10,[1]Hugst!$R$4:$W$4,0))))</f>
        <v>0</v>
      </c>
      <c r="J134">
        <f ca="1">IF($C134-J$1&lt;År1,0,I133*(1-VLOOKUP($A134,[1]Hugst!$R$5:$W$9,MATCH(ROUNDUP((J$1)/10,0)*10,[1]Hugst!$R$4:$W$4,0))))</f>
        <v>0</v>
      </c>
      <c r="K134">
        <f ca="1">IF($C134-K$1&lt;År1,0,J133*(1-VLOOKUP($A134,[1]Hugst!$R$5:$W$9,MATCH(ROUNDUP((K$1)/10,0)*10,[1]Hugst!$R$4:$W$4,0))))</f>
        <v>0</v>
      </c>
      <c r="L134">
        <f ca="1">IF($C134-L$1&lt;År1,0,K133*(1-VLOOKUP($A134,[1]Hugst!$R$5:$W$9,MATCH(ROUNDUP((L$1)/10,0)*10,[1]Hugst!$R$4:$W$4,0))))</f>
        <v>0</v>
      </c>
      <c r="M134">
        <f ca="1">IF($C134-M$1&lt;År1,0,L133*(1-VLOOKUP($A134,[1]Hugst!$R$5:$W$9,MATCH(ROUNDUP((M$1)/10,0)*10,[1]Hugst!$R$4:$W$4,0))))</f>
        <v>0</v>
      </c>
      <c r="N134">
        <f ca="1">IF($C134-N$1&lt;År1,0,M133*(1-VLOOKUP($A134,[1]Hugst!$R$5:$W$9,MATCH(ROUNDUP((N$1)/10,0)*10,[1]Hugst!$R$4:$W$4,0))))</f>
        <v>0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0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>
        <f ca="1">IF($C135-G$1&lt;År1,0,F134*(1-VLOOKUP($A135,[1]Hugst!$R$5:$W$9,MATCH(ROUNDUP((G$1)/10,0)*10,[1]Hugst!$R$4:$W$4,0))))</f>
        <v>0</v>
      </c>
      <c r="H135">
        <f ca="1">IF($C135-H$1&lt;År1,0,G134*(1-VLOOKUP($A135,[1]Hugst!$R$5:$W$9,MATCH(ROUNDUP((H$1)/10,0)*10,[1]Hugst!$R$4:$W$4,0))))</f>
        <v>0</v>
      </c>
      <c r="I135">
        <f ca="1">IF($C135-I$1&lt;År1,0,H134*(1-VLOOKUP($A135,[1]Hugst!$R$5:$W$9,MATCH(ROUNDUP((I$1)/10,0)*10,[1]Hugst!$R$4:$W$4,0))))</f>
        <v>0</v>
      </c>
      <c r="J135">
        <f ca="1">IF($C135-J$1&lt;År1,0,I134*(1-VLOOKUP($A135,[1]Hugst!$R$5:$W$9,MATCH(ROUNDUP((J$1)/10,0)*10,[1]Hugst!$R$4:$W$4,0))))</f>
        <v>0</v>
      </c>
      <c r="K135">
        <f ca="1">IF($C135-K$1&lt;År1,0,J134*(1-VLOOKUP($A135,[1]Hugst!$R$5:$W$9,MATCH(ROUNDUP((K$1)/10,0)*10,[1]Hugst!$R$4:$W$4,0))))</f>
        <v>0</v>
      </c>
      <c r="L135">
        <f ca="1">IF($C135-L$1&lt;År1,0,K134*(1-VLOOKUP($A135,[1]Hugst!$R$5:$W$9,MATCH(ROUNDUP((L$1)/10,0)*10,[1]Hugst!$R$4:$W$4,0))))</f>
        <v>0</v>
      </c>
      <c r="M135">
        <f ca="1">IF($C135-M$1&lt;År1,0,L134*(1-VLOOKUP($A135,[1]Hugst!$R$5:$W$9,MATCH(ROUNDUP((M$1)/10,0)*10,[1]Hugst!$R$4:$W$4,0))))</f>
        <v>0</v>
      </c>
      <c r="N135">
        <f ca="1">IF($C135-N$1&lt;År1,0,M134*(1-VLOOKUP($A135,[1]Hugst!$R$5:$W$9,MATCH(ROUNDUP((N$1)/10,0)*10,[1]Hugst!$R$4:$W$4,0))))</f>
        <v>0</v>
      </c>
      <c r="O135">
        <f ca="1">IF($C135-O$1&lt;År1,0,N134*(1-VLOOKUP($A135,[1]Hugst!$R$5:$W$9,MATCH(ROUNDUP((O$1)/10,0)*10,[1]Hugst!$R$4:$W$4,0))))</f>
        <v>0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0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>
        <f ca="1">IF($C136-G$1&lt;År1,0,F135*(1-VLOOKUP($A136,[1]Hugst!$R$5:$W$9,MATCH(ROUNDUP((G$1)/10,0)*10,[1]Hugst!$R$4:$W$4,0))))</f>
        <v>0</v>
      </c>
      <c r="H136">
        <f ca="1">IF($C136-H$1&lt;År1,0,G135*(1-VLOOKUP($A136,[1]Hugst!$R$5:$W$9,MATCH(ROUNDUP((H$1)/10,0)*10,[1]Hugst!$R$4:$W$4,0))))</f>
        <v>0</v>
      </c>
      <c r="I136">
        <f ca="1">IF($C136-I$1&lt;År1,0,H135*(1-VLOOKUP($A136,[1]Hugst!$R$5:$W$9,MATCH(ROUNDUP((I$1)/10,0)*10,[1]Hugst!$R$4:$W$4,0))))</f>
        <v>0</v>
      </c>
      <c r="J136">
        <f ca="1">IF($C136-J$1&lt;År1,0,I135*(1-VLOOKUP($A136,[1]Hugst!$R$5:$W$9,MATCH(ROUNDUP((J$1)/10,0)*10,[1]Hugst!$R$4:$W$4,0))))</f>
        <v>0</v>
      </c>
      <c r="K136">
        <f ca="1">IF($C136-K$1&lt;År1,0,J135*(1-VLOOKUP($A136,[1]Hugst!$R$5:$W$9,MATCH(ROUNDUP((K$1)/10,0)*10,[1]Hugst!$R$4:$W$4,0))))</f>
        <v>0</v>
      </c>
      <c r="L136">
        <f ca="1">IF($C136-L$1&lt;År1,0,K135*(1-VLOOKUP($A136,[1]Hugst!$R$5:$W$9,MATCH(ROUNDUP((L$1)/10,0)*10,[1]Hugst!$R$4:$W$4,0))))</f>
        <v>0</v>
      </c>
      <c r="M136">
        <f ca="1">IF($C136-M$1&lt;År1,0,L135*(1-VLOOKUP($A136,[1]Hugst!$R$5:$W$9,MATCH(ROUNDUP((M$1)/10,0)*10,[1]Hugst!$R$4:$W$4,0))))</f>
        <v>0</v>
      </c>
      <c r="N136">
        <f ca="1">IF($C136-N$1&lt;År1,0,M135*(1-VLOOKUP($A136,[1]Hugst!$R$5:$W$9,MATCH(ROUNDUP((N$1)/10,0)*10,[1]Hugst!$R$4:$W$4,0))))</f>
        <v>0</v>
      </c>
      <c r="O136">
        <f ca="1">IF($C136-O$1&lt;År1,0,N135*(1-VLOOKUP($A136,[1]Hugst!$R$5:$W$9,MATCH(ROUNDUP((O$1)/10,0)*10,[1]Hugst!$R$4:$W$4,0))))</f>
        <v>0</v>
      </c>
      <c r="P136">
        <f ca="1">IF($C136-P$1&lt;År1,0,O135*(1-VLOOKUP($A136,[1]Hugst!$R$5:$W$9,MATCH(ROUNDUP((P$1)/10,0)*10,[1]Hugst!$R$4:$W$4,0))))</f>
        <v>0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0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>
        <f ca="1">IF($C137-G$1&lt;År1,0,F136*(1-VLOOKUP($A137,[1]Hugst!$R$5:$W$9,MATCH(ROUNDUP((G$1)/10,0)*10,[1]Hugst!$R$4:$W$4,0))))</f>
        <v>0</v>
      </c>
      <c r="H137">
        <f ca="1">IF($C137-H$1&lt;År1,0,G136*(1-VLOOKUP($A137,[1]Hugst!$R$5:$W$9,MATCH(ROUNDUP((H$1)/10,0)*10,[1]Hugst!$R$4:$W$4,0))))</f>
        <v>0</v>
      </c>
      <c r="I137">
        <f ca="1">IF($C137-I$1&lt;År1,0,H136*(1-VLOOKUP($A137,[1]Hugst!$R$5:$W$9,MATCH(ROUNDUP((I$1)/10,0)*10,[1]Hugst!$R$4:$W$4,0))))</f>
        <v>0</v>
      </c>
      <c r="J137">
        <f ca="1">IF($C137-J$1&lt;År1,0,I136*(1-VLOOKUP($A137,[1]Hugst!$R$5:$W$9,MATCH(ROUNDUP((J$1)/10,0)*10,[1]Hugst!$R$4:$W$4,0))))</f>
        <v>0</v>
      </c>
      <c r="K137">
        <f ca="1">IF($C137-K$1&lt;År1,0,J136*(1-VLOOKUP($A137,[1]Hugst!$R$5:$W$9,MATCH(ROUNDUP((K$1)/10,0)*10,[1]Hugst!$R$4:$W$4,0))))</f>
        <v>0</v>
      </c>
      <c r="L137">
        <f ca="1">IF($C137-L$1&lt;År1,0,K136*(1-VLOOKUP($A137,[1]Hugst!$R$5:$W$9,MATCH(ROUNDUP((L$1)/10,0)*10,[1]Hugst!$R$4:$W$4,0))))</f>
        <v>0</v>
      </c>
      <c r="M137">
        <f ca="1">IF($C137-M$1&lt;År1,0,L136*(1-VLOOKUP($A137,[1]Hugst!$R$5:$W$9,MATCH(ROUNDUP((M$1)/10,0)*10,[1]Hugst!$R$4:$W$4,0))))</f>
        <v>0</v>
      </c>
      <c r="N137">
        <f ca="1">IF($C137-N$1&lt;År1,0,M136*(1-VLOOKUP($A137,[1]Hugst!$R$5:$W$9,MATCH(ROUNDUP((N$1)/10,0)*10,[1]Hugst!$R$4:$W$4,0))))</f>
        <v>0</v>
      </c>
      <c r="O137">
        <f ca="1">IF($C137-O$1&lt;År1,0,N136*(1-VLOOKUP($A137,[1]Hugst!$R$5:$W$9,MATCH(ROUNDUP((O$1)/10,0)*10,[1]Hugst!$R$4:$W$4,0))))</f>
        <v>0</v>
      </c>
      <c r="P137">
        <f ca="1">IF($C137-P$1&lt;År1,0,O136*(1-VLOOKUP($A137,[1]Hugst!$R$5:$W$9,MATCH(ROUNDUP((P$1)/10,0)*10,[1]Hugst!$R$4:$W$4,0))))</f>
        <v>0</v>
      </c>
      <c r="Q137">
        <f ca="1">IF($C137-Q$1&lt;År1,0,P136*(1-VLOOKUP($A137,[1]Hugst!$R$5:$W$9,MATCH(ROUNDUP((Q$1)/10,0)*10,[1]Hugst!$R$4:$W$4,0))))</f>
        <v>0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0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>
        <f ca="1">IF($C138-G$1&lt;År1,0,F137*(1-VLOOKUP($A138,[1]Hugst!$R$5:$W$9,MATCH(ROUNDUP((G$1)/10,0)*10,[1]Hugst!$R$4:$W$4,0))))</f>
        <v>0</v>
      </c>
      <c r="H138">
        <f ca="1">IF($C138-H$1&lt;År1,0,G137*(1-VLOOKUP($A138,[1]Hugst!$R$5:$W$9,MATCH(ROUNDUP((H$1)/10,0)*10,[1]Hugst!$R$4:$W$4,0))))</f>
        <v>0</v>
      </c>
      <c r="I138">
        <f ca="1">IF($C138-I$1&lt;År1,0,H137*(1-VLOOKUP($A138,[1]Hugst!$R$5:$W$9,MATCH(ROUNDUP((I$1)/10,0)*10,[1]Hugst!$R$4:$W$4,0))))</f>
        <v>0</v>
      </c>
      <c r="J138">
        <f ca="1">IF($C138-J$1&lt;År1,0,I137*(1-VLOOKUP($A138,[1]Hugst!$R$5:$W$9,MATCH(ROUNDUP((J$1)/10,0)*10,[1]Hugst!$R$4:$W$4,0))))</f>
        <v>0</v>
      </c>
      <c r="K138">
        <f ca="1">IF($C138-K$1&lt;År1,0,J137*(1-VLOOKUP($A138,[1]Hugst!$R$5:$W$9,MATCH(ROUNDUP((K$1)/10,0)*10,[1]Hugst!$R$4:$W$4,0))))</f>
        <v>0</v>
      </c>
      <c r="L138">
        <f ca="1">IF($C138-L$1&lt;År1,0,K137*(1-VLOOKUP($A138,[1]Hugst!$R$5:$W$9,MATCH(ROUNDUP((L$1)/10,0)*10,[1]Hugst!$R$4:$W$4,0))))</f>
        <v>0</v>
      </c>
      <c r="M138">
        <f ca="1">IF($C138-M$1&lt;År1,0,L137*(1-VLOOKUP($A138,[1]Hugst!$R$5:$W$9,MATCH(ROUNDUP((M$1)/10,0)*10,[1]Hugst!$R$4:$W$4,0))))</f>
        <v>0</v>
      </c>
      <c r="N138">
        <f ca="1">IF($C138-N$1&lt;År1,0,M137*(1-VLOOKUP($A138,[1]Hugst!$R$5:$W$9,MATCH(ROUNDUP((N$1)/10,0)*10,[1]Hugst!$R$4:$W$4,0))))</f>
        <v>0</v>
      </c>
      <c r="O138">
        <f ca="1">IF($C138-O$1&lt;År1,0,N137*(1-VLOOKUP($A138,[1]Hugst!$R$5:$W$9,MATCH(ROUNDUP((O$1)/10,0)*10,[1]Hugst!$R$4:$W$4,0))))</f>
        <v>0</v>
      </c>
      <c r="P138">
        <f ca="1">IF($C138-P$1&lt;År1,0,O137*(1-VLOOKUP($A138,[1]Hugst!$R$5:$W$9,MATCH(ROUNDUP((P$1)/10,0)*10,[1]Hugst!$R$4:$W$4,0))))</f>
        <v>0</v>
      </c>
      <c r="Q138">
        <f ca="1">IF($C138-Q$1&lt;År1,0,P137*(1-VLOOKUP($A138,[1]Hugst!$R$5:$W$9,MATCH(ROUNDUP((Q$1)/10,0)*10,[1]Hugst!$R$4:$W$4,0))))</f>
        <v>0</v>
      </c>
      <c r="R138">
        <f ca="1">IF($C138-R$1&lt;År1,0,Q137*(1-VLOOKUP($A138,[1]Hugst!$R$5:$W$9,MATCH(ROUNDUP((R$1)/10,0)*10,[1]Hugst!$R$4:$W$4,0))))</f>
        <v>0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0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>
        <f ca="1">IF($C139-G$1&lt;År1,0,F138*(1-VLOOKUP($A139,[1]Hugst!$R$5:$W$9,MATCH(ROUNDUP((G$1)/10,0)*10,[1]Hugst!$R$4:$W$4,0))))</f>
        <v>0</v>
      </c>
      <c r="H139">
        <f ca="1">IF($C139-H$1&lt;År1,0,G138*(1-VLOOKUP($A139,[1]Hugst!$R$5:$W$9,MATCH(ROUNDUP((H$1)/10,0)*10,[1]Hugst!$R$4:$W$4,0))))</f>
        <v>0</v>
      </c>
      <c r="I139">
        <f ca="1">IF($C139-I$1&lt;År1,0,H138*(1-VLOOKUP($A139,[1]Hugst!$R$5:$W$9,MATCH(ROUNDUP((I$1)/10,0)*10,[1]Hugst!$R$4:$W$4,0))))</f>
        <v>0</v>
      </c>
      <c r="J139">
        <f ca="1">IF($C139-J$1&lt;År1,0,I138*(1-VLOOKUP($A139,[1]Hugst!$R$5:$W$9,MATCH(ROUNDUP((J$1)/10,0)*10,[1]Hugst!$R$4:$W$4,0))))</f>
        <v>0</v>
      </c>
      <c r="K139">
        <f ca="1">IF($C139-K$1&lt;År1,0,J138*(1-VLOOKUP($A139,[1]Hugst!$R$5:$W$9,MATCH(ROUNDUP((K$1)/10,0)*10,[1]Hugst!$R$4:$W$4,0))))</f>
        <v>0</v>
      </c>
      <c r="L139">
        <f ca="1">IF($C139-L$1&lt;År1,0,K138*(1-VLOOKUP($A139,[1]Hugst!$R$5:$W$9,MATCH(ROUNDUP((L$1)/10,0)*10,[1]Hugst!$R$4:$W$4,0))))</f>
        <v>0</v>
      </c>
      <c r="M139">
        <f ca="1">IF($C139-M$1&lt;År1,0,L138*(1-VLOOKUP($A139,[1]Hugst!$R$5:$W$9,MATCH(ROUNDUP((M$1)/10,0)*10,[1]Hugst!$R$4:$W$4,0))))</f>
        <v>0</v>
      </c>
      <c r="N139">
        <f ca="1">IF($C139-N$1&lt;År1,0,M138*(1-VLOOKUP($A139,[1]Hugst!$R$5:$W$9,MATCH(ROUNDUP((N$1)/10,0)*10,[1]Hugst!$R$4:$W$4,0))))</f>
        <v>0</v>
      </c>
      <c r="O139">
        <f ca="1">IF($C139-O$1&lt;År1,0,N138*(1-VLOOKUP($A139,[1]Hugst!$R$5:$W$9,MATCH(ROUNDUP((O$1)/10,0)*10,[1]Hugst!$R$4:$W$4,0))))</f>
        <v>0</v>
      </c>
      <c r="P139">
        <f ca="1">IF($C139-P$1&lt;År1,0,O138*(1-VLOOKUP($A139,[1]Hugst!$R$5:$W$9,MATCH(ROUNDUP((P$1)/10,0)*10,[1]Hugst!$R$4:$W$4,0))))</f>
        <v>0</v>
      </c>
      <c r="Q139">
        <f ca="1">IF($C139-Q$1&lt;År1,0,P138*(1-VLOOKUP($A139,[1]Hugst!$R$5:$W$9,MATCH(ROUNDUP((Q$1)/10,0)*10,[1]Hugst!$R$4:$W$4,0))))</f>
        <v>0</v>
      </c>
      <c r="R139">
        <f ca="1">IF($C139-R$1&lt;År1,0,Q138*(1-VLOOKUP($A139,[1]Hugst!$R$5:$W$9,MATCH(ROUNDUP((R$1)/10,0)*10,[1]Hugst!$R$4:$W$4,0))))</f>
        <v>0</v>
      </c>
      <c r="S139">
        <f ca="1">IF($C139-S$1&lt;År1,0,R138*(1-VLOOKUP($A139,[1]Hugst!$R$5:$W$9,MATCH(ROUNDUP((S$1)/10,0)*10,[1]Hugst!$R$4:$W$4,0))))</f>
        <v>0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0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>
        <f ca="1">IF($C140-G$1&lt;År1,0,F139*(1-VLOOKUP($A140,[1]Hugst!$R$5:$W$9,MATCH(ROUNDUP((G$1)/10,0)*10,[1]Hugst!$R$4:$W$4,0))))</f>
        <v>0</v>
      </c>
      <c r="H140">
        <f ca="1">IF($C140-H$1&lt;År1,0,G139*(1-VLOOKUP($A140,[1]Hugst!$R$5:$W$9,MATCH(ROUNDUP((H$1)/10,0)*10,[1]Hugst!$R$4:$W$4,0))))</f>
        <v>0</v>
      </c>
      <c r="I140">
        <f ca="1">IF($C140-I$1&lt;År1,0,H139*(1-VLOOKUP($A140,[1]Hugst!$R$5:$W$9,MATCH(ROUNDUP((I$1)/10,0)*10,[1]Hugst!$R$4:$W$4,0))))</f>
        <v>0</v>
      </c>
      <c r="J140">
        <f ca="1">IF($C140-J$1&lt;År1,0,I139*(1-VLOOKUP($A140,[1]Hugst!$R$5:$W$9,MATCH(ROUNDUP((J$1)/10,0)*10,[1]Hugst!$R$4:$W$4,0))))</f>
        <v>0</v>
      </c>
      <c r="K140">
        <f ca="1">IF($C140-K$1&lt;År1,0,J139*(1-VLOOKUP($A140,[1]Hugst!$R$5:$W$9,MATCH(ROUNDUP((K$1)/10,0)*10,[1]Hugst!$R$4:$W$4,0))))</f>
        <v>0</v>
      </c>
      <c r="L140">
        <f ca="1">IF($C140-L$1&lt;År1,0,K139*(1-VLOOKUP($A140,[1]Hugst!$R$5:$W$9,MATCH(ROUNDUP((L$1)/10,0)*10,[1]Hugst!$R$4:$W$4,0))))</f>
        <v>0</v>
      </c>
      <c r="M140">
        <f ca="1">IF($C140-M$1&lt;År1,0,L139*(1-VLOOKUP($A140,[1]Hugst!$R$5:$W$9,MATCH(ROUNDUP((M$1)/10,0)*10,[1]Hugst!$R$4:$W$4,0))))</f>
        <v>0</v>
      </c>
      <c r="N140">
        <f ca="1">IF($C140-N$1&lt;År1,0,M139*(1-VLOOKUP($A140,[1]Hugst!$R$5:$W$9,MATCH(ROUNDUP((N$1)/10,0)*10,[1]Hugst!$R$4:$W$4,0))))</f>
        <v>0</v>
      </c>
      <c r="O140">
        <f ca="1">IF($C140-O$1&lt;År1,0,N139*(1-VLOOKUP($A140,[1]Hugst!$R$5:$W$9,MATCH(ROUNDUP((O$1)/10,0)*10,[1]Hugst!$R$4:$W$4,0))))</f>
        <v>0</v>
      </c>
      <c r="P140">
        <f ca="1">IF($C140-P$1&lt;År1,0,O139*(1-VLOOKUP($A140,[1]Hugst!$R$5:$W$9,MATCH(ROUNDUP((P$1)/10,0)*10,[1]Hugst!$R$4:$W$4,0))))</f>
        <v>0</v>
      </c>
      <c r="Q140">
        <f ca="1">IF($C140-Q$1&lt;År1,0,P139*(1-VLOOKUP($A140,[1]Hugst!$R$5:$W$9,MATCH(ROUNDUP((Q$1)/10,0)*10,[1]Hugst!$R$4:$W$4,0))))</f>
        <v>0</v>
      </c>
      <c r="R140">
        <f ca="1">IF($C140-R$1&lt;År1,0,Q139*(1-VLOOKUP($A140,[1]Hugst!$R$5:$W$9,MATCH(ROUNDUP((R$1)/10,0)*10,[1]Hugst!$R$4:$W$4,0))))</f>
        <v>0</v>
      </c>
      <c r="S140">
        <f ca="1">IF($C140-S$1&lt;År1,0,R139*(1-VLOOKUP($A140,[1]Hugst!$R$5:$W$9,MATCH(ROUNDUP((S$1)/10,0)*10,[1]Hugst!$R$4:$W$4,0))))</f>
        <v>0</v>
      </c>
      <c r="T140">
        <f ca="1">IF($C140-T$1&lt;År1,0,S139*(1-VLOOKUP($A140,[1]Hugst!$R$5:$W$9,MATCH(ROUNDUP((T$1)/10,0)*10,[1]Hugst!$R$4:$W$4,0))))</f>
        <v>0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0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>
        <f ca="1">IF($C141-G$1&lt;År1,0,F140*(1-VLOOKUP($A141,[1]Hugst!$R$5:$W$9,MATCH(ROUNDUP((G$1)/10,0)*10,[1]Hugst!$R$4:$W$4,0))))</f>
        <v>0</v>
      </c>
      <c r="H141">
        <f ca="1">IF($C141-H$1&lt;År1,0,G140*(1-VLOOKUP($A141,[1]Hugst!$R$5:$W$9,MATCH(ROUNDUP((H$1)/10,0)*10,[1]Hugst!$R$4:$W$4,0))))</f>
        <v>0</v>
      </c>
      <c r="I141">
        <f ca="1">IF($C141-I$1&lt;År1,0,H140*(1-VLOOKUP($A141,[1]Hugst!$R$5:$W$9,MATCH(ROUNDUP((I$1)/10,0)*10,[1]Hugst!$R$4:$W$4,0))))</f>
        <v>0</v>
      </c>
      <c r="J141">
        <f ca="1">IF($C141-J$1&lt;År1,0,I140*(1-VLOOKUP($A141,[1]Hugst!$R$5:$W$9,MATCH(ROUNDUP((J$1)/10,0)*10,[1]Hugst!$R$4:$W$4,0))))</f>
        <v>0</v>
      </c>
      <c r="K141">
        <f ca="1">IF($C141-K$1&lt;År1,0,J140*(1-VLOOKUP($A141,[1]Hugst!$R$5:$W$9,MATCH(ROUNDUP((K$1)/10,0)*10,[1]Hugst!$R$4:$W$4,0))))</f>
        <v>0</v>
      </c>
      <c r="L141">
        <f ca="1">IF($C141-L$1&lt;År1,0,K140*(1-VLOOKUP($A141,[1]Hugst!$R$5:$W$9,MATCH(ROUNDUP((L$1)/10,0)*10,[1]Hugst!$R$4:$W$4,0))))</f>
        <v>0</v>
      </c>
      <c r="M141">
        <f ca="1">IF($C141-M$1&lt;År1,0,L140*(1-VLOOKUP($A141,[1]Hugst!$R$5:$W$9,MATCH(ROUNDUP((M$1)/10,0)*10,[1]Hugst!$R$4:$W$4,0))))</f>
        <v>0</v>
      </c>
      <c r="N141">
        <f ca="1">IF($C141-N$1&lt;År1,0,M140*(1-VLOOKUP($A141,[1]Hugst!$R$5:$W$9,MATCH(ROUNDUP((N$1)/10,0)*10,[1]Hugst!$R$4:$W$4,0))))</f>
        <v>0</v>
      </c>
      <c r="O141">
        <f ca="1">IF($C141-O$1&lt;År1,0,N140*(1-VLOOKUP($A141,[1]Hugst!$R$5:$W$9,MATCH(ROUNDUP((O$1)/10,0)*10,[1]Hugst!$R$4:$W$4,0))))</f>
        <v>0</v>
      </c>
      <c r="P141">
        <f ca="1">IF($C141-P$1&lt;År1,0,O140*(1-VLOOKUP($A141,[1]Hugst!$R$5:$W$9,MATCH(ROUNDUP((P$1)/10,0)*10,[1]Hugst!$R$4:$W$4,0))))</f>
        <v>0</v>
      </c>
      <c r="Q141">
        <f ca="1">IF($C141-Q$1&lt;År1,0,P140*(1-VLOOKUP($A141,[1]Hugst!$R$5:$W$9,MATCH(ROUNDUP((Q$1)/10,0)*10,[1]Hugst!$R$4:$W$4,0))))</f>
        <v>0</v>
      </c>
      <c r="R141">
        <f ca="1">IF($C141-R$1&lt;År1,0,Q140*(1-VLOOKUP($A141,[1]Hugst!$R$5:$W$9,MATCH(ROUNDUP((R$1)/10,0)*10,[1]Hugst!$R$4:$W$4,0))))</f>
        <v>0</v>
      </c>
      <c r="S141">
        <f ca="1">IF($C141-S$1&lt;År1,0,R140*(1-VLOOKUP($A141,[1]Hugst!$R$5:$W$9,MATCH(ROUNDUP((S$1)/10,0)*10,[1]Hugst!$R$4:$W$4,0))))</f>
        <v>0</v>
      </c>
      <c r="T141">
        <f ca="1">IF($C141-T$1&lt;År1,0,S140*(1-VLOOKUP($A141,[1]Hugst!$R$5:$W$9,MATCH(ROUNDUP((T$1)/10,0)*10,[1]Hugst!$R$4:$W$4,0))))</f>
        <v>0</v>
      </c>
      <c r="U141">
        <f ca="1">IF($C141-U$1&lt;År1,0,T140*(1-VLOOKUP($A141,[1]Hugst!$R$5:$W$9,MATCH(ROUNDUP((U$1)/10,0)*10,[1]Hugst!$R$4:$W$4,0))))</f>
        <v>0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0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>
        <f ca="1">IF($C142-G$1&lt;År1,0,F141*(1-VLOOKUP($A142,[1]Hugst!$R$5:$W$9,MATCH(ROUNDUP((G$1)/10,0)*10,[1]Hugst!$R$4:$W$4,0))))</f>
        <v>0</v>
      </c>
      <c r="H142">
        <f ca="1">IF($C142-H$1&lt;År1,0,G141*(1-VLOOKUP($A142,[1]Hugst!$R$5:$W$9,MATCH(ROUNDUP((H$1)/10,0)*10,[1]Hugst!$R$4:$W$4,0))))</f>
        <v>0</v>
      </c>
      <c r="I142">
        <f ca="1">IF($C142-I$1&lt;År1,0,H141*(1-VLOOKUP($A142,[1]Hugst!$R$5:$W$9,MATCH(ROUNDUP((I$1)/10,0)*10,[1]Hugst!$R$4:$W$4,0))))</f>
        <v>0</v>
      </c>
      <c r="J142">
        <f ca="1">IF($C142-J$1&lt;År1,0,I141*(1-VLOOKUP($A142,[1]Hugst!$R$5:$W$9,MATCH(ROUNDUP((J$1)/10,0)*10,[1]Hugst!$R$4:$W$4,0))))</f>
        <v>0</v>
      </c>
      <c r="K142">
        <f ca="1">IF($C142-K$1&lt;År1,0,J141*(1-VLOOKUP($A142,[1]Hugst!$R$5:$W$9,MATCH(ROUNDUP((K$1)/10,0)*10,[1]Hugst!$R$4:$W$4,0))))</f>
        <v>0</v>
      </c>
      <c r="L142">
        <f ca="1">IF($C142-L$1&lt;År1,0,K141*(1-VLOOKUP($A142,[1]Hugst!$R$5:$W$9,MATCH(ROUNDUP((L$1)/10,0)*10,[1]Hugst!$R$4:$W$4,0))))</f>
        <v>0</v>
      </c>
      <c r="M142">
        <f ca="1">IF($C142-M$1&lt;År1,0,L141*(1-VLOOKUP($A142,[1]Hugst!$R$5:$W$9,MATCH(ROUNDUP((M$1)/10,0)*10,[1]Hugst!$R$4:$W$4,0))))</f>
        <v>0</v>
      </c>
      <c r="N142">
        <f ca="1">IF($C142-N$1&lt;År1,0,M141*(1-VLOOKUP($A142,[1]Hugst!$R$5:$W$9,MATCH(ROUNDUP((N$1)/10,0)*10,[1]Hugst!$R$4:$W$4,0))))</f>
        <v>0</v>
      </c>
      <c r="O142">
        <f ca="1">IF($C142-O$1&lt;År1,0,N141*(1-VLOOKUP($A142,[1]Hugst!$R$5:$W$9,MATCH(ROUNDUP((O$1)/10,0)*10,[1]Hugst!$R$4:$W$4,0))))</f>
        <v>0</v>
      </c>
      <c r="P142">
        <f ca="1">IF($C142-P$1&lt;År1,0,O141*(1-VLOOKUP($A142,[1]Hugst!$R$5:$W$9,MATCH(ROUNDUP((P$1)/10,0)*10,[1]Hugst!$R$4:$W$4,0))))</f>
        <v>0</v>
      </c>
      <c r="Q142">
        <f ca="1">IF($C142-Q$1&lt;År1,0,P141*(1-VLOOKUP($A142,[1]Hugst!$R$5:$W$9,MATCH(ROUNDUP((Q$1)/10,0)*10,[1]Hugst!$R$4:$W$4,0))))</f>
        <v>0</v>
      </c>
      <c r="R142">
        <f ca="1">IF($C142-R$1&lt;År1,0,Q141*(1-VLOOKUP($A142,[1]Hugst!$R$5:$W$9,MATCH(ROUNDUP((R$1)/10,0)*10,[1]Hugst!$R$4:$W$4,0))))</f>
        <v>0</v>
      </c>
      <c r="S142">
        <f ca="1">IF($C142-S$1&lt;År1,0,R141*(1-VLOOKUP($A142,[1]Hugst!$R$5:$W$9,MATCH(ROUNDUP((S$1)/10,0)*10,[1]Hugst!$R$4:$W$4,0))))</f>
        <v>0</v>
      </c>
      <c r="T142">
        <f ca="1">IF($C142-T$1&lt;År1,0,S141*(1-VLOOKUP($A142,[1]Hugst!$R$5:$W$9,MATCH(ROUNDUP((T$1)/10,0)*10,[1]Hugst!$R$4:$W$4,0))))</f>
        <v>0</v>
      </c>
      <c r="U142">
        <f ca="1">IF($C142-U$1&lt;År1,0,T141*(1-VLOOKUP($A142,[1]Hugst!$R$5:$W$9,MATCH(ROUNDUP((U$1)/10,0)*10,[1]Hugst!$R$4:$W$4,0))))</f>
        <v>0</v>
      </c>
      <c r="V142">
        <f ca="1">IF($C142-V$1&lt;År1,0,U141*(1-VLOOKUP($A142,[1]Hugst!$R$5:$W$9,MATCH(ROUNDUP((V$1)/10,0)*10,[1]Hugst!$R$4:$W$4,0))))</f>
        <v>0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0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>
        <f ca="1">IF($C143-G$1&lt;År1,0,F142*(1-VLOOKUP($A143,[1]Hugst!$R$5:$W$9,MATCH(ROUNDUP((G$1)/10,0)*10,[1]Hugst!$R$4:$W$4,0))))</f>
        <v>0</v>
      </c>
      <c r="H143">
        <f ca="1">IF($C143-H$1&lt;År1,0,G142*(1-VLOOKUP($A143,[1]Hugst!$R$5:$W$9,MATCH(ROUNDUP((H$1)/10,0)*10,[1]Hugst!$R$4:$W$4,0))))</f>
        <v>0</v>
      </c>
      <c r="I143">
        <f ca="1">IF($C143-I$1&lt;År1,0,H142*(1-VLOOKUP($A143,[1]Hugst!$R$5:$W$9,MATCH(ROUNDUP((I$1)/10,0)*10,[1]Hugst!$R$4:$W$4,0))))</f>
        <v>0</v>
      </c>
      <c r="J143">
        <f ca="1">IF($C143-J$1&lt;År1,0,I142*(1-VLOOKUP($A143,[1]Hugst!$R$5:$W$9,MATCH(ROUNDUP((J$1)/10,0)*10,[1]Hugst!$R$4:$W$4,0))))</f>
        <v>0</v>
      </c>
      <c r="K143">
        <f ca="1">IF($C143-K$1&lt;År1,0,J142*(1-VLOOKUP($A143,[1]Hugst!$R$5:$W$9,MATCH(ROUNDUP((K$1)/10,0)*10,[1]Hugst!$R$4:$W$4,0))))</f>
        <v>0</v>
      </c>
      <c r="L143">
        <f ca="1">IF($C143-L$1&lt;År1,0,K142*(1-VLOOKUP($A143,[1]Hugst!$R$5:$W$9,MATCH(ROUNDUP((L$1)/10,0)*10,[1]Hugst!$R$4:$W$4,0))))</f>
        <v>0</v>
      </c>
      <c r="M143">
        <f ca="1">IF($C143-M$1&lt;År1,0,L142*(1-VLOOKUP($A143,[1]Hugst!$R$5:$W$9,MATCH(ROUNDUP((M$1)/10,0)*10,[1]Hugst!$R$4:$W$4,0))))</f>
        <v>0</v>
      </c>
      <c r="N143">
        <f ca="1">IF($C143-N$1&lt;År1,0,M142*(1-VLOOKUP($A143,[1]Hugst!$R$5:$W$9,MATCH(ROUNDUP((N$1)/10,0)*10,[1]Hugst!$R$4:$W$4,0))))</f>
        <v>0</v>
      </c>
      <c r="O143">
        <f ca="1">IF($C143-O$1&lt;År1,0,N142*(1-VLOOKUP($A143,[1]Hugst!$R$5:$W$9,MATCH(ROUNDUP((O$1)/10,0)*10,[1]Hugst!$R$4:$W$4,0))))</f>
        <v>0</v>
      </c>
      <c r="P143">
        <f ca="1">IF($C143-P$1&lt;År1,0,O142*(1-VLOOKUP($A143,[1]Hugst!$R$5:$W$9,MATCH(ROUNDUP((P$1)/10,0)*10,[1]Hugst!$R$4:$W$4,0))))</f>
        <v>0</v>
      </c>
      <c r="Q143">
        <f ca="1">IF($C143-Q$1&lt;År1,0,P142*(1-VLOOKUP($A143,[1]Hugst!$R$5:$W$9,MATCH(ROUNDUP((Q$1)/10,0)*10,[1]Hugst!$R$4:$W$4,0))))</f>
        <v>0</v>
      </c>
      <c r="R143">
        <f ca="1">IF($C143-R$1&lt;År1,0,Q142*(1-VLOOKUP($A143,[1]Hugst!$R$5:$W$9,MATCH(ROUNDUP((R$1)/10,0)*10,[1]Hugst!$R$4:$W$4,0))))</f>
        <v>0</v>
      </c>
      <c r="S143">
        <f ca="1">IF($C143-S$1&lt;År1,0,R142*(1-VLOOKUP($A143,[1]Hugst!$R$5:$W$9,MATCH(ROUNDUP((S$1)/10,0)*10,[1]Hugst!$R$4:$W$4,0))))</f>
        <v>0</v>
      </c>
      <c r="T143">
        <f ca="1">IF($C143-T$1&lt;År1,0,S142*(1-VLOOKUP($A143,[1]Hugst!$R$5:$W$9,MATCH(ROUNDUP((T$1)/10,0)*10,[1]Hugst!$R$4:$W$4,0))))</f>
        <v>0</v>
      </c>
      <c r="U143">
        <f ca="1">IF($C143-U$1&lt;År1,0,T142*(1-VLOOKUP($A143,[1]Hugst!$R$5:$W$9,MATCH(ROUNDUP((U$1)/10,0)*10,[1]Hugst!$R$4:$W$4,0))))</f>
        <v>0</v>
      </c>
      <c r="V143">
        <f ca="1">IF($C143-V$1&lt;År1,0,U142*(1-VLOOKUP($A143,[1]Hugst!$R$5:$W$9,MATCH(ROUNDUP((V$1)/10,0)*10,[1]Hugst!$R$4:$W$4,0))))</f>
        <v>0</v>
      </c>
      <c r="W143">
        <f ca="1">IF($C143-W$1&lt;År1,0,V142*(1-VLOOKUP($A143,[1]Hugst!$R$5:$W$9,MATCH(ROUNDUP((W$1)/10,0)*10,[1]Hugst!$R$4:$W$4,0))))</f>
        <v>0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0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>
        <f ca="1">IF($C144-G$1&lt;År1,0,F143*(1-VLOOKUP($A144,[1]Hugst!$R$5:$W$9,MATCH(ROUNDUP((G$1)/10,0)*10,[1]Hugst!$R$4:$W$4,0))))</f>
        <v>0</v>
      </c>
      <c r="H144">
        <f ca="1">IF($C144-H$1&lt;År1,0,G143*(1-VLOOKUP($A144,[1]Hugst!$R$5:$W$9,MATCH(ROUNDUP((H$1)/10,0)*10,[1]Hugst!$R$4:$W$4,0))))</f>
        <v>0</v>
      </c>
      <c r="I144">
        <f ca="1">IF($C144-I$1&lt;År1,0,H143*(1-VLOOKUP($A144,[1]Hugst!$R$5:$W$9,MATCH(ROUNDUP((I$1)/10,0)*10,[1]Hugst!$R$4:$W$4,0))))</f>
        <v>0</v>
      </c>
      <c r="J144">
        <f ca="1">IF($C144-J$1&lt;År1,0,I143*(1-VLOOKUP($A144,[1]Hugst!$R$5:$W$9,MATCH(ROUNDUP((J$1)/10,0)*10,[1]Hugst!$R$4:$W$4,0))))</f>
        <v>0</v>
      </c>
      <c r="K144">
        <f ca="1">IF($C144-K$1&lt;År1,0,J143*(1-VLOOKUP($A144,[1]Hugst!$R$5:$W$9,MATCH(ROUNDUP((K$1)/10,0)*10,[1]Hugst!$R$4:$W$4,0))))</f>
        <v>0</v>
      </c>
      <c r="L144">
        <f ca="1">IF($C144-L$1&lt;År1,0,K143*(1-VLOOKUP($A144,[1]Hugst!$R$5:$W$9,MATCH(ROUNDUP((L$1)/10,0)*10,[1]Hugst!$R$4:$W$4,0))))</f>
        <v>0</v>
      </c>
      <c r="M144">
        <f ca="1">IF($C144-M$1&lt;År1,0,L143*(1-VLOOKUP($A144,[1]Hugst!$R$5:$W$9,MATCH(ROUNDUP((M$1)/10,0)*10,[1]Hugst!$R$4:$W$4,0))))</f>
        <v>0</v>
      </c>
      <c r="N144">
        <f ca="1">IF($C144-N$1&lt;År1,0,M143*(1-VLOOKUP($A144,[1]Hugst!$R$5:$W$9,MATCH(ROUNDUP((N$1)/10,0)*10,[1]Hugst!$R$4:$W$4,0))))</f>
        <v>0</v>
      </c>
      <c r="O144">
        <f ca="1">IF($C144-O$1&lt;År1,0,N143*(1-VLOOKUP($A144,[1]Hugst!$R$5:$W$9,MATCH(ROUNDUP((O$1)/10,0)*10,[1]Hugst!$R$4:$W$4,0))))</f>
        <v>0</v>
      </c>
      <c r="P144">
        <f ca="1">IF($C144-P$1&lt;År1,0,O143*(1-VLOOKUP($A144,[1]Hugst!$R$5:$W$9,MATCH(ROUNDUP((P$1)/10,0)*10,[1]Hugst!$R$4:$W$4,0))))</f>
        <v>0</v>
      </c>
      <c r="Q144">
        <f ca="1">IF($C144-Q$1&lt;År1,0,P143*(1-VLOOKUP($A144,[1]Hugst!$R$5:$W$9,MATCH(ROUNDUP((Q$1)/10,0)*10,[1]Hugst!$R$4:$W$4,0))))</f>
        <v>0</v>
      </c>
      <c r="R144">
        <f ca="1">IF($C144-R$1&lt;År1,0,Q143*(1-VLOOKUP($A144,[1]Hugst!$R$5:$W$9,MATCH(ROUNDUP((R$1)/10,0)*10,[1]Hugst!$R$4:$W$4,0))))</f>
        <v>0</v>
      </c>
      <c r="S144">
        <f ca="1">IF($C144-S$1&lt;År1,0,R143*(1-VLOOKUP($A144,[1]Hugst!$R$5:$W$9,MATCH(ROUNDUP((S$1)/10,0)*10,[1]Hugst!$R$4:$W$4,0))))</f>
        <v>0</v>
      </c>
      <c r="T144">
        <f ca="1">IF($C144-T$1&lt;År1,0,S143*(1-VLOOKUP($A144,[1]Hugst!$R$5:$W$9,MATCH(ROUNDUP((T$1)/10,0)*10,[1]Hugst!$R$4:$W$4,0))))</f>
        <v>0</v>
      </c>
      <c r="U144">
        <f ca="1">IF($C144-U$1&lt;År1,0,T143*(1-VLOOKUP($A144,[1]Hugst!$R$5:$W$9,MATCH(ROUNDUP((U$1)/10,0)*10,[1]Hugst!$R$4:$W$4,0))))</f>
        <v>0</v>
      </c>
      <c r="V144">
        <f ca="1">IF($C144-V$1&lt;År1,0,U143*(1-VLOOKUP($A144,[1]Hugst!$R$5:$W$9,MATCH(ROUNDUP((V$1)/10,0)*10,[1]Hugst!$R$4:$W$4,0))))</f>
        <v>0</v>
      </c>
      <c r="W144">
        <f ca="1">IF($C144-W$1&lt;År1,0,V143*(1-VLOOKUP($A144,[1]Hugst!$R$5:$W$9,MATCH(ROUNDUP((W$1)/10,0)*10,[1]Hugst!$R$4:$W$4,0))))</f>
        <v>0</v>
      </c>
      <c r="X144">
        <f ca="1">IF($C144-X$1&lt;År1,0,W143*(1-VLOOKUP($A144,[1]Hugst!$R$5:$W$9,MATCH(ROUNDUP((X$1)/10,0)*10,[1]Hugst!$R$4:$W$4,0))))</f>
        <v>0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0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>
        <f ca="1">IF($C145-G$1&lt;År1,0,F144*(1-VLOOKUP($A145,[1]Hugst!$R$5:$W$9,MATCH(ROUNDUP((G$1)/10,0)*10,[1]Hugst!$R$4:$W$4,0))))</f>
        <v>0</v>
      </c>
      <c r="H145">
        <f ca="1">IF($C145-H$1&lt;År1,0,G144*(1-VLOOKUP($A145,[1]Hugst!$R$5:$W$9,MATCH(ROUNDUP((H$1)/10,0)*10,[1]Hugst!$R$4:$W$4,0))))</f>
        <v>0</v>
      </c>
      <c r="I145">
        <f ca="1">IF($C145-I$1&lt;År1,0,H144*(1-VLOOKUP($A145,[1]Hugst!$R$5:$W$9,MATCH(ROUNDUP((I$1)/10,0)*10,[1]Hugst!$R$4:$W$4,0))))</f>
        <v>0</v>
      </c>
      <c r="J145">
        <f ca="1">IF($C145-J$1&lt;År1,0,I144*(1-VLOOKUP($A145,[1]Hugst!$R$5:$W$9,MATCH(ROUNDUP((J$1)/10,0)*10,[1]Hugst!$R$4:$W$4,0))))</f>
        <v>0</v>
      </c>
      <c r="K145">
        <f ca="1">IF($C145-K$1&lt;År1,0,J144*(1-VLOOKUP($A145,[1]Hugst!$R$5:$W$9,MATCH(ROUNDUP((K$1)/10,0)*10,[1]Hugst!$R$4:$W$4,0))))</f>
        <v>0</v>
      </c>
      <c r="L145">
        <f ca="1">IF($C145-L$1&lt;År1,0,K144*(1-VLOOKUP($A145,[1]Hugst!$R$5:$W$9,MATCH(ROUNDUP((L$1)/10,0)*10,[1]Hugst!$R$4:$W$4,0))))</f>
        <v>0</v>
      </c>
      <c r="M145">
        <f ca="1">IF($C145-M$1&lt;År1,0,L144*(1-VLOOKUP($A145,[1]Hugst!$R$5:$W$9,MATCH(ROUNDUP((M$1)/10,0)*10,[1]Hugst!$R$4:$W$4,0))))</f>
        <v>0</v>
      </c>
      <c r="N145">
        <f ca="1">IF($C145-N$1&lt;År1,0,M144*(1-VLOOKUP($A145,[1]Hugst!$R$5:$W$9,MATCH(ROUNDUP((N$1)/10,0)*10,[1]Hugst!$R$4:$W$4,0))))</f>
        <v>0</v>
      </c>
      <c r="O145">
        <f ca="1">IF($C145-O$1&lt;År1,0,N144*(1-VLOOKUP($A145,[1]Hugst!$R$5:$W$9,MATCH(ROUNDUP((O$1)/10,0)*10,[1]Hugst!$R$4:$W$4,0))))</f>
        <v>0</v>
      </c>
      <c r="P145">
        <f ca="1">IF($C145-P$1&lt;År1,0,O144*(1-VLOOKUP($A145,[1]Hugst!$R$5:$W$9,MATCH(ROUNDUP((P$1)/10,0)*10,[1]Hugst!$R$4:$W$4,0))))</f>
        <v>0</v>
      </c>
      <c r="Q145">
        <f ca="1">IF($C145-Q$1&lt;År1,0,P144*(1-VLOOKUP($A145,[1]Hugst!$R$5:$W$9,MATCH(ROUNDUP((Q$1)/10,0)*10,[1]Hugst!$R$4:$W$4,0))))</f>
        <v>0</v>
      </c>
      <c r="R145">
        <f ca="1">IF($C145-R$1&lt;År1,0,Q144*(1-VLOOKUP($A145,[1]Hugst!$R$5:$W$9,MATCH(ROUNDUP((R$1)/10,0)*10,[1]Hugst!$R$4:$W$4,0))))</f>
        <v>0</v>
      </c>
      <c r="S145">
        <f ca="1">IF($C145-S$1&lt;År1,0,R144*(1-VLOOKUP($A145,[1]Hugst!$R$5:$W$9,MATCH(ROUNDUP((S$1)/10,0)*10,[1]Hugst!$R$4:$W$4,0))))</f>
        <v>0</v>
      </c>
      <c r="T145">
        <f ca="1">IF($C145-T$1&lt;År1,0,S144*(1-VLOOKUP($A145,[1]Hugst!$R$5:$W$9,MATCH(ROUNDUP((T$1)/10,0)*10,[1]Hugst!$R$4:$W$4,0))))</f>
        <v>0</v>
      </c>
      <c r="U145">
        <f ca="1">IF($C145-U$1&lt;År1,0,T144*(1-VLOOKUP($A145,[1]Hugst!$R$5:$W$9,MATCH(ROUNDUP((U$1)/10,0)*10,[1]Hugst!$R$4:$W$4,0))))</f>
        <v>0</v>
      </c>
      <c r="V145">
        <f ca="1">IF($C145-V$1&lt;År1,0,U144*(1-VLOOKUP($A145,[1]Hugst!$R$5:$W$9,MATCH(ROUNDUP((V$1)/10,0)*10,[1]Hugst!$R$4:$W$4,0))))</f>
        <v>0</v>
      </c>
      <c r="W145">
        <f ca="1">IF($C145-W$1&lt;År1,0,V144*(1-VLOOKUP($A145,[1]Hugst!$R$5:$W$9,MATCH(ROUNDUP((W$1)/10,0)*10,[1]Hugst!$R$4:$W$4,0))))</f>
        <v>0</v>
      </c>
      <c r="X145">
        <f ca="1">IF($C145-X$1&lt;År1,0,W144*(1-VLOOKUP($A145,[1]Hugst!$R$5:$W$9,MATCH(ROUNDUP((X$1)/10,0)*10,[1]Hugst!$R$4:$W$4,0))))</f>
        <v>0</v>
      </c>
      <c r="Y145">
        <f ca="1">IF($C145-Y$1&lt;År1,0,X144*(1-VLOOKUP($A145,[1]Hugst!$R$5:$W$9,MATCH(ROUNDUP((Y$1)/10,0)*10,[1]Hugst!$R$4:$W$4,0))))</f>
        <v>0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0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>
        <f ca="1">IF($C146-G$1&lt;År1,0,F145*(1-VLOOKUP($A146,[1]Hugst!$R$5:$W$9,MATCH(ROUNDUP((G$1)/10,0)*10,[1]Hugst!$R$4:$W$4,0))))</f>
        <v>0</v>
      </c>
      <c r="H146">
        <f ca="1">IF($C146-H$1&lt;År1,0,G145*(1-VLOOKUP($A146,[1]Hugst!$R$5:$W$9,MATCH(ROUNDUP((H$1)/10,0)*10,[1]Hugst!$R$4:$W$4,0))))</f>
        <v>0</v>
      </c>
      <c r="I146">
        <f ca="1">IF($C146-I$1&lt;År1,0,H145*(1-VLOOKUP($A146,[1]Hugst!$R$5:$W$9,MATCH(ROUNDUP((I$1)/10,0)*10,[1]Hugst!$R$4:$W$4,0))))</f>
        <v>0</v>
      </c>
      <c r="J146">
        <f ca="1">IF($C146-J$1&lt;År1,0,I145*(1-VLOOKUP($A146,[1]Hugst!$R$5:$W$9,MATCH(ROUNDUP((J$1)/10,0)*10,[1]Hugst!$R$4:$W$4,0))))</f>
        <v>0</v>
      </c>
      <c r="K146">
        <f ca="1">IF($C146-K$1&lt;År1,0,J145*(1-VLOOKUP($A146,[1]Hugst!$R$5:$W$9,MATCH(ROUNDUP((K$1)/10,0)*10,[1]Hugst!$R$4:$W$4,0))))</f>
        <v>0</v>
      </c>
      <c r="L146">
        <f ca="1">IF($C146-L$1&lt;År1,0,K145*(1-VLOOKUP($A146,[1]Hugst!$R$5:$W$9,MATCH(ROUNDUP((L$1)/10,0)*10,[1]Hugst!$R$4:$W$4,0))))</f>
        <v>0</v>
      </c>
      <c r="M146">
        <f ca="1">IF($C146-M$1&lt;År1,0,L145*(1-VLOOKUP($A146,[1]Hugst!$R$5:$W$9,MATCH(ROUNDUP((M$1)/10,0)*10,[1]Hugst!$R$4:$W$4,0))))</f>
        <v>0</v>
      </c>
      <c r="N146">
        <f ca="1">IF($C146-N$1&lt;År1,0,M145*(1-VLOOKUP($A146,[1]Hugst!$R$5:$W$9,MATCH(ROUNDUP((N$1)/10,0)*10,[1]Hugst!$R$4:$W$4,0))))</f>
        <v>0</v>
      </c>
      <c r="O146">
        <f ca="1">IF($C146-O$1&lt;År1,0,N145*(1-VLOOKUP($A146,[1]Hugst!$R$5:$W$9,MATCH(ROUNDUP((O$1)/10,0)*10,[1]Hugst!$R$4:$W$4,0))))</f>
        <v>0</v>
      </c>
      <c r="P146">
        <f ca="1">IF($C146-P$1&lt;År1,0,O145*(1-VLOOKUP($A146,[1]Hugst!$R$5:$W$9,MATCH(ROUNDUP((P$1)/10,0)*10,[1]Hugst!$R$4:$W$4,0))))</f>
        <v>0</v>
      </c>
      <c r="Q146">
        <f ca="1">IF($C146-Q$1&lt;År1,0,P145*(1-VLOOKUP($A146,[1]Hugst!$R$5:$W$9,MATCH(ROUNDUP((Q$1)/10,0)*10,[1]Hugst!$R$4:$W$4,0))))</f>
        <v>0</v>
      </c>
      <c r="R146">
        <f ca="1">IF($C146-R$1&lt;År1,0,Q145*(1-VLOOKUP($A146,[1]Hugst!$R$5:$W$9,MATCH(ROUNDUP((R$1)/10,0)*10,[1]Hugst!$R$4:$W$4,0))))</f>
        <v>0</v>
      </c>
      <c r="S146">
        <f ca="1">IF($C146-S$1&lt;År1,0,R145*(1-VLOOKUP($A146,[1]Hugst!$R$5:$W$9,MATCH(ROUNDUP((S$1)/10,0)*10,[1]Hugst!$R$4:$W$4,0))))</f>
        <v>0</v>
      </c>
      <c r="T146">
        <f ca="1">IF($C146-T$1&lt;År1,0,S145*(1-VLOOKUP($A146,[1]Hugst!$R$5:$W$9,MATCH(ROUNDUP((T$1)/10,0)*10,[1]Hugst!$R$4:$W$4,0))))</f>
        <v>0</v>
      </c>
      <c r="U146">
        <f ca="1">IF($C146-U$1&lt;År1,0,T145*(1-VLOOKUP($A146,[1]Hugst!$R$5:$W$9,MATCH(ROUNDUP((U$1)/10,0)*10,[1]Hugst!$R$4:$W$4,0))))</f>
        <v>0</v>
      </c>
      <c r="V146">
        <f ca="1">IF($C146-V$1&lt;År1,0,U145*(1-VLOOKUP($A146,[1]Hugst!$R$5:$W$9,MATCH(ROUNDUP((V$1)/10,0)*10,[1]Hugst!$R$4:$W$4,0))))</f>
        <v>0</v>
      </c>
      <c r="W146">
        <f ca="1">IF($C146-W$1&lt;År1,0,V145*(1-VLOOKUP($A146,[1]Hugst!$R$5:$W$9,MATCH(ROUNDUP((W$1)/10,0)*10,[1]Hugst!$R$4:$W$4,0))))</f>
        <v>0</v>
      </c>
      <c r="X146">
        <f ca="1">IF($C146-X$1&lt;År1,0,W145*(1-VLOOKUP($A146,[1]Hugst!$R$5:$W$9,MATCH(ROUNDUP((X$1)/10,0)*10,[1]Hugst!$R$4:$W$4,0))))</f>
        <v>0</v>
      </c>
      <c r="Y146">
        <f ca="1">IF($C146-Y$1&lt;År1,0,X145*(1-VLOOKUP($A146,[1]Hugst!$R$5:$W$9,MATCH(ROUNDUP((Y$1)/10,0)*10,[1]Hugst!$R$4:$W$4,0))))</f>
        <v>0</v>
      </c>
      <c r="Z146">
        <f ca="1">IF($C146-Z$1&lt;År1,0,Y145*(1-VLOOKUP($A146,[1]Hugst!$R$5:$W$9,MATCH(ROUNDUP((Z$1)/10,0)*10,[1]Hugst!$R$4:$W$4,0))))</f>
        <v>0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0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>
        <f ca="1">IF($C147-G$1&lt;År1,0,F146*(1-VLOOKUP($A147,[1]Hugst!$R$5:$W$9,MATCH(ROUNDUP((G$1)/10,0)*10,[1]Hugst!$R$4:$W$4,0))))</f>
        <v>0</v>
      </c>
      <c r="H147">
        <f ca="1">IF($C147-H$1&lt;År1,0,G146*(1-VLOOKUP($A147,[1]Hugst!$R$5:$W$9,MATCH(ROUNDUP((H$1)/10,0)*10,[1]Hugst!$R$4:$W$4,0))))</f>
        <v>0</v>
      </c>
      <c r="I147">
        <f ca="1">IF($C147-I$1&lt;År1,0,H146*(1-VLOOKUP($A147,[1]Hugst!$R$5:$W$9,MATCH(ROUNDUP((I$1)/10,0)*10,[1]Hugst!$R$4:$W$4,0))))</f>
        <v>0</v>
      </c>
      <c r="J147">
        <f ca="1">IF($C147-J$1&lt;År1,0,I146*(1-VLOOKUP($A147,[1]Hugst!$R$5:$W$9,MATCH(ROUNDUP((J$1)/10,0)*10,[1]Hugst!$R$4:$W$4,0))))</f>
        <v>0</v>
      </c>
      <c r="K147">
        <f ca="1">IF($C147-K$1&lt;År1,0,J146*(1-VLOOKUP($A147,[1]Hugst!$R$5:$W$9,MATCH(ROUNDUP((K$1)/10,0)*10,[1]Hugst!$R$4:$W$4,0))))</f>
        <v>0</v>
      </c>
      <c r="L147">
        <f ca="1">IF($C147-L$1&lt;År1,0,K146*(1-VLOOKUP($A147,[1]Hugst!$R$5:$W$9,MATCH(ROUNDUP((L$1)/10,0)*10,[1]Hugst!$R$4:$W$4,0))))</f>
        <v>0</v>
      </c>
      <c r="M147">
        <f ca="1">IF($C147-M$1&lt;År1,0,L146*(1-VLOOKUP($A147,[1]Hugst!$R$5:$W$9,MATCH(ROUNDUP((M$1)/10,0)*10,[1]Hugst!$R$4:$W$4,0))))</f>
        <v>0</v>
      </c>
      <c r="N147">
        <f ca="1">IF($C147-N$1&lt;År1,0,M146*(1-VLOOKUP($A147,[1]Hugst!$R$5:$W$9,MATCH(ROUNDUP((N$1)/10,0)*10,[1]Hugst!$R$4:$W$4,0))))</f>
        <v>0</v>
      </c>
      <c r="O147">
        <f ca="1">IF($C147-O$1&lt;År1,0,N146*(1-VLOOKUP($A147,[1]Hugst!$R$5:$W$9,MATCH(ROUNDUP((O$1)/10,0)*10,[1]Hugst!$R$4:$W$4,0))))</f>
        <v>0</v>
      </c>
      <c r="P147">
        <f ca="1">IF($C147-P$1&lt;År1,0,O146*(1-VLOOKUP($A147,[1]Hugst!$R$5:$W$9,MATCH(ROUNDUP((P$1)/10,0)*10,[1]Hugst!$R$4:$W$4,0))))</f>
        <v>0</v>
      </c>
      <c r="Q147">
        <f ca="1">IF($C147-Q$1&lt;År1,0,P146*(1-VLOOKUP($A147,[1]Hugst!$R$5:$W$9,MATCH(ROUNDUP((Q$1)/10,0)*10,[1]Hugst!$R$4:$W$4,0))))</f>
        <v>0</v>
      </c>
      <c r="R147">
        <f ca="1">IF($C147-R$1&lt;År1,0,Q146*(1-VLOOKUP($A147,[1]Hugst!$R$5:$W$9,MATCH(ROUNDUP((R$1)/10,0)*10,[1]Hugst!$R$4:$W$4,0))))</f>
        <v>0</v>
      </c>
      <c r="S147">
        <f ca="1">IF($C147-S$1&lt;År1,0,R146*(1-VLOOKUP($A147,[1]Hugst!$R$5:$W$9,MATCH(ROUNDUP((S$1)/10,0)*10,[1]Hugst!$R$4:$W$4,0))))</f>
        <v>0</v>
      </c>
      <c r="T147">
        <f ca="1">IF($C147-T$1&lt;År1,0,S146*(1-VLOOKUP($A147,[1]Hugst!$R$5:$W$9,MATCH(ROUNDUP((T$1)/10,0)*10,[1]Hugst!$R$4:$W$4,0))))</f>
        <v>0</v>
      </c>
      <c r="U147">
        <f ca="1">IF($C147-U$1&lt;År1,0,T146*(1-VLOOKUP($A147,[1]Hugst!$R$5:$W$9,MATCH(ROUNDUP((U$1)/10,0)*10,[1]Hugst!$R$4:$W$4,0))))</f>
        <v>0</v>
      </c>
      <c r="V147">
        <f ca="1">IF($C147-V$1&lt;År1,0,U146*(1-VLOOKUP($A147,[1]Hugst!$R$5:$W$9,MATCH(ROUNDUP((V$1)/10,0)*10,[1]Hugst!$R$4:$W$4,0))))</f>
        <v>0</v>
      </c>
      <c r="W147">
        <f ca="1">IF($C147-W$1&lt;År1,0,V146*(1-VLOOKUP($A147,[1]Hugst!$R$5:$W$9,MATCH(ROUNDUP((W$1)/10,0)*10,[1]Hugst!$R$4:$W$4,0))))</f>
        <v>0</v>
      </c>
      <c r="X147">
        <f ca="1">IF($C147-X$1&lt;År1,0,W146*(1-VLOOKUP($A147,[1]Hugst!$R$5:$W$9,MATCH(ROUNDUP((X$1)/10,0)*10,[1]Hugst!$R$4:$W$4,0))))</f>
        <v>0</v>
      </c>
      <c r="Y147">
        <f ca="1">IF($C147-Y$1&lt;År1,0,X146*(1-VLOOKUP($A147,[1]Hugst!$R$5:$W$9,MATCH(ROUNDUP((Y$1)/10,0)*10,[1]Hugst!$R$4:$W$4,0))))</f>
        <v>0</v>
      </c>
      <c r="Z147">
        <f ca="1">IF($C147-Z$1&lt;År1,0,Y146*(1-VLOOKUP($A147,[1]Hugst!$R$5:$W$9,MATCH(ROUNDUP((Z$1)/10,0)*10,[1]Hugst!$R$4:$W$4,0))))</f>
        <v>0</v>
      </c>
      <c r="AA147">
        <f ca="1">IF($C147-AA$1&lt;År1,0,Z146*(1-VLOOKUP($A147,[1]Hugst!$R$5:$W$9,MATCH(ROUNDUP((AA$1)/10,0)*10,[1]Hugst!$R$4:$W$4,0))))</f>
        <v>0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0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>
        <f ca="1">IF($C148-G$1&lt;År1,0,F147*(1-VLOOKUP($A148,[1]Hugst!$R$5:$W$9,MATCH(ROUNDUP((G$1)/10,0)*10,[1]Hugst!$R$4:$W$4,0))))</f>
        <v>0</v>
      </c>
      <c r="H148">
        <f ca="1">IF($C148-H$1&lt;År1,0,G147*(1-VLOOKUP($A148,[1]Hugst!$R$5:$W$9,MATCH(ROUNDUP((H$1)/10,0)*10,[1]Hugst!$R$4:$W$4,0))))</f>
        <v>0</v>
      </c>
      <c r="I148">
        <f ca="1">IF($C148-I$1&lt;År1,0,H147*(1-VLOOKUP($A148,[1]Hugst!$R$5:$W$9,MATCH(ROUNDUP((I$1)/10,0)*10,[1]Hugst!$R$4:$W$4,0))))</f>
        <v>0</v>
      </c>
      <c r="J148">
        <f ca="1">IF($C148-J$1&lt;År1,0,I147*(1-VLOOKUP($A148,[1]Hugst!$R$5:$W$9,MATCH(ROUNDUP((J$1)/10,0)*10,[1]Hugst!$R$4:$W$4,0))))</f>
        <v>0</v>
      </c>
      <c r="K148">
        <f ca="1">IF($C148-K$1&lt;År1,0,J147*(1-VLOOKUP($A148,[1]Hugst!$R$5:$W$9,MATCH(ROUNDUP((K$1)/10,0)*10,[1]Hugst!$R$4:$W$4,0))))</f>
        <v>0</v>
      </c>
      <c r="L148">
        <f ca="1">IF($C148-L$1&lt;År1,0,K147*(1-VLOOKUP($A148,[1]Hugst!$R$5:$W$9,MATCH(ROUNDUP((L$1)/10,0)*10,[1]Hugst!$R$4:$W$4,0))))</f>
        <v>0</v>
      </c>
      <c r="M148">
        <f ca="1">IF($C148-M$1&lt;År1,0,L147*(1-VLOOKUP($A148,[1]Hugst!$R$5:$W$9,MATCH(ROUNDUP((M$1)/10,0)*10,[1]Hugst!$R$4:$W$4,0))))</f>
        <v>0</v>
      </c>
      <c r="N148">
        <f ca="1">IF($C148-N$1&lt;År1,0,M147*(1-VLOOKUP($A148,[1]Hugst!$R$5:$W$9,MATCH(ROUNDUP((N$1)/10,0)*10,[1]Hugst!$R$4:$W$4,0))))</f>
        <v>0</v>
      </c>
      <c r="O148">
        <f ca="1">IF($C148-O$1&lt;År1,0,N147*(1-VLOOKUP($A148,[1]Hugst!$R$5:$W$9,MATCH(ROUNDUP((O$1)/10,0)*10,[1]Hugst!$R$4:$W$4,0))))</f>
        <v>0</v>
      </c>
      <c r="P148">
        <f ca="1">IF($C148-P$1&lt;År1,0,O147*(1-VLOOKUP($A148,[1]Hugst!$R$5:$W$9,MATCH(ROUNDUP((P$1)/10,0)*10,[1]Hugst!$R$4:$W$4,0))))</f>
        <v>0</v>
      </c>
      <c r="Q148">
        <f ca="1">IF($C148-Q$1&lt;År1,0,P147*(1-VLOOKUP($A148,[1]Hugst!$R$5:$W$9,MATCH(ROUNDUP((Q$1)/10,0)*10,[1]Hugst!$R$4:$W$4,0))))</f>
        <v>0</v>
      </c>
      <c r="R148">
        <f ca="1">IF($C148-R$1&lt;År1,0,Q147*(1-VLOOKUP($A148,[1]Hugst!$R$5:$W$9,MATCH(ROUNDUP((R$1)/10,0)*10,[1]Hugst!$R$4:$W$4,0))))</f>
        <v>0</v>
      </c>
      <c r="S148">
        <f ca="1">IF($C148-S$1&lt;År1,0,R147*(1-VLOOKUP($A148,[1]Hugst!$R$5:$W$9,MATCH(ROUNDUP((S$1)/10,0)*10,[1]Hugst!$R$4:$W$4,0))))</f>
        <v>0</v>
      </c>
      <c r="T148">
        <f ca="1">IF($C148-T$1&lt;År1,0,S147*(1-VLOOKUP($A148,[1]Hugst!$R$5:$W$9,MATCH(ROUNDUP((T$1)/10,0)*10,[1]Hugst!$R$4:$W$4,0))))</f>
        <v>0</v>
      </c>
      <c r="U148">
        <f ca="1">IF($C148-U$1&lt;År1,0,T147*(1-VLOOKUP($A148,[1]Hugst!$R$5:$W$9,MATCH(ROUNDUP((U$1)/10,0)*10,[1]Hugst!$R$4:$W$4,0))))</f>
        <v>0</v>
      </c>
      <c r="V148">
        <f ca="1">IF($C148-V$1&lt;År1,0,U147*(1-VLOOKUP($A148,[1]Hugst!$R$5:$W$9,MATCH(ROUNDUP((V$1)/10,0)*10,[1]Hugst!$R$4:$W$4,0))))</f>
        <v>0</v>
      </c>
      <c r="W148">
        <f ca="1">IF($C148-W$1&lt;År1,0,V147*(1-VLOOKUP($A148,[1]Hugst!$R$5:$W$9,MATCH(ROUNDUP((W$1)/10,0)*10,[1]Hugst!$R$4:$W$4,0))))</f>
        <v>0</v>
      </c>
      <c r="X148">
        <f ca="1">IF($C148-X$1&lt;År1,0,W147*(1-VLOOKUP($A148,[1]Hugst!$R$5:$W$9,MATCH(ROUNDUP((X$1)/10,0)*10,[1]Hugst!$R$4:$W$4,0))))</f>
        <v>0</v>
      </c>
      <c r="Y148">
        <f ca="1">IF($C148-Y$1&lt;År1,0,X147*(1-VLOOKUP($A148,[1]Hugst!$R$5:$W$9,MATCH(ROUNDUP((Y$1)/10,0)*10,[1]Hugst!$R$4:$W$4,0))))</f>
        <v>0</v>
      </c>
      <c r="Z148">
        <f ca="1">IF($C148-Z$1&lt;År1,0,Y147*(1-VLOOKUP($A148,[1]Hugst!$R$5:$W$9,MATCH(ROUNDUP((Z$1)/10,0)*10,[1]Hugst!$R$4:$W$4,0))))</f>
        <v>0</v>
      </c>
      <c r="AA148">
        <f ca="1">IF($C148-AA$1&lt;År1,0,Z147*(1-VLOOKUP($A148,[1]Hugst!$R$5:$W$9,MATCH(ROUNDUP((AA$1)/10,0)*10,[1]Hugst!$R$4:$W$4,0))))</f>
        <v>0</v>
      </c>
      <c r="AB148">
        <f ca="1">IF($C148-AB$1&lt;År1,0,AA147*(1-VLOOKUP($A148,[1]Hugst!$R$5:$W$9,MATCH(ROUNDUP((AB$1)/10,0)*10,[1]Hugst!$R$4:$W$4,0))))</f>
        <v>0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0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>
        <f ca="1">IF($C149-G$1&lt;År1,0,F148*(1-VLOOKUP($A149,[1]Hugst!$R$5:$W$9,MATCH(ROUNDUP((G$1)/10,0)*10,[1]Hugst!$R$4:$W$4,0))))</f>
        <v>0</v>
      </c>
      <c r="H149">
        <f ca="1">IF($C149-H$1&lt;År1,0,G148*(1-VLOOKUP($A149,[1]Hugst!$R$5:$W$9,MATCH(ROUNDUP((H$1)/10,0)*10,[1]Hugst!$R$4:$W$4,0))))</f>
        <v>0</v>
      </c>
      <c r="I149">
        <f ca="1">IF($C149-I$1&lt;År1,0,H148*(1-VLOOKUP($A149,[1]Hugst!$R$5:$W$9,MATCH(ROUNDUP((I$1)/10,0)*10,[1]Hugst!$R$4:$W$4,0))))</f>
        <v>0</v>
      </c>
      <c r="J149">
        <f ca="1">IF($C149-J$1&lt;År1,0,I148*(1-VLOOKUP($A149,[1]Hugst!$R$5:$W$9,MATCH(ROUNDUP((J$1)/10,0)*10,[1]Hugst!$R$4:$W$4,0))))</f>
        <v>0</v>
      </c>
      <c r="K149">
        <f ca="1">IF($C149-K$1&lt;År1,0,J148*(1-VLOOKUP($A149,[1]Hugst!$R$5:$W$9,MATCH(ROUNDUP((K$1)/10,0)*10,[1]Hugst!$R$4:$W$4,0))))</f>
        <v>0</v>
      </c>
      <c r="L149">
        <f ca="1">IF($C149-L$1&lt;År1,0,K148*(1-VLOOKUP($A149,[1]Hugst!$R$5:$W$9,MATCH(ROUNDUP((L$1)/10,0)*10,[1]Hugst!$R$4:$W$4,0))))</f>
        <v>0</v>
      </c>
      <c r="M149">
        <f ca="1">IF($C149-M$1&lt;År1,0,L148*(1-VLOOKUP($A149,[1]Hugst!$R$5:$W$9,MATCH(ROUNDUP((M$1)/10,0)*10,[1]Hugst!$R$4:$W$4,0))))</f>
        <v>0</v>
      </c>
      <c r="N149">
        <f ca="1">IF($C149-N$1&lt;År1,0,M148*(1-VLOOKUP($A149,[1]Hugst!$R$5:$W$9,MATCH(ROUNDUP((N$1)/10,0)*10,[1]Hugst!$R$4:$W$4,0))))</f>
        <v>0</v>
      </c>
      <c r="O149">
        <f ca="1">IF($C149-O$1&lt;År1,0,N148*(1-VLOOKUP($A149,[1]Hugst!$R$5:$W$9,MATCH(ROUNDUP((O$1)/10,0)*10,[1]Hugst!$R$4:$W$4,0))))</f>
        <v>0</v>
      </c>
      <c r="P149">
        <f ca="1">IF($C149-P$1&lt;År1,0,O148*(1-VLOOKUP($A149,[1]Hugst!$R$5:$W$9,MATCH(ROUNDUP((P$1)/10,0)*10,[1]Hugst!$R$4:$W$4,0))))</f>
        <v>0</v>
      </c>
      <c r="Q149">
        <f ca="1">IF($C149-Q$1&lt;År1,0,P148*(1-VLOOKUP($A149,[1]Hugst!$R$5:$W$9,MATCH(ROUNDUP((Q$1)/10,0)*10,[1]Hugst!$R$4:$W$4,0))))</f>
        <v>0</v>
      </c>
      <c r="R149">
        <f ca="1">IF($C149-R$1&lt;År1,0,Q148*(1-VLOOKUP($A149,[1]Hugst!$R$5:$W$9,MATCH(ROUNDUP((R$1)/10,0)*10,[1]Hugst!$R$4:$W$4,0))))</f>
        <v>0</v>
      </c>
      <c r="S149">
        <f ca="1">IF($C149-S$1&lt;År1,0,R148*(1-VLOOKUP($A149,[1]Hugst!$R$5:$W$9,MATCH(ROUNDUP((S$1)/10,0)*10,[1]Hugst!$R$4:$W$4,0))))</f>
        <v>0</v>
      </c>
      <c r="T149">
        <f ca="1">IF($C149-T$1&lt;År1,0,S148*(1-VLOOKUP($A149,[1]Hugst!$R$5:$W$9,MATCH(ROUNDUP((T$1)/10,0)*10,[1]Hugst!$R$4:$W$4,0))))</f>
        <v>0</v>
      </c>
      <c r="U149">
        <f ca="1">IF($C149-U$1&lt;År1,0,T148*(1-VLOOKUP($A149,[1]Hugst!$R$5:$W$9,MATCH(ROUNDUP((U$1)/10,0)*10,[1]Hugst!$R$4:$W$4,0))))</f>
        <v>0</v>
      </c>
      <c r="V149">
        <f ca="1">IF($C149-V$1&lt;År1,0,U148*(1-VLOOKUP($A149,[1]Hugst!$R$5:$W$9,MATCH(ROUNDUP((V$1)/10,0)*10,[1]Hugst!$R$4:$W$4,0))))</f>
        <v>0</v>
      </c>
      <c r="W149">
        <f ca="1">IF($C149-W$1&lt;År1,0,V148*(1-VLOOKUP($A149,[1]Hugst!$R$5:$W$9,MATCH(ROUNDUP((W$1)/10,0)*10,[1]Hugst!$R$4:$W$4,0))))</f>
        <v>0</v>
      </c>
      <c r="X149">
        <f ca="1">IF($C149-X$1&lt;År1,0,W148*(1-VLOOKUP($A149,[1]Hugst!$R$5:$W$9,MATCH(ROUNDUP((X$1)/10,0)*10,[1]Hugst!$R$4:$W$4,0))))</f>
        <v>0</v>
      </c>
      <c r="Y149">
        <f ca="1">IF($C149-Y$1&lt;År1,0,X148*(1-VLOOKUP($A149,[1]Hugst!$R$5:$W$9,MATCH(ROUNDUP((Y$1)/10,0)*10,[1]Hugst!$R$4:$W$4,0))))</f>
        <v>0</v>
      </c>
      <c r="Z149">
        <f ca="1">IF($C149-Z$1&lt;År1,0,Y148*(1-VLOOKUP($A149,[1]Hugst!$R$5:$W$9,MATCH(ROUNDUP((Z$1)/10,0)*10,[1]Hugst!$R$4:$W$4,0))))</f>
        <v>0</v>
      </c>
      <c r="AA149">
        <f ca="1">IF($C149-AA$1&lt;År1,0,Z148*(1-VLOOKUP($A149,[1]Hugst!$R$5:$W$9,MATCH(ROUNDUP((AA$1)/10,0)*10,[1]Hugst!$R$4:$W$4,0))))</f>
        <v>0</v>
      </c>
      <c r="AB149">
        <f ca="1">IF($C149-AB$1&lt;År1,0,AA148*(1-VLOOKUP($A149,[1]Hugst!$R$5:$W$9,MATCH(ROUNDUP((AB$1)/10,0)*10,[1]Hugst!$R$4:$W$4,0))))</f>
        <v>0</v>
      </c>
      <c r="AC149">
        <f ca="1">IF($C149-AC$1&lt;År1,0,AB148*(1-VLOOKUP($A149,[1]Hugst!$R$5:$W$9,MATCH(ROUNDUP((AC$1)/10,0)*10,[1]Hugst!$R$4:$W$4,0))))</f>
        <v>0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0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>
        <f ca="1">IF($C150-G$1&lt;År1,0,F149*(1-VLOOKUP($A150,[1]Hugst!$R$5:$W$9,MATCH(ROUNDUP((G$1)/10,0)*10,[1]Hugst!$R$4:$W$4,0))))</f>
        <v>0</v>
      </c>
      <c r="H150">
        <f ca="1">IF($C150-H$1&lt;År1,0,G149*(1-VLOOKUP($A150,[1]Hugst!$R$5:$W$9,MATCH(ROUNDUP((H$1)/10,0)*10,[1]Hugst!$R$4:$W$4,0))))</f>
        <v>0</v>
      </c>
      <c r="I150">
        <f ca="1">IF($C150-I$1&lt;År1,0,H149*(1-VLOOKUP($A150,[1]Hugst!$R$5:$W$9,MATCH(ROUNDUP((I$1)/10,0)*10,[1]Hugst!$R$4:$W$4,0))))</f>
        <v>0</v>
      </c>
      <c r="J150">
        <f ca="1">IF($C150-J$1&lt;År1,0,I149*(1-VLOOKUP($A150,[1]Hugst!$R$5:$W$9,MATCH(ROUNDUP((J$1)/10,0)*10,[1]Hugst!$R$4:$W$4,0))))</f>
        <v>0</v>
      </c>
      <c r="K150">
        <f ca="1">IF($C150-K$1&lt;År1,0,J149*(1-VLOOKUP($A150,[1]Hugst!$R$5:$W$9,MATCH(ROUNDUP((K$1)/10,0)*10,[1]Hugst!$R$4:$W$4,0))))</f>
        <v>0</v>
      </c>
      <c r="L150">
        <f ca="1">IF($C150-L$1&lt;År1,0,K149*(1-VLOOKUP($A150,[1]Hugst!$R$5:$W$9,MATCH(ROUNDUP((L$1)/10,0)*10,[1]Hugst!$R$4:$W$4,0))))</f>
        <v>0</v>
      </c>
      <c r="M150">
        <f ca="1">IF($C150-M$1&lt;År1,0,L149*(1-VLOOKUP($A150,[1]Hugst!$R$5:$W$9,MATCH(ROUNDUP((M$1)/10,0)*10,[1]Hugst!$R$4:$W$4,0))))</f>
        <v>0</v>
      </c>
      <c r="N150">
        <f ca="1">IF($C150-N$1&lt;År1,0,M149*(1-VLOOKUP($A150,[1]Hugst!$R$5:$W$9,MATCH(ROUNDUP((N$1)/10,0)*10,[1]Hugst!$R$4:$W$4,0))))</f>
        <v>0</v>
      </c>
      <c r="O150">
        <f ca="1">IF($C150-O$1&lt;År1,0,N149*(1-VLOOKUP($A150,[1]Hugst!$R$5:$W$9,MATCH(ROUNDUP((O$1)/10,0)*10,[1]Hugst!$R$4:$W$4,0))))</f>
        <v>0</v>
      </c>
      <c r="P150">
        <f ca="1">IF($C150-P$1&lt;År1,0,O149*(1-VLOOKUP($A150,[1]Hugst!$R$5:$W$9,MATCH(ROUNDUP((P$1)/10,0)*10,[1]Hugst!$R$4:$W$4,0))))</f>
        <v>0</v>
      </c>
      <c r="Q150">
        <f ca="1">IF($C150-Q$1&lt;År1,0,P149*(1-VLOOKUP($A150,[1]Hugst!$R$5:$W$9,MATCH(ROUNDUP((Q$1)/10,0)*10,[1]Hugst!$R$4:$W$4,0))))</f>
        <v>0</v>
      </c>
      <c r="R150">
        <f ca="1">IF($C150-R$1&lt;År1,0,Q149*(1-VLOOKUP($A150,[1]Hugst!$R$5:$W$9,MATCH(ROUNDUP((R$1)/10,0)*10,[1]Hugst!$R$4:$W$4,0))))</f>
        <v>0</v>
      </c>
      <c r="S150">
        <f ca="1">IF($C150-S$1&lt;År1,0,R149*(1-VLOOKUP($A150,[1]Hugst!$R$5:$W$9,MATCH(ROUNDUP((S$1)/10,0)*10,[1]Hugst!$R$4:$W$4,0))))</f>
        <v>0</v>
      </c>
      <c r="T150">
        <f ca="1">IF($C150-T$1&lt;År1,0,S149*(1-VLOOKUP($A150,[1]Hugst!$R$5:$W$9,MATCH(ROUNDUP((T$1)/10,0)*10,[1]Hugst!$R$4:$W$4,0))))</f>
        <v>0</v>
      </c>
      <c r="U150">
        <f ca="1">IF($C150-U$1&lt;År1,0,T149*(1-VLOOKUP($A150,[1]Hugst!$R$5:$W$9,MATCH(ROUNDUP((U$1)/10,0)*10,[1]Hugst!$R$4:$W$4,0))))</f>
        <v>0</v>
      </c>
      <c r="V150">
        <f ca="1">IF($C150-V$1&lt;År1,0,U149*(1-VLOOKUP($A150,[1]Hugst!$R$5:$W$9,MATCH(ROUNDUP((V$1)/10,0)*10,[1]Hugst!$R$4:$W$4,0))))</f>
        <v>0</v>
      </c>
      <c r="W150">
        <f ca="1">IF($C150-W$1&lt;År1,0,V149*(1-VLOOKUP($A150,[1]Hugst!$R$5:$W$9,MATCH(ROUNDUP((W$1)/10,0)*10,[1]Hugst!$R$4:$W$4,0))))</f>
        <v>0</v>
      </c>
      <c r="X150">
        <f ca="1">IF($C150-X$1&lt;År1,0,W149*(1-VLOOKUP($A150,[1]Hugst!$R$5:$W$9,MATCH(ROUNDUP((X$1)/10,0)*10,[1]Hugst!$R$4:$W$4,0))))</f>
        <v>0</v>
      </c>
      <c r="Y150">
        <f ca="1">IF($C150-Y$1&lt;År1,0,X149*(1-VLOOKUP($A150,[1]Hugst!$R$5:$W$9,MATCH(ROUNDUP((Y$1)/10,0)*10,[1]Hugst!$R$4:$W$4,0))))</f>
        <v>0</v>
      </c>
      <c r="Z150">
        <f ca="1">IF($C150-Z$1&lt;År1,0,Y149*(1-VLOOKUP($A150,[1]Hugst!$R$5:$W$9,MATCH(ROUNDUP((Z$1)/10,0)*10,[1]Hugst!$R$4:$W$4,0))))</f>
        <v>0</v>
      </c>
      <c r="AA150">
        <f ca="1">IF($C150-AA$1&lt;År1,0,Z149*(1-VLOOKUP($A150,[1]Hugst!$R$5:$W$9,MATCH(ROUNDUP((AA$1)/10,0)*10,[1]Hugst!$R$4:$W$4,0))))</f>
        <v>0</v>
      </c>
      <c r="AB150">
        <f ca="1">IF($C150-AB$1&lt;År1,0,AA149*(1-VLOOKUP($A150,[1]Hugst!$R$5:$W$9,MATCH(ROUNDUP((AB$1)/10,0)*10,[1]Hugst!$R$4:$W$4,0))))</f>
        <v>0</v>
      </c>
      <c r="AC150">
        <f ca="1">IF($C150-AC$1&lt;År1,0,AB149*(1-VLOOKUP($A150,[1]Hugst!$R$5:$W$9,MATCH(ROUNDUP((AC$1)/10,0)*10,[1]Hugst!$R$4:$W$4,0))))</f>
        <v>0</v>
      </c>
      <c r="AD150">
        <f ca="1">IF($C150-AD$1&lt;År1,0,AC149*(1-VLOOKUP($A150,[1]Hugst!$R$5:$W$9,MATCH(ROUNDUP((AD$1)/10,0)*10,[1]Hugst!$R$4:$W$4,0))))</f>
        <v>0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0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>
        <f ca="1">IF($C151-G$1&lt;År1,0,F150*(1-VLOOKUP($A151,[1]Hugst!$R$5:$W$9,MATCH(ROUNDUP((G$1)/10,0)*10,[1]Hugst!$R$4:$W$4,0))))</f>
        <v>0</v>
      </c>
      <c r="H151">
        <f ca="1">IF($C151-H$1&lt;År1,0,G150*(1-VLOOKUP($A151,[1]Hugst!$R$5:$W$9,MATCH(ROUNDUP((H$1)/10,0)*10,[1]Hugst!$R$4:$W$4,0))))</f>
        <v>0</v>
      </c>
      <c r="I151">
        <f ca="1">IF($C151-I$1&lt;År1,0,H150*(1-VLOOKUP($A151,[1]Hugst!$R$5:$W$9,MATCH(ROUNDUP((I$1)/10,0)*10,[1]Hugst!$R$4:$W$4,0))))</f>
        <v>0</v>
      </c>
      <c r="J151">
        <f ca="1">IF($C151-J$1&lt;År1,0,I150*(1-VLOOKUP($A151,[1]Hugst!$R$5:$W$9,MATCH(ROUNDUP((J$1)/10,0)*10,[1]Hugst!$R$4:$W$4,0))))</f>
        <v>0</v>
      </c>
      <c r="K151">
        <f ca="1">IF($C151-K$1&lt;År1,0,J150*(1-VLOOKUP($A151,[1]Hugst!$R$5:$W$9,MATCH(ROUNDUP((K$1)/10,0)*10,[1]Hugst!$R$4:$W$4,0))))</f>
        <v>0</v>
      </c>
      <c r="L151">
        <f ca="1">IF($C151-L$1&lt;År1,0,K150*(1-VLOOKUP($A151,[1]Hugst!$R$5:$W$9,MATCH(ROUNDUP((L$1)/10,0)*10,[1]Hugst!$R$4:$W$4,0))))</f>
        <v>0</v>
      </c>
      <c r="M151">
        <f ca="1">IF($C151-M$1&lt;År1,0,L150*(1-VLOOKUP($A151,[1]Hugst!$R$5:$W$9,MATCH(ROUNDUP((M$1)/10,0)*10,[1]Hugst!$R$4:$W$4,0))))</f>
        <v>0</v>
      </c>
      <c r="N151">
        <f ca="1">IF($C151-N$1&lt;År1,0,M150*(1-VLOOKUP($A151,[1]Hugst!$R$5:$W$9,MATCH(ROUNDUP((N$1)/10,0)*10,[1]Hugst!$R$4:$W$4,0))))</f>
        <v>0</v>
      </c>
      <c r="O151">
        <f ca="1">IF($C151-O$1&lt;År1,0,N150*(1-VLOOKUP($A151,[1]Hugst!$R$5:$W$9,MATCH(ROUNDUP((O$1)/10,0)*10,[1]Hugst!$R$4:$W$4,0))))</f>
        <v>0</v>
      </c>
      <c r="P151">
        <f ca="1">IF($C151-P$1&lt;År1,0,O150*(1-VLOOKUP($A151,[1]Hugst!$R$5:$W$9,MATCH(ROUNDUP((P$1)/10,0)*10,[1]Hugst!$R$4:$W$4,0))))</f>
        <v>0</v>
      </c>
      <c r="Q151">
        <f ca="1">IF($C151-Q$1&lt;År1,0,P150*(1-VLOOKUP($A151,[1]Hugst!$R$5:$W$9,MATCH(ROUNDUP((Q$1)/10,0)*10,[1]Hugst!$R$4:$W$4,0))))</f>
        <v>0</v>
      </c>
      <c r="R151">
        <f ca="1">IF($C151-R$1&lt;År1,0,Q150*(1-VLOOKUP($A151,[1]Hugst!$R$5:$W$9,MATCH(ROUNDUP((R$1)/10,0)*10,[1]Hugst!$R$4:$W$4,0))))</f>
        <v>0</v>
      </c>
      <c r="S151">
        <f ca="1">IF($C151-S$1&lt;År1,0,R150*(1-VLOOKUP($A151,[1]Hugst!$R$5:$W$9,MATCH(ROUNDUP((S$1)/10,0)*10,[1]Hugst!$R$4:$W$4,0))))</f>
        <v>0</v>
      </c>
      <c r="T151">
        <f ca="1">IF($C151-T$1&lt;År1,0,S150*(1-VLOOKUP($A151,[1]Hugst!$R$5:$W$9,MATCH(ROUNDUP((T$1)/10,0)*10,[1]Hugst!$R$4:$W$4,0))))</f>
        <v>0</v>
      </c>
      <c r="U151">
        <f ca="1">IF($C151-U$1&lt;År1,0,T150*(1-VLOOKUP($A151,[1]Hugst!$R$5:$W$9,MATCH(ROUNDUP((U$1)/10,0)*10,[1]Hugst!$R$4:$W$4,0))))</f>
        <v>0</v>
      </c>
      <c r="V151">
        <f ca="1">IF($C151-V$1&lt;År1,0,U150*(1-VLOOKUP($A151,[1]Hugst!$R$5:$W$9,MATCH(ROUNDUP((V$1)/10,0)*10,[1]Hugst!$R$4:$W$4,0))))</f>
        <v>0</v>
      </c>
      <c r="W151">
        <f ca="1">IF($C151-W$1&lt;År1,0,V150*(1-VLOOKUP($A151,[1]Hugst!$R$5:$W$9,MATCH(ROUNDUP((W$1)/10,0)*10,[1]Hugst!$R$4:$W$4,0))))</f>
        <v>0</v>
      </c>
      <c r="X151">
        <f ca="1">IF($C151-X$1&lt;År1,0,W150*(1-VLOOKUP($A151,[1]Hugst!$R$5:$W$9,MATCH(ROUNDUP((X$1)/10,0)*10,[1]Hugst!$R$4:$W$4,0))))</f>
        <v>0</v>
      </c>
      <c r="Y151">
        <f ca="1">IF($C151-Y$1&lt;År1,0,X150*(1-VLOOKUP($A151,[1]Hugst!$R$5:$W$9,MATCH(ROUNDUP((Y$1)/10,0)*10,[1]Hugst!$R$4:$W$4,0))))</f>
        <v>0</v>
      </c>
      <c r="Z151">
        <f ca="1">IF($C151-Z$1&lt;År1,0,Y150*(1-VLOOKUP($A151,[1]Hugst!$R$5:$W$9,MATCH(ROUNDUP((Z$1)/10,0)*10,[1]Hugst!$R$4:$W$4,0))))</f>
        <v>0</v>
      </c>
      <c r="AA151">
        <f ca="1">IF($C151-AA$1&lt;År1,0,Z150*(1-VLOOKUP($A151,[1]Hugst!$R$5:$W$9,MATCH(ROUNDUP((AA$1)/10,0)*10,[1]Hugst!$R$4:$W$4,0))))</f>
        <v>0</v>
      </c>
      <c r="AB151">
        <f ca="1">IF($C151-AB$1&lt;År1,0,AA150*(1-VLOOKUP($A151,[1]Hugst!$R$5:$W$9,MATCH(ROUNDUP((AB$1)/10,0)*10,[1]Hugst!$R$4:$W$4,0))))</f>
        <v>0</v>
      </c>
      <c r="AC151">
        <f ca="1">IF($C151-AC$1&lt;År1,0,AB150*(1-VLOOKUP($A151,[1]Hugst!$R$5:$W$9,MATCH(ROUNDUP((AC$1)/10,0)*10,[1]Hugst!$R$4:$W$4,0))))</f>
        <v>0</v>
      </c>
      <c r="AD151">
        <f ca="1">IF($C151-AD$1&lt;År1,0,AC150*(1-VLOOKUP($A151,[1]Hugst!$R$5:$W$9,MATCH(ROUNDUP((AD$1)/10,0)*10,[1]Hugst!$R$4:$W$4,0))))</f>
        <v>0</v>
      </c>
      <c r="AE151">
        <f ca="1">IF($C151-AE$1&lt;År1,0,AD150*(1-VLOOKUP($A151,[1]Hugst!$R$5:$W$9,MATCH(ROUNDUP((AE$1)/10,0)*10,[1]Hugst!$R$4:$W$4,0))))</f>
        <v>0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0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>
        <f ca="1">IF($C152-G$1&lt;År1,0,F151*(1-VLOOKUP($A152,[1]Hugst!$R$5:$W$9,MATCH(ROUNDUP((G$1)/10,0)*10,[1]Hugst!$R$4:$W$4,0))))</f>
        <v>0</v>
      </c>
      <c r="H152">
        <f ca="1">IF($C152-H$1&lt;År1,0,G151*(1-VLOOKUP($A152,[1]Hugst!$R$5:$W$9,MATCH(ROUNDUP((H$1)/10,0)*10,[1]Hugst!$R$4:$W$4,0))))</f>
        <v>0</v>
      </c>
      <c r="I152">
        <f ca="1">IF($C152-I$1&lt;År1,0,H151*(1-VLOOKUP($A152,[1]Hugst!$R$5:$W$9,MATCH(ROUNDUP((I$1)/10,0)*10,[1]Hugst!$R$4:$W$4,0))))</f>
        <v>0</v>
      </c>
      <c r="J152">
        <f ca="1">IF($C152-J$1&lt;År1,0,I151*(1-VLOOKUP($A152,[1]Hugst!$R$5:$W$9,MATCH(ROUNDUP((J$1)/10,0)*10,[1]Hugst!$R$4:$W$4,0))))</f>
        <v>0</v>
      </c>
      <c r="K152">
        <f ca="1">IF($C152-K$1&lt;År1,0,J151*(1-VLOOKUP($A152,[1]Hugst!$R$5:$W$9,MATCH(ROUNDUP((K$1)/10,0)*10,[1]Hugst!$R$4:$W$4,0))))</f>
        <v>0</v>
      </c>
      <c r="L152">
        <f ca="1">IF($C152-L$1&lt;År1,0,K151*(1-VLOOKUP($A152,[1]Hugst!$R$5:$W$9,MATCH(ROUNDUP((L$1)/10,0)*10,[1]Hugst!$R$4:$W$4,0))))</f>
        <v>0</v>
      </c>
      <c r="M152">
        <f ca="1">IF($C152-M$1&lt;År1,0,L151*(1-VLOOKUP($A152,[1]Hugst!$R$5:$W$9,MATCH(ROUNDUP((M$1)/10,0)*10,[1]Hugst!$R$4:$W$4,0))))</f>
        <v>0</v>
      </c>
      <c r="N152">
        <f ca="1">IF($C152-N$1&lt;År1,0,M151*(1-VLOOKUP($A152,[1]Hugst!$R$5:$W$9,MATCH(ROUNDUP((N$1)/10,0)*10,[1]Hugst!$R$4:$W$4,0))))</f>
        <v>0</v>
      </c>
      <c r="O152">
        <f ca="1">IF($C152-O$1&lt;År1,0,N151*(1-VLOOKUP($A152,[1]Hugst!$R$5:$W$9,MATCH(ROUNDUP((O$1)/10,0)*10,[1]Hugst!$R$4:$W$4,0))))</f>
        <v>0</v>
      </c>
      <c r="P152">
        <f ca="1">IF($C152-P$1&lt;År1,0,O151*(1-VLOOKUP($A152,[1]Hugst!$R$5:$W$9,MATCH(ROUNDUP((P$1)/10,0)*10,[1]Hugst!$R$4:$W$4,0))))</f>
        <v>0</v>
      </c>
      <c r="Q152">
        <f ca="1">IF($C152-Q$1&lt;År1,0,P151*(1-VLOOKUP($A152,[1]Hugst!$R$5:$W$9,MATCH(ROUNDUP((Q$1)/10,0)*10,[1]Hugst!$R$4:$W$4,0))))</f>
        <v>0</v>
      </c>
      <c r="R152">
        <f ca="1">IF($C152-R$1&lt;År1,0,Q151*(1-VLOOKUP($A152,[1]Hugst!$R$5:$W$9,MATCH(ROUNDUP((R$1)/10,0)*10,[1]Hugst!$R$4:$W$4,0))))</f>
        <v>0</v>
      </c>
      <c r="S152">
        <f ca="1">IF($C152-S$1&lt;År1,0,R151*(1-VLOOKUP($A152,[1]Hugst!$R$5:$W$9,MATCH(ROUNDUP((S$1)/10,0)*10,[1]Hugst!$R$4:$W$4,0))))</f>
        <v>0</v>
      </c>
      <c r="T152">
        <f ca="1">IF($C152-T$1&lt;År1,0,S151*(1-VLOOKUP($A152,[1]Hugst!$R$5:$W$9,MATCH(ROUNDUP((T$1)/10,0)*10,[1]Hugst!$R$4:$W$4,0))))</f>
        <v>0</v>
      </c>
      <c r="U152">
        <f ca="1">IF($C152-U$1&lt;År1,0,T151*(1-VLOOKUP($A152,[1]Hugst!$R$5:$W$9,MATCH(ROUNDUP((U$1)/10,0)*10,[1]Hugst!$R$4:$W$4,0))))</f>
        <v>0</v>
      </c>
      <c r="V152">
        <f ca="1">IF($C152-V$1&lt;År1,0,U151*(1-VLOOKUP($A152,[1]Hugst!$R$5:$W$9,MATCH(ROUNDUP((V$1)/10,0)*10,[1]Hugst!$R$4:$W$4,0))))</f>
        <v>0</v>
      </c>
      <c r="W152">
        <f ca="1">IF($C152-W$1&lt;År1,0,V151*(1-VLOOKUP($A152,[1]Hugst!$R$5:$W$9,MATCH(ROUNDUP((W$1)/10,0)*10,[1]Hugst!$R$4:$W$4,0))))</f>
        <v>0</v>
      </c>
      <c r="X152">
        <f ca="1">IF($C152-X$1&lt;År1,0,W151*(1-VLOOKUP($A152,[1]Hugst!$R$5:$W$9,MATCH(ROUNDUP((X$1)/10,0)*10,[1]Hugst!$R$4:$W$4,0))))</f>
        <v>0</v>
      </c>
      <c r="Y152">
        <f ca="1">IF($C152-Y$1&lt;År1,0,X151*(1-VLOOKUP($A152,[1]Hugst!$R$5:$W$9,MATCH(ROUNDUP((Y$1)/10,0)*10,[1]Hugst!$R$4:$W$4,0))))</f>
        <v>0</v>
      </c>
      <c r="Z152">
        <f ca="1">IF($C152-Z$1&lt;År1,0,Y151*(1-VLOOKUP($A152,[1]Hugst!$R$5:$W$9,MATCH(ROUNDUP((Z$1)/10,0)*10,[1]Hugst!$R$4:$W$4,0))))</f>
        <v>0</v>
      </c>
      <c r="AA152">
        <f ca="1">IF($C152-AA$1&lt;År1,0,Z151*(1-VLOOKUP($A152,[1]Hugst!$R$5:$W$9,MATCH(ROUNDUP((AA$1)/10,0)*10,[1]Hugst!$R$4:$W$4,0))))</f>
        <v>0</v>
      </c>
      <c r="AB152">
        <f ca="1">IF($C152-AB$1&lt;År1,0,AA151*(1-VLOOKUP($A152,[1]Hugst!$R$5:$W$9,MATCH(ROUNDUP((AB$1)/10,0)*10,[1]Hugst!$R$4:$W$4,0))))</f>
        <v>0</v>
      </c>
      <c r="AC152">
        <f ca="1">IF($C152-AC$1&lt;År1,0,AB151*(1-VLOOKUP($A152,[1]Hugst!$R$5:$W$9,MATCH(ROUNDUP((AC$1)/10,0)*10,[1]Hugst!$R$4:$W$4,0))))</f>
        <v>0</v>
      </c>
      <c r="AD152">
        <f ca="1">IF($C152-AD$1&lt;År1,0,AC151*(1-VLOOKUP($A152,[1]Hugst!$R$5:$W$9,MATCH(ROUNDUP((AD$1)/10,0)*10,[1]Hugst!$R$4:$W$4,0))))</f>
        <v>0</v>
      </c>
      <c r="AE152">
        <f ca="1">IF($C152-AE$1&lt;År1,0,AD151*(1-VLOOKUP($A152,[1]Hugst!$R$5:$W$9,MATCH(ROUNDUP((AE$1)/10,0)*10,[1]Hugst!$R$4:$W$4,0))))</f>
        <v>0</v>
      </c>
      <c r="AF152">
        <f ca="1">IF($C152-AF$1&lt;År1,0,AE151*(1-VLOOKUP($A152,[1]Hugst!$R$5:$W$9,MATCH(ROUNDUP((AF$1)/10,0)*10,[1]Hugst!$R$4:$W$4,0))))</f>
        <v>0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0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>
        <f ca="1">IF($C153-G$1&lt;År1,0,F152*(1-VLOOKUP($A153,[1]Hugst!$R$5:$W$9,MATCH(ROUNDUP((G$1)/10,0)*10,[1]Hugst!$R$4:$W$4,0))))</f>
        <v>0</v>
      </c>
      <c r="H153">
        <f ca="1">IF($C153-H$1&lt;År1,0,G152*(1-VLOOKUP($A153,[1]Hugst!$R$5:$W$9,MATCH(ROUNDUP((H$1)/10,0)*10,[1]Hugst!$R$4:$W$4,0))))</f>
        <v>0</v>
      </c>
      <c r="I153">
        <f ca="1">IF($C153-I$1&lt;År1,0,H152*(1-VLOOKUP($A153,[1]Hugst!$R$5:$W$9,MATCH(ROUNDUP((I$1)/10,0)*10,[1]Hugst!$R$4:$W$4,0))))</f>
        <v>0</v>
      </c>
      <c r="J153">
        <f ca="1">IF($C153-J$1&lt;År1,0,I152*(1-VLOOKUP($A153,[1]Hugst!$R$5:$W$9,MATCH(ROUNDUP((J$1)/10,0)*10,[1]Hugst!$R$4:$W$4,0))))</f>
        <v>0</v>
      </c>
      <c r="K153">
        <f ca="1">IF($C153-K$1&lt;År1,0,J152*(1-VLOOKUP($A153,[1]Hugst!$R$5:$W$9,MATCH(ROUNDUP((K$1)/10,0)*10,[1]Hugst!$R$4:$W$4,0))))</f>
        <v>0</v>
      </c>
      <c r="L153">
        <f ca="1">IF($C153-L$1&lt;År1,0,K152*(1-VLOOKUP($A153,[1]Hugst!$R$5:$W$9,MATCH(ROUNDUP((L$1)/10,0)*10,[1]Hugst!$R$4:$W$4,0))))</f>
        <v>0</v>
      </c>
      <c r="M153">
        <f ca="1">IF($C153-M$1&lt;År1,0,L152*(1-VLOOKUP($A153,[1]Hugst!$R$5:$W$9,MATCH(ROUNDUP((M$1)/10,0)*10,[1]Hugst!$R$4:$W$4,0))))</f>
        <v>0</v>
      </c>
      <c r="N153">
        <f ca="1">IF($C153-N$1&lt;År1,0,M152*(1-VLOOKUP($A153,[1]Hugst!$R$5:$W$9,MATCH(ROUNDUP((N$1)/10,0)*10,[1]Hugst!$R$4:$W$4,0))))</f>
        <v>0</v>
      </c>
      <c r="O153">
        <f ca="1">IF($C153-O$1&lt;År1,0,N152*(1-VLOOKUP($A153,[1]Hugst!$R$5:$W$9,MATCH(ROUNDUP((O$1)/10,0)*10,[1]Hugst!$R$4:$W$4,0))))</f>
        <v>0</v>
      </c>
      <c r="P153">
        <f ca="1">IF($C153-P$1&lt;År1,0,O152*(1-VLOOKUP($A153,[1]Hugst!$R$5:$W$9,MATCH(ROUNDUP((P$1)/10,0)*10,[1]Hugst!$R$4:$W$4,0))))</f>
        <v>0</v>
      </c>
      <c r="Q153">
        <f ca="1">IF($C153-Q$1&lt;År1,0,P152*(1-VLOOKUP($A153,[1]Hugst!$R$5:$W$9,MATCH(ROUNDUP((Q$1)/10,0)*10,[1]Hugst!$R$4:$W$4,0))))</f>
        <v>0</v>
      </c>
      <c r="R153">
        <f ca="1">IF($C153-R$1&lt;År1,0,Q152*(1-VLOOKUP($A153,[1]Hugst!$R$5:$W$9,MATCH(ROUNDUP((R$1)/10,0)*10,[1]Hugst!$R$4:$W$4,0))))</f>
        <v>0</v>
      </c>
      <c r="S153">
        <f ca="1">IF($C153-S$1&lt;År1,0,R152*(1-VLOOKUP($A153,[1]Hugst!$R$5:$W$9,MATCH(ROUNDUP((S$1)/10,0)*10,[1]Hugst!$R$4:$W$4,0))))</f>
        <v>0</v>
      </c>
      <c r="T153">
        <f ca="1">IF($C153-T$1&lt;År1,0,S152*(1-VLOOKUP($A153,[1]Hugst!$R$5:$W$9,MATCH(ROUNDUP((T$1)/10,0)*10,[1]Hugst!$R$4:$W$4,0))))</f>
        <v>0</v>
      </c>
      <c r="U153">
        <f ca="1">IF($C153-U$1&lt;År1,0,T152*(1-VLOOKUP($A153,[1]Hugst!$R$5:$W$9,MATCH(ROUNDUP((U$1)/10,0)*10,[1]Hugst!$R$4:$W$4,0))))</f>
        <v>0</v>
      </c>
      <c r="V153">
        <f ca="1">IF($C153-V$1&lt;År1,0,U152*(1-VLOOKUP($A153,[1]Hugst!$R$5:$W$9,MATCH(ROUNDUP((V$1)/10,0)*10,[1]Hugst!$R$4:$W$4,0))))</f>
        <v>0</v>
      </c>
      <c r="W153">
        <f ca="1">IF($C153-W$1&lt;År1,0,V152*(1-VLOOKUP($A153,[1]Hugst!$R$5:$W$9,MATCH(ROUNDUP((W$1)/10,0)*10,[1]Hugst!$R$4:$W$4,0))))</f>
        <v>0</v>
      </c>
      <c r="X153">
        <f ca="1">IF($C153-X$1&lt;År1,0,W152*(1-VLOOKUP($A153,[1]Hugst!$R$5:$W$9,MATCH(ROUNDUP((X$1)/10,0)*10,[1]Hugst!$R$4:$W$4,0))))</f>
        <v>0</v>
      </c>
      <c r="Y153">
        <f ca="1">IF($C153-Y$1&lt;År1,0,X152*(1-VLOOKUP($A153,[1]Hugst!$R$5:$W$9,MATCH(ROUNDUP((Y$1)/10,0)*10,[1]Hugst!$R$4:$W$4,0))))</f>
        <v>0</v>
      </c>
      <c r="Z153">
        <f ca="1">IF($C153-Z$1&lt;År1,0,Y152*(1-VLOOKUP($A153,[1]Hugst!$R$5:$W$9,MATCH(ROUNDUP((Z$1)/10,0)*10,[1]Hugst!$R$4:$W$4,0))))</f>
        <v>0</v>
      </c>
      <c r="AA153">
        <f ca="1">IF($C153-AA$1&lt;År1,0,Z152*(1-VLOOKUP($A153,[1]Hugst!$R$5:$W$9,MATCH(ROUNDUP((AA$1)/10,0)*10,[1]Hugst!$R$4:$W$4,0))))</f>
        <v>0</v>
      </c>
      <c r="AB153">
        <f ca="1">IF($C153-AB$1&lt;År1,0,AA152*(1-VLOOKUP($A153,[1]Hugst!$R$5:$W$9,MATCH(ROUNDUP((AB$1)/10,0)*10,[1]Hugst!$R$4:$W$4,0))))</f>
        <v>0</v>
      </c>
      <c r="AC153">
        <f ca="1">IF($C153-AC$1&lt;År1,0,AB152*(1-VLOOKUP($A153,[1]Hugst!$R$5:$W$9,MATCH(ROUNDUP((AC$1)/10,0)*10,[1]Hugst!$R$4:$W$4,0))))</f>
        <v>0</v>
      </c>
      <c r="AD153">
        <f ca="1">IF($C153-AD$1&lt;År1,0,AC152*(1-VLOOKUP($A153,[1]Hugst!$R$5:$W$9,MATCH(ROUNDUP((AD$1)/10,0)*10,[1]Hugst!$R$4:$W$4,0))))</f>
        <v>0</v>
      </c>
      <c r="AE153">
        <f ca="1">IF($C153-AE$1&lt;År1,0,AD152*(1-VLOOKUP($A153,[1]Hugst!$R$5:$W$9,MATCH(ROUNDUP((AE$1)/10,0)*10,[1]Hugst!$R$4:$W$4,0))))</f>
        <v>0</v>
      </c>
      <c r="AF153">
        <f ca="1">IF($C153-AF$1&lt;År1,0,AE152*(1-VLOOKUP($A153,[1]Hugst!$R$5:$W$9,MATCH(ROUNDUP((AF$1)/10,0)*10,[1]Hugst!$R$4:$W$4,0))))</f>
        <v>0</v>
      </c>
      <c r="AG153">
        <f ca="1">IF($C153-AG$1&lt;År1,0,AF152*(1-VLOOKUP($A153,[1]Hugst!$R$5:$W$9,MATCH(ROUNDUP((AG$1)/10,0)*10,[1]Hugst!$R$4:$W$4,0))))</f>
        <v>0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0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>
        <f ca="1">IF($C154-G$1&lt;År1,0,F153*(1-VLOOKUP($A154,[1]Hugst!$R$5:$W$9,MATCH(ROUNDUP((G$1)/10,0)*10,[1]Hugst!$R$4:$W$4,0))))</f>
        <v>0</v>
      </c>
      <c r="H154">
        <f ca="1">IF($C154-H$1&lt;År1,0,G153*(1-VLOOKUP($A154,[1]Hugst!$R$5:$W$9,MATCH(ROUNDUP((H$1)/10,0)*10,[1]Hugst!$R$4:$W$4,0))))</f>
        <v>0</v>
      </c>
      <c r="I154">
        <f ca="1">IF($C154-I$1&lt;År1,0,H153*(1-VLOOKUP($A154,[1]Hugst!$R$5:$W$9,MATCH(ROUNDUP((I$1)/10,0)*10,[1]Hugst!$R$4:$W$4,0))))</f>
        <v>0</v>
      </c>
      <c r="J154">
        <f ca="1">IF($C154-J$1&lt;År1,0,I153*(1-VLOOKUP($A154,[1]Hugst!$R$5:$W$9,MATCH(ROUNDUP((J$1)/10,0)*10,[1]Hugst!$R$4:$W$4,0))))</f>
        <v>0</v>
      </c>
      <c r="K154">
        <f ca="1">IF($C154-K$1&lt;År1,0,J153*(1-VLOOKUP($A154,[1]Hugst!$R$5:$W$9,MATCH(ROUNDUP((K$1)/10,0)*10,[1]Hugst!$R$4:$W$4,0))))</f>
        <v>0</v>
      </c>
      <c r="L154">
        <f ca="1">IF($C154-L$1&lt;År1,0,K153*(1-VLOOKUP($A154,[1]Hugst!$R$5:$W$9,MATCH(ROUNDUP((L$1)/10,0)*10,[1]Hugst!$R$4:$W$4,0))))</f>
        <v>0</v>
      </c>
      <c r="M154">
        <f ca="1">IF($C154-M$1&lt;År1,0,L153*(1-VLOOKUP($A154,[1]Hugst!$R$5:$W$9,MATCH(ROUNDUP((M$1)/10,0)*10,[1]Hugst!$R$4:$W$4,0))))</f>
        <v>0</v>
      </c>
      <c r="N154">
        <f ca="1">IF($C154-N$1&lt;År1,0,M153*(1-VLOOKUP($A154,[1]Hugst!$R$5:$W$9,MATCH(ROUNDUP((N$1)/10,0)*10,[1]Hugst!$R$4:$W$4,0))))</f>
        <v>0</v>
      </c>
      <c r="O154">
        <f ca="1">IF($C154-O$1&lt;År1,0,N153*(1-VLOOKUP($A154,[1]Hugst!$R$5:$W$9,MATCH(ROUNDUP((O$1)/10,0)*10,[1]Hugst!$R$4:$W$4,0))))</f>
        <v>0</v>
      </c>
      <c r="P154">
        <f ca="1">IF($C154-P$1&lt;År1,0,O153*(1-VLOOKUP($A154,[1]Hugst!$R$5:$W$9,MATCH(ROUNDUP((P$1)/10,0)*10,[1]Hugst!$R$4:$W$4,0))))</f>
        <v>0</v>
      </c>
      <c r="Q154">
        <f ca="1">IF($C154-Q$1&lt;År1,0,P153*(1-VLOOKUP($A154,[1]Hugst!$R$5:$W$9,MATCH(ROUNDUP((Q$1)/10,0)*10,[1]Hugst!$R$4:$W$4,0))))</f>
        <v>0</v>
      </c>
      <c r="R154">
        <f ca="1">IF($C154-R$1&lt;År1,0,Q153*(1-VLOOKUP($A154,[1]Hugst!$R$5:$W$9,MATCH(ROUNDUP((R$1)/10,0)*10,[1]Hugst!$R$4:$W$4,0))))</f>
        <v>0</v>
      </c>
      <c r="S154">
        <f ca="1">IF($C154-S$1&lt;År1,0,R153*(1-VLOOKUP($A154,[1]Hugst!$R$5:$W$9,MATCH(ROUNDUP((S$1)/10,0)*10,[1]Hugst!$R$4:$W$4,0))))</f>
        <v>0</v>
      </c>
      <c r="T154">
        <f ca="1">IF($C154-T$1&lt;År1,0,S153*(1-VLOOKUP($A154,[1]Hugst!$R$5:$W$9,MATCH(ROUNDUP((T$1)/10,0)*10,[1]Hugst!$R$4:$W$4,0))))</f>
        <v>0</v>
      </c>
      <c r="U154">
        <f ca="1">IF($C154-U$1&lt;År1,0,T153*(1-VLOOKUP($A154,[1]Hugst!$R$5:$W$9,MATCH(ROUNDUP((U$1)/10,0)*10,[1]Hugst!$R$4:$W$4,0))))</f>
        <v>0</v>
      </c>
      <c r="V154">
        <f ca="1">IF($C154-V$1&lt;År1,0,U153*(1-VLOOKUP($A154,[1]Hugst!$R$5:$W$9,MATCH(ROUNDUP((V$1)/10,0)*10,[1]Hugst!$R$4:$W$4,0))))</f>
        <v>0</v>
      </c>
      <c r="W154">
        <f ca="1">IF($C154-W$1&lt;År1,0,V153*(1-VLOOKUP($A154,[1]Hugst!$R$5:$W$9,MATCH(ROUNDUP((W$1)/10,0)*10,[1]Hugst!$R$4:$W$4,0))))</f>
        <v>0</v>
      </c>
      <c r="X154">
        <f ca="1">IF($C154-X$1&lt;År1,0,W153*(1-VLOOKUP($A154,[1]Hugst!$R$5:$W$9,MATCH(ROUNDUP((X$1)/10,0)*10,[1]Hugst!$R$4:$W$4,0))))</f>
        <v>0</v>
      </c>
      <c r="Y154">
        <f ca="1">IF($C154-Y$1&lt;År1,0,X153*(1-VLOOKUP($A154,[1]Hugst!$R$5:$W$9,MATCH(ROUNDUP((Y$1)/10,0)*10,[1]Hugst!$R$4:$W$4,0))))</f>
        <v>0</v>
      </c>
      <c r="Z154">
        <f ca="1">IF($C154-Z$1&lt;År1,0,Y153*(1-VLOOKUP($A154,[1]Hugst!$R$5:$W$9,MATCH(ROUNDUP((Z$1)/10,0)*10,[1]Hugst!$R$4:$W$4,0))))</f>
        <v>0</v>
      </c>
      <c r="AA154">
        <f ca="1">IF($C154-AA$1&lt;År1,0,Z153*(1-VLOOKUP($A154,[1]Hugst!$R$5:$W$9,MATCH(ROUNDUP((AA$1)/10,0)*10,[1]Hugst!$R$4:$W$4,0))))</f>
        <v>0</v>
      </c>
      <c r="AB154">
        <f ca="1">IF($C154-AB$1&lt;År1,0,AA153*(1-VLOOKUP($A154,[1]Hugst!$R$5:$W$9,MATCH(ROUNDUP((AB$1)/10,0)*10,[1]Hugst!$R$4:$W$4,0))))</f>
        <v>0</v>
      </c>
      <c r="AC154">
        <f ca="1">IF($C154-AC$1&lt;År1,0,AB153*(1-VLOOKUP($A154,[1]Hugst!$R$5:$W$9,MATCH(ROUNDUP((AC$1)/10,0)*10,[1]Hugst!$R$4:$W$4,0))))</f>
        <v>0</v>
      </c>
      <c r="AD154">
        <f ca="1">IF($C154-AD$1&lt;År1,0,AC153*(1-VLOOKUP($A154,[1]Hugst!$R$5:$W$9,MATCH(ROUNDUP((AD$1)/10,0)*10,[1]Hugst!$R$4:$W$4,0))))</f>
        <v>0</v>
      </c>
      <c r="AE154">
        <f ca="1">IF($C154-AE$1&lt;År1,0,AD153*(1-VLOOKUP($A154,[1]Hugst!$R$5:$W$9,MATCH(ROUNDUP((AE$1)/10,0)*10,[1]Hugst!$R$4:$W$4,0))))</f>
        <v>0</v>
      </c>
      <c r="AF154">
        <f ca="1">IF($C154-AF$1&lt;År1,0,AE153*(1-VLOOKUP($A154,[1]Hugst!$R$5:$W$9,MATCH(ROUNDUP((AF$1)/10,0)*10,[1]Hugst!$R$4:$W$4,0))))</f>
        <v>0</v>
      </c>
      <c r="AG154">
        <f ca="1">IF($C154-AG$1&lt;År1,0,AF153*(1-VLOOKUP($A154,[1]Hugst!$R$5:$W$9,MATCH(ROUNDUP((AG$1)/10,0)*10,[1]Hugst!$R$4:$W$4,0))))</f>
        <v>0</v>
      </c>
      <c r="AH154">
        <f ca="1">IF($C154-AH$1&lt;År1,0,AG153*(1-VLOOKUP($A154,[1]Hugst!$R$5:$W$9,MATCH(ROUNDUP((AH$1)/10,0)*10,[1]Hugst!$R$4:$W$4,0))))</f>
        <v>0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0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>
        <f ca="1">IF($C155-G$1&lt;År1,0,F154*(1-VLOOKUP($A155,[1]Hugst!$R$5:$W$9,MATCH(ROUNDUP((G$1)/10,0)*10,[1]Hugst!$R$4:$W$4,0))))</f>
        <v>0</v>
      </c>
      <c r="H155">
        <f ca="1">IF($C155-H$1&lt;År1,0,G154*(1-VLOOKUP($A155,[1]Hugst!$R$5:$W$9,MATCH(ROUNDUP((H$1)/10,0)*10,[1]Hugst!$R$4:$W$4,0))))</f>
        <v>0</v>
      </c>
      <c r="I155">
        <f ca="1">IF($C155-I$1&lt;År1,0,H154*(1-VLOOKUP($A155,[1]Hugst!$R$5:$W$9,MATCH(ROUNDUP((I$1)/10,0)*10,[1]Hugst!$R$4:$W$4,0))))</f>
        <v>0</v>
      </c>
      <c r="J155">
        <f ca="1">IF($C155-J$1&lt;År1,0,I154*(1-VLOOKUP($A155,[1]Hugst!$R$5:$W$9,MATCH(ROUNDUP((J$1)/10,0)*10,[1]Hugst!$R$4:$W$4,0))))</f>
        <v>0</v>
      </c>
      <c r="K155">
        <f ca="1">IF($C155-K$1&lt;År1,0,J154*(1-VLOOKUP($A155,[1]Hugst!$R$5:$W$9,MATCH(ROUNDUP((K$1)/10,0)*10,[1]Hugst!$R$4:$W$4,0))))</f>
        <v>0</v>
      </c>
      <c r="L155">
        <f ca="1">IF($C155-L$1&lt;År1,0,K154*(1-VLOOKUP($A155,[1]Hugst!$R$5:$W$9,MATCH(ROUNDUP((L$1)/10,0)*10,[1]Hugst!$R$4:$W$4,0))))</f>
        <v>0</v>
      </c>
      <c r="M155">
        <f ca="1">IF($C155-M$1&lt;År1,0,L154*(1-VLOOKUP($A155,[1]Hugst!$R$5:$W$9,MATCH(ROUNDUP((M$1)/10,0)*10,[1]Hugst!$R$4:$W$4,0))))</f>
        <v>0</v>
      </c>
      <c r="N155">
        <f ca="1">IF($C155-N$1&lt;År1,0,M154*(1-VLOOKUP($A155,[1]Hugst!$R$5:$W$9,MATCH(ROUNDUP((N$1)/10,0)*10,[1]Hugst!$R$4:$W$4,0))))</f>
        <v>0</v>
      </c>
      <c r="O155">
        <f ca="1">IF($C155-O$1&lt;År1,0,N154*(1-VLOOKUP($A155,[1]Hugst!$R$5:$W$9,MATCH(ROUNDUP((O$1)/10,0)*10,[1]Hugst!$R$4:$W$4,0))))</f>
        <v>0</v>
      </c>
      <c r="P155">
        <f ca="1">IF($C155-P$1&lt;År1,0,O154*(1-VLOOKUP($A155,[1]Hugst!$R$5:$W$9,MATCH(ROUNDUP((P$1)/10,0)*10,[1]Hugst!$R$4:$W$4,0))))</f>
        <v>0</v>
      </c>
      <c r="Q155">
        <f ca="1">IF($C155-Q$1&lt;År1,0,P154*(1-VLOOKUP($A155,[1]Hugst!$R$5:$W$9,MATCH(ROUNDUP((Q$1)/10,0)*10,[1]Hugst!$R$4:$W$4,0))))</f>
        <v>0</v>
      </c>
      <c r="R155">
        <f ca="1">IF($C155-R$1&lt;År1,0,Q154*(1-VLOOKUP($A155,[1]Hugst!$R$5:$W$9,MATCH(ROUNDUP((R$1)/10,0)*10,[1]Hugst!$R$4:$W$4,0))))</f>
        <v>0</v>
      </c>
      <c r="S155">
        <f ca="1">IF($C155-S$1&lt;År1,0,R154*(1-VLOOKUP($A155,[1]Hugst!$R$5:$W$9,MATCH(ROUNDUP((S$1)/10,0)*10,[1]Hugst!$R$4:$W$4,0))))</f>
        <v>0</v>
      </c>
      <c r="T155">
        <f ca="1">IF($C155-T$1&lt;År1,0,S154*(1-VLOOKUP($A155,[1]Hugst!$R$5:$W$9,MATCH(ROUNDUP((T$1)/10,0)*10,[1]Hugst!$R$4:$W$4,0))))</f>
        <v>0</v>
      </c>
      <c r="U155">
        <f ca="1">IF($C155-U$1&lt;År1,0,T154*(1-VLOOKUP($A155,[1]Hugst!$R$5:$W$9,MATCH(ROUNDUP((U$1)/10,0)*10,[1]Hugst!$R$4:$W$4,0))))</f>
        <v>0</v>
      </c>
      <c r="V155">
        <f ca="1">IF($C155-V$1&lt;År1,0,U154*(1-VLOOKUP($A155,[1]Hugst!$R$5:$W$9,MATCH(ROUNDUP((V$1)/10,0)*10,[1]Hugst!$R$4:$W$4,0))))</f>
        <v>0</v>
      </c>
      <c r="W155">
        <f ca="1">IF($C155-W$1&lt;År1,0,V154*(1-VLOOKUP($A155,[1]Hugst!$R$5:$W$9,MATCH(ROUNDUP((W$1)/10,0)*10,[1]Hugst!$R$4:$W$4,0))))</f>
        <v>0</v>
      </c>
      <c r="X155">
        <f ca="1">IF($C155-X$1&lt;År1,0,W154*(1-VLOOKUP($A155,[1]Hugst!$R$5:$W$9,MATCH(ROUNDUP((X$1)/10,0)*10,[1]Hugst!$R$4:$W$4,0))))</f>
        <v>0</v>
      </c>
      <c r="Y155">
        <f ca="1">IF($C155-Y$1&lt;År1,0,X154*(1-VLOOKUP($A155,[1]Hugst!$R$5:$W$9,MATCH(ROUNDUP((Y$1)/10,0)*10,[1]Hugst!$R$4:$W$4,0))))</f>
        <v>0</v>
      </c>
      <c r="Z155">
        <f ca="1">IF($C155-Z$1&lt;År1,0,Y154*(1-VLOOKUP($A155,[1]Hugst!$R$5:$W$9,MATCH(ROUNDUP((Z$1)/10,0)*10,[1]Hugst!$R$4:$W$4,0))))</f>
        <v>0</v>
      </c>
      <c r="AA155">
        <f ca="1">IF($C155-AA$1&lt;År1,0,Z154*(1-VLOOKUP($A155,[1]Hugst!$R$5:$W$9,MATCH(ROUNDUP((AA$1)/10,0)*10,[1]Hugst!$R$4:$W$4,0))))</f>
        <v>0</v>
      </c>
      <c r="AB155">
        <f ca="1">IF($C155-AB$1&lt;År1,0,AA154*(1-VLOOKUP($A155,[1]Hugst!$R$5:$W$9,MATCH(ROUNDUP((AB$1)/10,0)*10,[1]Hugst!$R$4:$W$4,0))))</f>
        <v>0</v>
      </c>
      <c r="AC155">
        <f ca="1">IF($C155-AC$1&lt;År1,0,AB154*(1-VLOOKUP($A155,[1]Hugst!$R$5:$W$9,MATCH(ROUNDUP((AC$1)/10,0)*10,[1]Hugst!$R$4:$W$4,0))))</f>
        <v>0</v>
      </c>
      <c r="AD155">
        <f ca="1">IF($C155-AD$1&lt;År1,0,AC154*(1-VLOOKUP($A155,[1]Hugst!$R$5:$W$9,MATCH(ROUNDUP((AD$1)/10,0)*10,[1]Hugst!$R$4:$W$4,0))))</f>
        <v>0</v>
      </c>
      <c r="AE155">
        <f ca="1">IF($C155-AE$1&lt;År1,0,AD154*(1-VLOOKUP($A155,[1]Hugst!$R$5:$W$9,MATCH(ROUNDUP((AE$1)/10,0)*10,[1]Hugst!$R$4:$W$4,0))))</f>
        <v>0</v>
      </c>
      <c r="AF155">
        <f ca="1">IF($C155-AF$1&lt;År1,0,AE154*(1-VLOOKUP($A155,[1]Hugst!$R$5:$W$9,MATCH(ROUNDUP((AF$1)/10,0)*10,[1]Hugst!$R$4:$W$4,0))))</f>
        <v>0</v>
      </c>
      <c r="AG155">
        <f ca="1">IF($C155-AG$1&lt;År1,0,AF154*(1-VLOOKUP($A155,[1]Hugst!$R$5:$W$9,MATCH(ROUNDUP((AG$1)/10,0)*10,[1]Hugst!$R$4:$W$4,0))))</f>
        <v>0</v>
      </c>
      <c r="AH155">
        <f ca="1">IF($C155-AH$1&lt;År1,0,AG154*(1-VLOOKUP($A155,[1]Hugst!$R$5:$W$9,MATCH(ROUNDUP((AH$1)/10,0)*10,[1]Hugst!$R$4:$W$4,0))))</f>
        <v>0</v>
      </c>
      <c r="AI155">
        <f ca="1">IF($C155-AI$1&lt;År1,0,AH154*(1-VLOOKUP($A155,[1]Hugst!$R$5:$W$9,MATCH(ROUNDUP((AI$1)/10,0)*10,[1]Hugst!$R$4:$W$4,0))))</f>
        <v>0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0</v>
      </c>
      <c r="E156">
        <f t="shared" ca="1" si="3"/>
        <v>0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>
        <f ca="1">IF($C156-G$1&lt;År1,0,F155*(1-VLOOKUP($A156,[1]Hugst!$R$5:$W$9,MATCH(ROUNDUP((G$1)/10,0)*10,[1]Hugst!$R$4:$W$4,0))))</f>
        <v>0</v>
      </c>
      <c r="H156">
        <f ca="1">IF($C156-H$1&lt;År1,0,G155*(1-VLOOKUP($A156,[1]Hugst!$R$5:$W$9,MATCH(ROUNDUP((H$1)/10,0)*10,[1]Hugst!$R$4:$W$4,0))))</f>
        <v>0</v>
      </c>
      <c r="I156">
        <f ca="1">IF($C156-I$1&lt;År1,0,H155*(1-VLOOKUP($A156,[1]Hugst!$R$5:$W$9,MATCH(ROUNDUP((I$1)/10,0)*10,[1]Hugst!$R$4:$W$4,0))))</f>
        <v>0</v>
      </c>
      <c r="J156">
        <f ca="1">IF($C156-J$1&lt;År1,0,I155*(1-VLOOKUP($A156,[1]Hugst!$R$5:$W$9,MATCH(ROUNDUP((J$1)/10,0)*10,[1]Hugst!$R$4:$W$4,0))))</f>
        <v>0</v>
      </c>
      <c r="K156">
        <f ca="1">IF($C156-K$1&lt;År1,0,J155*(1-VLOOKUP($A156,[1]Hugst!$R$5:$W$9,MATCH(ROUNDUP((K$1)/10,0)*10,[1]Hugst!$R$4:$W$4,0))))</f>
        <v>0</v>
      </c>
      <c r="L156">
        <f ca="1">IF($C156-L$1&lt;År1,0,K155*(1-VLOOKUP($A156,[1]Hugst!$R$5:$W$9,MATCH(ROUNDUP((L$1)/10,0)*10,[1]Hugst!$R$4:$W$4,0))))</f>
        <v>0</v>
      </c>
      <c r="M156">
        <f ca="1">IF($C156-M$1&lt;År1,0,L155*(1-VLOOKUP($A156,[1]Hugst!$R$5:$W$9,MATCH(ROUNDUP((M$1)/10,0)*10,[1]Hugst!$R$4:$W$4,0))))</f>
        <v>0</v>
      </c>
      <c r="N156">
        <f ca="1">IF($C156-N$1&lt;År1,0,M155*(1-VLOOKUP($A156,[1]Hugst!$R$5:$W$9,MATCH(ROUNDUP((N$1)/10,0)*10,[1]Hugst!$R$4:$W$4,0))))</f>
        <v>0</v>
      </c>
      <c r="O156">
        <f ca="1">IF($C156-O$1&lt;År1,0,N155*(1-VLOOKUP($A156,[1]Hugst!$R$5:$W$9,MATCH(ROUNDUP((O$1)/10,0)*10,[1]Hugst!$R$4:$W$4,0))))</f>
        <v>0</v>
      </c>
      <c r="P156">
        <f ca="1">IF($C156-P$1&lt;År1,0,O155*(1-VLOOKUP($A156,[1]Hugst!$R$5:$W$9,MATCH(ROUNDUP((P$1)/10,0)*10,[1]Hugst!$R$4:$W$4,0))))</f>
        <v>0</v>
      </c>
      <c r="Q156">
        <f ca="1">IF($C156-Q$1&lt;År1,0,P155*(1-VLOOKUP($A156,[1]Hugst!$R$5:$W$9,MATCH(ROUNDUP((Q$1)/10,0)*10,[1]Hugst!$R$4:$W$4,0))))</f>
        <v>0</v>
      </c>
      <c r="R156">
        <f ca="1">IF($C156-R$1&lt;År1,0,Q155*(1-VLOOKUP($A156,[1]Hugst!$R$5:$W$9,MATCH(ROUNDUP((R$1)/10,0)*10,[1]Hugst!$R$4:$W$4,0))))</f>
        <v>0</v>
      </c>
      <c r="S156">
        <f ca="1">IF($C156-S$1&lt;År1,0,R155*(1-VLOOKUP($A156,[1]Hugst!$R$5:$W$9,MATCH(ROUNDUP((S$1)/10,0)*10,[1]Hugst!$R$4:$W$4,0))))</f>
        <v>0</v>
      </c>
      <c r="T156">
        <f ca="1">IF($C156-T$1&lt;År1,0,S155*(1-VLOOKUP($A156,[1]Hugst!$R$5:$W$9,MATCH(ROUNDUP((T$1)/10,0)*10,[1]Hugst!$R$4:$W$4,0))))</f>
        <v>0</v>
      </c>
      <c r="U156">
        <f ca="1">IF($C156-U$1&lt;År1,0,T155*(1-VLOOKUP($A156,[1]Hugst!$R$5:$W$9,MATCH(ROUNDUP((U$1)/10,0)*10,[1]Hugst!$R$4:$W$4,0))))</f>
        <v>0</v>
      </c>
      <c r="V156">
        <f ca="1">IF($C156-V$1&lt;År1,0,U155*(1-VLOOKUP($A156,[1]Hugst!$R$5:$W$9,MATCH(ROUNDUP((V$1)/10,0)*10,[1]Hugst!$R$4:$W$4,0))))</f>
        <v>0</v>
      </c>
      <c r="W156">
        <f ca="1">IF($C156-W$1&lt;År1,0,V155*(1-VLOOKUP($A156,[1]Hugst!$R$5:$W$9,MATCH(ROUNDUP((W$1)/10,0)*10,[1]Hugst!$R$4:$W$4,0))))</f>
        <v>0</v>
      </c>
      <c r="X156">
        <f ca="1">IF($C156-X$1&lt;År1,0,W155*(1-VLOOKUP($A156,[1]Hugst!$R$5:$W$9,MATCH(ROUNDUP((X$1)/10,0)*10,[1]Hugst!$R$4:$W$4,0))))</f>
        <v>0</v>
      </c>
      <c r="Y156">
        <f ca="1">IF($C156-Y$1&lt;År1,0,X155*(1-VLOOKUP($A156,[1]Hugst!$R$5:$W$9,MATCH(ROUNDUP((Y$1)/10,0)*10,[1]Hugst!$R$4:$W$4,0))))</f>
        <v>0</v>
      </c>
      <c r="Z156">
        <f ca="1">IF($C156-Z$1&lt;År1,0,Y155*(1-VLOOKUP($A156,[1]Hugst!$R$5:$W$9,MATCH(ROUNDUP((Z$1)/10,0)*10,[1]Hugst!$R$4:$W$4,0))))</f>
        <v>0</v>
      </c>
      <c r="AA156">
        <f ca="1">IF($C156-AA$1&lt;År1,0,Z155*(1-VLOOKUP($A156,[1]Hugst!$R$5:$W$9,MATCH(ROUNDUP((AA$1)/10,0)*10,[1]Hugst!$R$4:$W$4,0))))</f>
        <v>0</v>
      </c>
      <c r="AB156">
        <f ca="1">IF($C156-AB$1&lt;År1,0,AA155*(1-VLOOKUP($A156,[1]Hugst!$R$5:$W$9,MATCH(ROUNDUP((AB$1)/10,0)*10,[1]Hugst!$R$4:$W$4,0))))</f>
        <v>0</v>
      </c>
      <c r="AC156">
        <f ca="1">IF($C156-AC$1&lt;År1,0,AB155*(1-VLOOKUP($A156,[1]Hugst!$R$5:$W$9,MATCH(ROUNDUP((AC$1)/10,0)*10,[1]Hugst!$R$4:$W$4,0))))</f>
        <v>0</v>
      </c>
      <c r="AD156">
        <f ca="1">IF($C156-AD$1&lt;År1,0,AC155*(1-VLOOKUP($A156,[1]Hugst!$R$5:$W$9,MATCH(ROUNDUP((AD$1)/10,0)*10,[1]Hugst!$R$4:$W$4,0))))</f>
        <v>0</v>
      </c>
      <c r="AE156">
        <f ca="1">IF($C156-AE$1&lt;År1,0,AD155*(1-VLOOKUP($A156,[1]Hugst!$R$5:$W$9,MATCH(ROUNDUP((AE$1)/10,0)*10,[1]Hugst!$R$4:$W$4,0))))</f>
        <v>0</v>
      </c>
      <c r="AF156">
        <f ca="1">IF($C156-AF$1&lt;År1,0,AE155*(1-VLOOKUP($A156,[1]Hugst!$R$5:$W$9,MATCH(ROUNDUP((AF$1)/10,0)*10,[1]Hugst!$R$4:$W$4,0))))</f>
        <v>0</v>
      </c>
      <c r="AG156">
        <f ca="1">IF($C156-AG$1&lt;År1,0,AF155*(1-VLOOKUP($A156,[1]Hugst!$R$5:$W$9,MATCH(ROUNDUP((AG$1)/10,0)*10,[1]Hugst!$R$4:$W$4,0))))</f>
        <v>0</v>
      </c>
      <c r="AH156">
        <f ca="1">IF($C156-AH$1&lt;År1,0,AG155*(1-VLOOKUP($A156,[1]Hugst!$R$5:$W$9,MATCH(ROUNDUP((AH$1)/10,0)*10,[1]Hugst!$R$4:$W$4,0))))</f>
        <v>0</v>
      </c>
      <c r="AI156">
        <f ca="1">IF($C156-AI$1&lt;År1,0,AH155*(1-VLOOKUP($A156,[1]Hugst!$R$5:$W$9,MATCH(ROUNDUP((AI$1)/10,0)*10,[1]Hugst!$R$4:$W$4,0))))</f>
        <v>0</v>
      </c>
      <c r="AJ156">
        <f ca="1">IF($C156-AJ$1&lt;År1,0,AI155*(1-VLOOKUP($A156,[1]Hugst!$R$5:$W$9,MATCH(ROUNDUP((AJ$1)/10,0)*10,[1]Hugst!$R$4:$W$4,0))))</f>
        <v>0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0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0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>
        <f ca="1">IF($C158-G$1&lt;År1,0,F157*(1-VLOOKUP($A158,[1]Hugst!$R$5:$W$9,MATCH(ROUNDUP((G$1)/10,0)*10,[1]Hugst!$R$4:$W$4,0))))</f>
        <v>0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0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>
        <f ca="1">IF($C159-G$1&lt;År1,0,F158*(1-VLOOKUP($A159,[1]Hugst!$R$5:$W$9,MATCH(ROUNDUP((G$1)/10,0)*10,[1]Hugst!$R$4:$W$4,0))))</f>
        <v>0</v>
      </c>
      <c r="H159">
        <f ca="1">IF($C159-H$1&lt;År1,0,G158*(1-VLOOKUP($A159,[1]Hugst!$R$5:$W$9,MATCH(ROUNDUP((H$1)/10,0)*10,[1]Hugst!$R$4:$W$4,0))))</f>
        <v>0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0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>
        <f ca="1">IF($C160-G$1&lt;År1,0,F159*(1-VLOOKUP($A160,[1]Hugst!$R$5:$W$9,MATCH(ROUNDUP((G$1)/10,0)*10,[1]Hugst!$R$4:$W$4,0))))</f>
        <v>0</v>
      </c>
      <c r="H160">
        <f ca="1">IF($C160-H$1&lt;År1,0,G159*(1-VLOOKUP($A160,[1]Hugst!$R$5:$W$9,MATCH(ROUNDUP((H$1)/10,0)*10,[1]Hugst!$R$4:$W$4,0))))</f>
        <v>0</v>
      </c>
      <c r="I160">
        <f ca="1">IF($C160-I$1&lt;År1,0,H159*(1-VLOOKUP($A160,[1]Hugst!$R$5:$W$9,MATCH(ROUNDUP((I$1)/10,0)*10,[1]Hugst!$R$4:$W$4,0))))</f>
        <v>0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0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>
        <f ca="1">IF($C161-G$1&lt;År1,0,F160*(1-VLOOKUP($A161,[1]Hugst!$R$5:$W$9,MATCH(ROUNDUP((G$1)/10,0)*10,[1]Hugst!$R$4:$W$4,0))))</f>
        <v>0</v>
      </c>
      <c r="H161">
        <f ca="1">IF($C161-H$1&lt;År1,0,G160*(1-VLOOKUP($A161,[1]Hugst!$R$5:$W$9,MATCH(ROUNDUP((H$1)/10,0)*10,[1]Hugst!$R$4:$W$4,0))))</f>
        <v>0</v>
      </c>
      <c r="I161">
        <f ca="1">IF($C161-I$1&lt;År1,0,H160*(1-VLOOKUP($A161,[1]Hugst!$R$5:$W$9,MATCH(ROUNDUP((I$1)/10,0)*10,[1]Hugst!$R$4:$W$4,0))))</f>
        <v>0</v>
      </c>
      <c r="J161">
        <f ca="1">IF($C161-J$1&lt;År1,0,I160*(1-VLOOKUP($A161,[1]Hugst!$R$5:$W$9,MATCH(ROUNDUP((J$1)/10,0)*10,[1]Hugst!$R$4:$W$4,0))))</f>
        <v>0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0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>
        <f ca="1">IF($C162-G$1&lt;År1,0,F161*(1-VLOOKUP($A162,[1]Hugst!$R$5:$W$9,MATCH(ROUNDUP((G$1)/10,0)*10,[1]Hugst!$R$4:$W$4,0))))</f>
        <v>0</v>
      </c>
      <c r="H162">
        <f ca="1">IF($C162-H$1&lt;År1,0,G161*(1-VLOOKUP($A162,[1]Hugst!$R$5:$W$9,MATCH(ROUNDUP((H$1)/10,0)*10,[1]Hugst!$R$4:$W$4,0))))</f>
        <v>0</v>
      </c>
      <c r="I162">
        <f ca="1">IF($C162-I$1&lt;År1,0,H161*(1-VLOOKUP($A162,[1]Hugst!$R$5:$W$9,MATCH(ROUNDUP((I$1)/10,0)*10,[1]Hugst!$R$4:$W$4,0))))</f>
        <v>0</v>
      </c>
      <c r="J162">
        <f ca="1">IF($C162-J$1&lt;År1,0,I161*(1-VLOOKUP($A162,[1]Hugst!$R$5:$W$9,MATCH(ROUNDUP((J$1)/10,0)*10,[1]Hugst!$R$4:$W$4,0))))</f>
        <v>0</v>
      </c>
      <c r="K162">
        <f ca="1">IF($C162-K$1&lt;År1,0,J161*(1-VLOOKUP($A162,[1]Hugst!$R$5:$W$9,MATCH(ROUNDUP((K$1)/10,0)*10,[1]Hugst!$R$4:$W$4,0))))</f>
        <v>0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0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>
        <f ca="1">IF($C163-G$1&lt;År1,0,F162*(1-VLOOKUP($A163,[1]Hugst!$R$5:$W$9,MATCH(ROUNDUP((G$1)/10,0)*10,[1]Hugst!$R$4:$W$4,0))))</f>
        <v>0</v>
      </c>
      <c r="H163">
        <f ca="1">IF($C163-H$1&lt;År1,0,G162*(1-VLOOKUP($A163,[1]Hugst!$R$5:$W$9,MATCH(ROUNDUP((H$1)/10,0)*10,[1]Hugst!$R$4:$W$4,0))))</f>
        <v>0</v>
      </c>
      <c r="I163">
        <f ca="1">IF($C163-I$1&lt;År1,0,H162*(1-VLOOKUP($A163,[1]Hugst!$R$5:$W$9,MATCH(ROUNDUP((I$1)/10,0)*10,[1]Hugst!$R$4:$W$4,0))))</f>
        <v>0</v>
      </c>
      <c r="J163">
        <f ca="1">IF($C163-J$1&lt;År1,0,I162*(1-VLOOKUP($A163,[1]Hugst!$R$5:$W$9,MATCH(ROUNDUP((J$1)/10,0)*10,[1]Hugst!$R$4:$W$4,0))))</f>
        <v>0</v>
      </c>
      <c r="K163">
        <f ca="1">IF($C163-K$1&lt;År1,0,J162*(1-VLOOKUP($A163,[1]Hugst!$R$5:$W$9,MATCH(ROUNDUP((K$1)/10,0)*10,[1]Hugst!$R$4:$W$4,0))))</f>
        <v>0</v>
      </c>
      <c r="L163">
        <f ca="1">IF($C163-L$1&lt;År1,0,K162*(1-VLOOKUP($A163,[1]Hugst!$R$5:$W$9,MATCH(ROUNDUP((L$1)/10,0)*10,[1]Hugst!$R$4:$W$4,0))))</f>
        <v>0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0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>
        <f ca="1">IF($C164-G$1&lt;År1,0,F163*(1-VLOOKUP($A164,[1]Hugst!$R$5:$W$9,MATCH(ROUNDUP((G$1)/10,0)*10,[1]Hugst!$R$4:$W$4,0))))</f>
        <v>0</v>
      </c>
      <c r="H164">
        <f ca="1">IF($C164-H$1&lt;År1,0,G163*(1-VLOOKUP($A164,[1]Hugst!$R$5:$W$9,MATCH(ROUNDUP((H$1)/10,0)*10,[1]Hugst!$R$4:$W$4,0))))</f>
        <v>0</v>
      </c>
      <c r="I164">
        <f ca="1">IF($C164-I$1&lt;År1,0,H163*(1-VLOOKUP($A164,[1]Hugst!$R$5:$W$9,MATCH(ROUNDUP((I$1)/10,0)*10,[1]Hugst!$R$4:$W$4,0))))</f>
        <v>0</v>
      </c>
      <c r="J164">
        <f ca="1">IF($C164-J$1&lt;År1,0,I163*(1-VLOOKUP($A164,[1]Hugst!$R$5:$W$9,MATCH(ROUNDUP((J$1)/10,0)*10,[1]Hugst!$R$4:$W$4,0))))</f>
        <v>0</v>
      </c>
      <c r="K164">
        <f ca="1">IF($C164-K$1&lt;År1,0,J163*(1-VLOOKUP($A164,[1]Hugst!$R$5:$W$9,MATCH(ROUNDUP((K$1)/10,0)*10,[1]Hugst!$R$4:$W$4,0))))</f>
        <v>0</v>
      </c>
      <c r="L164">
        <f ca="1">IF($C164-L$1&lt;År1,0,K163*(1-VLOOKUP($A164,[1]Hugst!$R$5:$W$9,MATCH(ROUNDUP((L$1)/10,0)*10,[1]Hugst!$R$4:$W$4,0))))</f>
        <v>0</v>
      </c>
      <c r="M164">
        <f ca="1">IF($C164-M$1&lt;År1,0,L163*(1-VLOOKUP($A164,[1]Hugst!$R$5:$W$9,MATCH(ROUNDUP((M$1)/10,0)*10,[1]Hugst!$R$4:$W$4,0))))</f>
        <v>0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0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>
        <f ca="1">IF($C165-G$1&lt;År1,0,F164*(1-VLOOKUP($A165,[1]Hugst!$R$5:$W$9,MATCH(ROUNDUP((G$1)/10,0)*10,[1]Hugst!$R$4:$W$4,0))))</f>
        <v>0</v>
      </c>
      <c r="H165">
        <f ca="1">IF($C165-H$1&lt;År1,0,G164*(1-VLOOKUP($A165,[1]Hugst!$R$5:$W$9,MATCH(ROUNDUP((H$1)/10,0)*10,[1]Hugst!$R$4:$W$4,0))))</f>
        <v>0</v>
      </c>
      <c r="I165">
        <f ca="1">IF($C165-I$1&lt;År1,0,H164*(1-VLOOKUP($A165,[1]Hugst!$R$5:$W$9,MATCH(ROUNDUP((I$1)/10,0)*10,[1]Hugst!$R$4:$W$4,0))))</f>
        <v>0</v>
      </c>
      <c r="J165">
        <f ca="1">IF($C165-J$1&lt;År1,0,I164*(1-VLOOKUP($A165,[1]Hugst!$R$5:$W$9,MATCH(ROUNDUP((J$1)/10,0)*10,[1]Hugst!$R$4:$W$4,0))))</f>
        <v>0</v>
      </c>
      <c r="K165">
        <f ca="1">IF($C165-K$1&lt;År1,0,J164*(1-VLOOKUP($A165,[1]Hugst!$R$5:$W$9,MATCH(ROUNDUP((K$1)/10,0)*10,[1]Hugst!$R$4:$W$4,0))))</f>
        <v>0</v>
      </c>
      <c r="L165">
        <f ca="1">IF($C165-L$1&lt;År1,0,K164*(1-VLOOKUP($A165,[1]Hugst!$R$5:$W$9,MATCH(ROUNDUP((L$1)/10,0)*10,[1]Hugst!$R$4:$W$4,0))))</f>
        <v>0</v>
      </c>
      <c r="M165">
        <f ca="1">IF($C165-M$1&lt;År1,0,L164*(1-VLOOKUP($A165,[1]Hugst!$R$5:$W$9,MATCH(ROUNDUP((M$1)/10,0)*10,[1]Hugst!$R$4:$W$4,0))))</f>
        <v>0</v>
      </c>
      <c r="N165">
        <f ca="1">IF($C165-N$1&lt;År1,0,M164*(1-VLOOKUP($A165,[1]Hugst!$R$5:$W$9,MATCH(ROUNDUP((N$1)/10,0)*10,[1]Hugst!$R$4:$W$4,0))))</f>
        <v>0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0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>
        <f ca="1">IF($C166-G$1&lt;År1,0,F165*(1-VLOOKUP($A166,[1]Hugst!$R$5:$W$9,MATCH(ROUNDUP((G$1)/10,0)*10,[1]Hugst!$R$4:$W$4,0))))</f>
        <v>0</v>
      </c>
      <c r="H166">
        <f ca="1">IF($C166-H$1&lt;År1,0,G165*(1-VLOOKUP($A166,[1]Hugst!$R$5:$W$9,MATCH(ROUNDUP((H$1)/10,0)*10,[1]Hugst!$R$4:$W$4,0))))</f>
        <v>0</v>
      </c>
      <c r="I166">
        <f ca="1">IF($C166-I$1&lt;År1,0,H165*(1-VLOOKUP($A166,[1]Hugst!$R$5:$W$9,MATCH(ROUNDUP((I$1)/10,0)*10,[1]Hugst!$R$4:$W$4,0))))</f>
        <v>0</v>
      </c>
      <c r="J166">
        <f ca="1">IF($C166-J$1&lt;År1,0,I165*(1-VLOOKUP($A166,[1]Hugst!$R$5:$W$9,MATCH(ROUNDUP((J$1)/10,0)*10,[1]Hugst!$R$4:$W$4,0))))</f>
        <v>0</v>
      </c>
      <c r="K166">
        <f ca="1">IF($C166-K$1&lt;År1,0,J165*(1-VLOOKUP($A166,[1]Hugst!$R$5:$W$9,MATCH(ROUNDUP((K$1)/10,0)*10,[1]Hugst!$R$4:$W$4,0))))</f>
        <v>0</v>
      </c>
      <c r="L166">
        <f ca="1">IF($C166-L$1&lt;År1,0,K165*(1-VLOOKUP($A166,[1]Hugst!$R$5:$W$9,MATCH(ROUNDUP((L$1)/10,0)*10,[1]Hugst!$R$4:$W$4,0))))</f>
        <v>0</v>
      </c>
      <c r="M166">
        <f ca="1">IF($C166-M$1&lt;År1,0,L165*(1-VLOOKUP($A166,[1]Hugst!$R$5:$W$9,MATCH(ROUNDUP((M$1)/10,0)*10,[1]Hugst!$R$4:$W$4,0))))</f>
        <v>0</v>
      </c>
      <c r="N166">
        <f ca="1">IF($C166-N$1&lt;År1,0,M165*(1-VLOOKUP($A166,[1]Hugst!$R$5:$W$9,MATCH(ROUNDUP((N$1)/10,0)*10,[1]Hugst!$R$4:$W$4,0))))</f>
        <v>0</v>
      </c>
      <c r="O166">
        <f ca="1">IF($C166-O$1&lt;År1,0,N165*(1-VLOOKUP($A166,[1]Hugst!$R$5:$W$9,MATCH(ROUNDUP((O$1)/10,0)*10,[1]Hugst!$R$4:$W$4,0))))</f>
        <v>0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0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>
        <f ca="1">IF($C167-G$1&lt;År1,0,F166*(1-VLOOKUP($A167,[1]Hugst!$R$5:$W$9,MATCH(ROUNDUP((G$1)/10,0)*10,[1]Hugst!$R$4:$W$4,0))))</f>
        <v>0</v>
      </c>
      <c r="H167">
        <f ca="1">IF($C167-H$1&lt;År1,0,G166*(1-VLOOKUP($A167,[1]Hugst!$R$5:$W$9,MATCH(ROUNDUP((H$1)/10,0)*10,[1]Hugst!$R$4:$W$4,0))))</f>
        <v>0</v>
      </c>
      <c r="I167">
        <f ca="1">IF($C167-I$1&lt;År1,0,H166*(1-VLOOKUP($A167,[1]Hugst!$R$5:$W$9,MATCH(ROUNDUP((I$1)/10,0)*10,[1]Hugst!$R$4:$W$4,0))))</f>
        <v>0</v>
      </c>
      <c r="J167">
        <f ca="1">IF($C167-J$1&lt;År1,0,I166*(1-VLOOKUP($A167,[1]Hugst!$R$5:$W$9,MATCH(ROUNDUP((J$1)/10,0)*10,[1]Hugst!$R$4:$W$4,0))))</f>
        <v>0</v>
      </c>
      <c r="K167">
        <f ca="1">IF($C167-K$1&lt;År1,0,J166*(1-VLOOKUP($A167,[1]Hugst!$R$5:$W$9,MATCH(ROUNDUP((K$1)/10,0)*10,[1]Hugst!$R$4:$W$4,0))))</f>
        <v>0</v>
      </c>
      <c r="L167">
        <f ca="1">IF($C167-L$1&lt;År1,0,K166*(1-VLOOKUP($A167,[1]Hugst!$R$5:$W$9,MATCH(ROUNDUP((L$1)/10,0)*10,[1]Hugst!$R$4:$W$4,0))))</f>
        <v>0</v>
      </c>
      <c r="M167">
        <f ca="1">IF($C167-M$1&lt;År1,0,L166*(1-VLOOKUP($A167,[1]Hugst!$R$5:$W$9,MATCH(ROUNDUP((M$1)/10,0)*10,[1]Hugst!$R$4:$W$4,0))))</f>
        <v>0</v>
      </c>
      <c r="N167">
        <f ca="1">IF($C167-N$1&lt;År1,0,M166*(1-VLOOKUP($A167,[1]Hugst!$R$5:$W$9,MATCH(ROUNDUP((N$1)/10,0)*10,[1]Hugst!$R$4:$W$4,0))))</f>
        <v>0</v>
      </c>
      <c r="O167">
        <f ca="1">IF($C167-O$1&lt;År1,0,N166*(1-VLOOKUP($A167,[1]Hugst!$R$5:$W$9,MATCH(ROUNDUP((O$1)/10,0)*10,[1]Hugst!$R$4:$W$4,0))))</f>
        <v>0</v>
      </c>
      <c r="P167">
        <f ca="1">IF($C167-P$1&lt;År1,0,O166*(1-VLOOKUP($A167,[1]Hugst!$R$5:$W$9,MATCH(ROUNDUP((P$1)/10,0)*10,[1]Hugst!$R$4:$W$4,0))))</f>
        <v>0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0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>
        <f ca="1">IF($C168-G$1&lt;År1,0,F167*(1-VLOOKUP($A168,[1]Hugst!$R$5:$W$9,MATCH(ROUNDUP((G$1)/10,0)*10,[1]Hugst!$R$4:$W$4,0))))</f>
        <v>0</v>
      </c>
      <c r="H168">
        <f ca="1">IF($C168-H$1&lt;År1,0,G167*(1-VLOOKUP($A168,[1]Hugst!$R$5:$W$9,MATCH(ROUNDUP((H$1)/10,0)*10,[1]Hugst!$R$4:$W$4,0))))</f>
        <v>0</v>
      </c>
      <c r="I168">
        <f ca="1">IF($C168-I$1&lt;År1,0,H167*(1-VLOOKUP($A168,[1]Hugst!$R$5:$W$9,MATCH(ROUNDUP((I$1)/10,0)*10,[1]Hugst!$R$4:$W$4,0))))</f>
        <v>0</v>
      </c>
      <c r="J168">
        <f ca="1">IF($C168-J$1&lt;År1,0,I167*(1-VLOOKUP($A168,[1]Hugst!$R$5:$W$9,MATCH(ROUNDUP((J$1)/10,0)*10,[1]Hugst!$R$4:$W$4,0))))</f>
        <v>0</v>
      </c>
      <c r="K168">
        <f ca="1">IF($C168-K$1&lt;År1,0,J167*(1-VLOOKUP($A168,[1]Hugst!$R$5:$W$9,MATCH(ROUNDUP((K$1)/10,0)*10,[1]Hugst!$R$4:$W$4,0))))</f>
        <v>0</v>
      </c>
      <c r="L168">
        <f ca="1">IF($C168-L$1&lt;År1,0,K167*(1-VLOOKUP($A168,[1]Hugst!$R$5:$W$9,MATCH(ROUNDUP((L$1)/10,0)*10,[1]Hugst!$R$4:$W$4,0))))</f>
        <v>0</v>
      </c>
      <c r="M168">
        <f ca="1">IF($C168-M$1&lt;År1,0,L167*(1-VLOOKUP($A168,[1]Hugst!$R$5:$W$9,MATCH(ROUNDUP((M$1)/10,0)*10,[1]Hugst!$R$4:$W$4,0))))</f>
        <v>0</v>
      </c>
      <c r="N168">
        <f ca="1">IF($C168-N$1&lt;År1,0,M167*(1-VLOOKUP($A168,[1]Hugst!$R$5:$W$9,MATCH(ROUNDUP((N$1)/10,0)*10,[1]Hugst!$R$4:$W$4,0))))</f>
        <v>0</v>
      </c>
      <c r="O168">
        <f ca="1">IF($C168-O$1&lt;År1,0,N167*(1-VLOOKUP($A168,[1]Hugst!$R$5:$W$9,MATCH(ROUNDUP((O$1)/10,0)*10,[1]Hugst!$R$4:$W$4,0))))</f>
        <v>0</v>
      </c>
      <c r="P168">
        <f ca="1">IF($C168-P$1&lt;År1,0,O167*(1-VLOOKUP($A168,[1]Hugst!$R$5:$W$9,MATCH(ROUNDUP((P$1)/10,0)*10,[1]Hugst!$R$4:$W$4,0))))</f>
        <v>0</v>
      </c>
      <c r="Q168">
        <f ca="1">IF($C168-Q$1&lt;År1,0,P167*(1-VLOOKUP($A168,[1]Hugst!$R$5:$W$9,MATCH(ROUNDUP((Q$1)/10,0)*10,[1]Hugst!$R$4:$W$4,0))))</f>
        <v>0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0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>
        <f ca="1">IF($C169-G$1&lt;År1,0,F168*(1-VLOOKUP($A169,[1]Hugst!$R$5:$W$9,MATCH(ROUNDUP((G$1)/10,0)*10,[1]Hugst!$R$4:$W$4,0))))</f>
        <v>0</v>
      </c>
      <c r="H169">
        <f ca="1">IF($C169-H$1&lt;År1,0,G168*(1-VLOOKUP($A169,[1]Hugst!$R$5:$W$9,MATCH(ROUNDUP((H$1)/10,0)*10,[1]Hugst!$R$4:$W$4,0))))</f>
        <v>0</v>
      </c>
      <c r="I169">
        <f ca="1">IF($C169-I$1&lt;År1,0,H168*(1-VLOOKUP($A169,[1]Hugst!$R$5:$W$9,MATCH(ROUNDUP((I$1)/10,0)*10,[1]Hugst!$R$4:$W$4,0))))</f>
        <v>0</v>
      </c>
      <c r="J169">
        <f ca="1">IF($C169-J$1&lt;År1,0,I168*(1-VLOOKUP($A169,[1]Hugst!$R$5:$W$9,MATCH(ROUNDUP((J$1)/10,0)*10,[1]Hugst!$R$4:$W$4,0))))</f>
        <v>0</v>
      </c>
      <c r="K169">
        <f ca="1">IF($C169-K$1&lt;År1,0,J168*(1-VLOOKUP($A169,[1]Hugst!$R$5:$W$9,MATCH(ROUNDUP((K$1)/10,0)*10,[1]Hugst!$R$4:$W$4,0))))</f>
        <v>0</v>
      </c>
      <c r="L169">
        <f ca="1">IF($C169-L$1&lt;År1,0,K168*(1-VLOOKUP($A169,[1]Hugst!$R$5:$W$9,MATCH(ROUNDUP((L$1)/10,0)*10,[1]Hugst!$R$4:$W$4,0))))</f>
        <v>0</v>
      </c>
      <c r="M169">
        <f ca="1">IF($C169-M$1&lt;År1,0,L168*(1-VLOOKUP($A169,[1]Hugst!$R$5:$W$9,MATCH(ROUNDUP((M$1)/10,0)*10,[1]Hugst!$R$4:$W$4,0))))</f>
        <v>0</v>
      </c>
      <c r="N169">
        <f ca="1">IF($C169-N$1&lt;År1,0,M168*(1-VLOOKUP($A169,[1]Hugst!$R$5:$W$9,MATCH(ROUNDUP((N$1)/10,0)*10,[1]Hugst!$R$4:$W$4,0))))</f>
        <v>0</v>
      </c>
      <c r="O169">
        <f ca="1">IF($C169-O$1&lt;År1,0,N168*(1-VLOOKUP($A169,[1]Hugst!$R$5:$W$9,MATCH(ROUNDUP((O$1)/10,0)*10,[1]Hugst!$R$4:$W$4,0))))</f>
        <v>0</v>
      </c>
      <c r="P169">
        <f ca="1">IF($C169-P$1&lt;År1,0,O168*(1-VLOOKUP($A169,[1]Hugst!$R$5:$W$9,MATCH(ROUNDUP((P$1)/10,0)*10,[1]Hugst!$R$4:$W$4,0))))</f>
        <v>0</v>
      </c>
      <c r="Q169">
        <f ca="1">IF($C169-Q$1&lt;År1,0,P168*(1-VLOOKUP($A169,[1]Hugst!$R$5:$W$9,MATCH(ROUNDUP((Q$1)/10,0)*10,[1]Hugst!$R$4:$W$4,0))))</f>
        <v>0</v>
      </c>
      <c r="R169">
        <f ca="1">IF($C169-R$1&lt;År1,0,Q168*(1-VLOOKUP($A169,[1]Hugst!$R$5:$W$9,MATCH(ROUNDUP((R$1)/10,0)*10,[1]Hugst!$R$4:$W$4,0))))</f>
        <v>0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0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>
        <f ca="1">IF($C170-G$1&lt;År1,0,F169*(1-VLOOKUP($A170,[1]Hugst!$R$5:$W$9,MATCH(ROUNDUP((G$1)/10,0)*10,[1]Hugst!$R$4:$W$4,0))))</f>
        <v>0</v>
      </c>
      <c r="H170">
        <f ca="1">IF($C170-H$1&lt;År1,0,G169*(1-VLOOKUP($A170,[1]Hugst!$R$5:$W$9,MATCH(ROUNDUP((H$1)/10,0)*10,[1]Hugst!$R$4:$W$4,0))))</f>
        <v>0</v>
      </c>
      <c r="I170">
        <f ca="1">IF($C170-I$1&lt;År1,0,H169*(1-VLOOKUP($A170,[1]Hugst!$R$5:$W$9,MATCH(ROUNDUP((I$1)/10,0)*10,[1]Hugst!$R$4:$W$4,0))))</f>
        <v>0</v>
      </c>
      <c r="J170">
        <f ca="1">IF($C170-J$1&lt;År1,0,I169*(1-VLOOKUP($A170,[1]Hugst!$R$5:$W$9,MATCH(ROUNDUP((J$1)/10,0)*10,[1]Hugst!$R$4:$W$4,0))))</f>
        <v>0</v>
      </c>
      <c r="K170">
        <f ca="1">IF($C170-K$1&lt;År1,0,J169*(1-VLOOKUP($A170,[1]Hugst!$R$5:$W$9,MATCH(ROUNDUP((K$1)/10,0)*10,[1]Hugst!$R$4:$W$4,0))))</f>
        <v>0</v>
      </c>
      <c r="L170">
        <f ca="1">IF($C170-L$1&lt;År1,0,K169*(1-VLOOKUP($A170,[1]Hugst!$R$5:$W$9,MATCH(ROUNDUP((L$1)/10,0)*10,[1]Hugst!$R$4:$W$4,0))))</f>
        <v>0</v>
      </c>
      <c r="M170">
        <f ca="1">IF($C170-M$1&lt;År1,0,L169*(1-VLOOKUP($A170,[1]Hugst!$R$5:$W$9,MATCH(ROUNDUP((M$1)/10,0)*10,[1]Hugst!$R$4:$W$4,0))))</f>
        <v>0</v>
      </c>
      <c r="N170">
        <f ca="1">IF($C170-N$1&lt;År1,0,M169*(1-VLOOKUP($A170,[1]Hugst!$R$5:$W$9,MATCH(ROUNDUP((N$1)/10,0)*10,[1]Hugst!$R$4:$W$4,0))))</f>
        <v>0</v>
      </c>
      <c r="O170">
        <f ca="1">IF($C170-O$1&lt;År1,0,N169*(1-VLOOKUP($A170,[1]Hugst!$R$5:$W$9,MATCH(ROUNDUP((O$1)/10,0)*10,[1]Hugst!$R$4:$W$4,0))))</f>
        <v>0</v>
      </c>
      <c r="P170">
        <f ca="1">IF($C170-P$1&lt;År1,0,O169*(1-VLOOKUP($A170,[1]Hugst!$R$5:$W$9,MATCH(ROUNDUP((P$1)/10,0)*10,[1]Hugst!$R$4:$W$4,0))))</f>
        <v>0</v>
      </c>
      <c r="Q170">
        <f ca="1">IF($C170-Q$1&lt;År1,0,P169*(1-VLOOKUP($A170,[1]Hugst!$R$5:$W$9,MATCH(ROUNDUP((Q$1)/10,0)*10,[1]Hugst!$R$4:$W$4,0))))</f>
        <v>0</v>
      </c>
      <c r="R170">
        <f ca="1">IF($C170-R$1&lt;År1,0,Q169*(1-VLOOKUP($A170,[1]Hugst!$R$5:$W$9,MATCH(ROUNDUP((R$1)/10,0)*10,[1]Hugst!$R$4:$W$4,0))))</f>
        <v>0</v>
      </c>
      <c r="S170">
        <f ca="1">IF($C170-S$1&lt;År1,0,R169*(1-VLOOKUP($A170,[1]Hugst!$R$5:$W$9,MATCH(ROUNDUP((S$1)/10,0)*10,[1]Hugst!$R$4:$W$4,0))))</f>
        <v>0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0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>
        <f ca="1">IF($C171-G$1&lt;År1,0,F170*(1-VLOOKUP($A171,[1]Hugst!$R$5:$W$9,MATCH(ROUNDUP((G$1)/10,0)*10,[1]Hugst!$R$4:$W$4,0))))</f>
        <v>0</v>
      </c>
      <c r="H171">
        <f ca="1">IF($C171-H$1&lt;År1,0,G170*(1-VLOOKUP($A171,[1]Hugst!$R$5:$W$9,MATCH(ROUNDUP((H$1)/10,0)*10,[1]Hugst!$R$4:$W$4,0))))</f>
        <v>0</v>
      </c>
      <c r="I171">
        <f ca="1">IF($C171-I$1&lt;År1,0,H170*(1-VLOOKUP($A171,[1]Hugst!$R$5:$W$9,MATCH(ROUNDUP((I$1)/10,0)*10,[1]Hugst!$R$4:$W$4,0))))</f>
        <v>0</v>
      </c>
      <c r="J171">
        <f ca="1">IF($C171-J$1&lt;År1,0,I170*(1-VLOOKUP($A171,[1]Hugst!$R$5:$W$9,MATCH(ROUNDUP((J$1)/10,0)*10,[1]Hugst!$R$4:$W$4,0))))</f>
        <v>0</v>
      </c>
      <c r="K171">
        <f ca="1">IF($C171-K$1&lt;År1,0,J170*(1-VLOOKUP($A171,[1]Hugst!$R$5:$W$9,MATCH(ROUNDUP((K$1)/10,0)*10,[1]Hugst!$R$4:$W$4,0))))</f>
        <v>0</v>
      </c>
      <c r="L171">
        <f ca="1">IF($C171-L$1&lt;År1,0,K170*(1-VLOOKUP($A171,[1]Hugst!$R$5:$W$9,MATCH(ROUNDUP((L$1)/10,0)*10,[1]Hugst!$R$4:$W$4,0))))</f>
        <v>0</v>
      </c>
      <c r="M171">
        <f ca="1">IF($C171-M$1&lt;År1,0,L170*(1-VLOOKUP($A171,[1]Hugst!$R$5:$W$9,MATCH(ROUNDUP((M$1)/10,0)*10,[1]Hugst!$R$4:$W$4,0))))</f>
        <v>0</v>
      </c>
      <c r="N171">
        <f ca="1">IF($C171-N$1&lt;År1,0,M170*(1-VLOOKUP($A171,[1]Hugst!$R$5:$W$9,MATCH(ROUNDUP((N$1)/10,0)*10,[1]Hugst!$R$4:$W$4,0))))</f>
        <v>0</v>
      </c>
      <c r="O171">
        <f ca="1">IF($C171-O$1&lt;År1,0,N170*(1-VLOOKUP($A171,[1]Hugst!$R$5:$W$9,MATCH(ROUNDUP((O$1)/10,0)*10,[1]Hugst!$R$4:$W$4,0))))</f>
        <v>0</v>
      </c>
      <c r="P171">
        <f ca="1">IF($C171-P$1&lt;År1,0,O170*(1-VLOOKUP($A171,[1]Hugst!$R$5:$W$9,MATCH(ROUNDUP((P$1)/10,0)*10,[1]Hugst!$R$4:$W$4,0))))</f>
        <v>0</v>
      </c>
      <c r="Q171">
        <f ca="1">IF($C171-Q$1&lt;År1,0,P170*(1-VLOOKUP($A171,[1]Hugst!$R$5:$W$9,MATCH(ROUNDUP((Q$1)/10,0)*10,[1]Hugst!$R$4:$W$4,0))))</f>
        <v>0</v>
      </c>
      <c r="R171">
        <f ca="1">IF($C171-R$1&lt;År1,0,Q170*(1-VLOOKUP($A171,[1]Hugst!$R$5:$W$9,MATCH(ROUNDUP((R$1)/10,0)*10,[1]Hugst!$R$4:$W$4,0))))</f>
        <v>0</v>
      </c>
      <c r="S171">
        <f ca="1">IF($C171-S$1&lt;År1,0,R170*(1-VLOOKUP($A171,[1]Hugst!$R$5:$W$9,MATCH(ROUNDUP((S$1)/10,0)*10,[1]Hugst!$R$4:$W$4,0))))</f>
        <v>0</v>
      </c>
      <c r="T171">
        <f ca="1">IF($C171-T$1&lt;År1,0,S170*(1-VLOOKUP($A171,[1]Hugst!$R$5:$W$9,MATCH(ROUNDUP((T$1)/10,0)*10,[1]Hugst!$R$4:$W$4,0))))</f>
        <v>0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0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>
        <f ca="1">IF($C172-G$1&lt;År1,0,F171*(1-VLOOKUP($A172,[1]Hugst!$R$5:$W$9,MATCH(ROUNDUP((G$1)/10,0)*10,[1]Hugst!$R$4:$W$4,0))))</f>
        <v>0</v>
      </c>
      <c r="H172">
        <f ca="1">IF($C172-H$1&lt;År1,0,G171*(1-VLOOKUP($A172,[1]Hugst!$R$5:$W$9,MATCH(ROUNDUP((H$1)/10,0)*10,[1]Hugst!$R$4:$W$4,0))))</f>
        <v>0</v>
      </c>
      <c r="I172">
        <f ca="1">IF($C172-I$1&lt;År1,0,H171*(1-VLOOKUP($A172,[1]Hugst!$R$5:$W$9,MATCH(ROUNDUP((I$1)/10,0)*10,[1]Hugst!$R$4:$W$4,0))))</f>
        <v>0</v>
      </c>
      <c r="J172">
        <f ca="1">IF($C172-J$1&lt;År1,0,I171*(1-VLOOKUP($A172,[1]Hugst!$R$5:$W$9,MATCH(ROUNDUP((J$1)/10,0)*10,[1]Hugst!$R$4:$W$4,0))))</f>
        <v>0</v>
      </c>
      <c r="K172">
        <f ca="1">IF($C172-K$1&lt;År1,0,J171*(1-VLOOKUP($A172,[1]Hugst!$R$5:$W$9,MATCH(ROUNDUP((K$1)/10,0)*10,[1]Hugst!$R$4:$W$4,0))))</f>
        <v>0</v>
      </c>
      <c r="L172">
        <f ca="1">IF($C172-L$1&lt;År1,0,K171*(1-VLOOKUP($A172,[1]Hugst!$R$5:$W$9,MATCH(ROUNDUP((L$1)/10,0)*10,[1]Hugst!$R$4:$W$4,0))))</f>
        <v>0</v>
      </c>
      <c r="M172">
        <f ca="1">IF($C172-M$1&lt;År1,0,L171*(1-VLOOKUP($A172,[1]Hugst!$R$5:$W$9,MATCH(ROUNDUP((M$1)/10,0)*10,[1]Hugst!$R$4:$W$4,0))))</f>
        <v>0</v>
      </c>
      <c r="N172">
        <f ca="1">IF($C172-N$1&lt;År1,0,M171*(1-VLOOKUP($A172,[1]Hugst!$R$5:$W$9,MATCH(ROUNDUP((N$1)/10,0)*10,[1]Hugst!$R$4:$W$4,0))))</f>
        <v>0</v>
      </c>
      <c r="O172">
        <f ca="1">IF($C172-O$1&lt;År1,0,N171*(1-VLOOKUP($A172,[1]Hugst!$R$5:$W$9,MATCH(ROUNDUP((O$1)/10,0)*10,[1]Hugst!$R$4:$W$4,0))))</f>
        <v>0</v>
      </c>
      <c r="P172">
        <f ca="1">IF($C172-P$1&lt;År1,0,O171*(1-VLOOKUP($A172,[1]Hugst!$R$5:$W$9,MATCH(ROUNDUP((P$1)/10,0)*10,[1]Hugst!$R$4:$W$4,0))))</f>
        <v>0</v>
      </c>
      <c r="Q172">
        <f ca="1">IF($C172-Q$1&lt;År1,0,P171*(1-VLOOKUP($A172,[1]Hugst!$R$5:$W$9,MATCH(ROUNDUP((Q$1)/10,0)*10,[1]Hugst!$R$4:$W$4,0))))</f>
        <v>0</v>
      </c>
      <c r="R172">
        <f ca="1">IF($C172-R$1&lt;År1,0,Q171*(1-VLOOKUP($A172,[1]Hugst!$R$5:$W$9,MATCH(ROUNDUP((R$1)/10,0)*10,[1]Hugst!$R$4:$W$4,0))))</f>
        <v>0</v>
      </c>
      <c r="S172">
        <f ca="1">IF($C172-S$1&lt;År1,0,R171*(1-VLOOKUP($A172,[1]Hugst!$R$5:$W$9,MATCH(ROUNDUP((S$1)/10,0)*10,[1]Hugst!$R$4:$W$4,0))))</f>
        <v>0</v>
      </c>
      <c r="T172">
        <f ca="1">IF($C172-T$1&lt;År1,0,S171*(1-VLOOKUP($A172,[1]Hugst!$R$5:$W$9,MATCH(ROUNDUP((T$1)/10,0)*10,[1]Hugst!$R$4:$W$4,0))))</f>
        <v>0</v>
      </c>
      <c r="U172">
        <f ca="1">IF($C172-U$1&lt;År1,0,T171*(1-VLOOKUP($A172,[1]Hugst!$R$5:$W$9,MATCH(ROUNDUP((U$1)/10,0)*10,[1]Hugst!$R$4:$W$4,0))))</f>
        <v>0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0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>
        <f ca="1">IF($C173-G$1&lt;År1,0,F172*(1-VLOOKUP($A173,[1]Hugst!$R$5:$W$9,MATCH(ROUNDUP((G$1)/10,0)*10,[1]Hugst!$R$4:$W$4,0))))</f>
        <v>0</v>
      </c>
      <c r="H173">
        <f ca="1">IF($C173-H$1&lt;År1,0,G172*(1-VLOOKUP($A173,[1]Hugst!$R$5:$W$9,MATCH(ROUNDUP((H$1)/10,0)*10,[1]Hugst!$R$4:$W$4,0))))</f>
        <v>0</v>
      </c>
      <c r="I173">
        <f ca="1">IF($C173-I$1&lt;År1,0,H172*(1-VLOOKUP($A173,[1]Hugst!$R$5:$W$9,MATCH(ROUNDUP((I$1)/10,0)*10,[1]Hugst!$R$4:$W$4,0))))</f>
        <v>0</v>
      </c>
      <c r="J173">
        <f ca="1">IF($C173-J$1&lt;År1,0,I172*(1-VLOOKUP($A173,[1]Hugst!$R$5:$W$9,MATCH(ROUNDUP((J$1)/10,0)*10,[1]Hugst!$R$4:$W$4,0))))</f>
        <v>0</v>
      </c>
      <c r="K173">
        <f ca="1">IF($C173-K$1&lt;År1,0,J172*(1-VLOOKUP($A173,[1]Hugst!$R$5:$W$9,MATCH(ROUNDUP((K$1)/10,0)*10,[1]Hugst!$R$4:$W$4,0))))</f>
        <v>0</v>
      </c>
      <c r="L173">
        <f ca="1">IF($C173-L$1&lt;År1,0,K172*(1-VLOOKUP($A173,[1]Hugst!$R$5:$W$9,MATCH(ROUNDUP((L$1)/10,0)*10,[1]Hugst!$R$4:$W$4,0))))</f>
        <v>0</v>
      </c>
      <c r="M173">
        <f ca="1">IF($C173-M$1&lt;År1,0,L172*(1-VLOOKUP($A173,[1]Hugst!$R$5:$W$9,MATCH(ROUNDUP((M$1)/10,0)*10,[1]Hugst!$R$4:$W$4,0))))</f>
        <v>0</v>
      </c>
      <c r="N173">
        <f ca="1">IF($C173-N$1&lt;År1,0,M172*(1-VLOOKUP($A173,[1]Hugst!$R$5:$W$9,MATCH(ROUNDUP((N$1)/10,0)*10,[1]Hugst!$R$4:$W$4,0))))</f>
        <v>0</v>
      </c>
      <c r="O173">
        <f ca="1">IF($C173-O$1&lt;År1,0,N172*(1-VLOOKUP($A173,[1]Hugst!$R$5:$W$9,MATCH(ROUNDUP((O$1)/10,0)*10,[1]Hugst!$R$4:$W$4,0))))</f>
        <v>0</v>
      </c>
      <c r="P173">
        <f ca="1">IF($C173-P$1&lt;År1,0,O172*(1-VLOOKUP($A173,[1]Hugst!$R$5:$W$9,MATCH(ROUNDUP((P$1)/10,0)*10,[1]Hugst!$R$4:$W$4,0))))</f>
        <v>0</v>
      </c>
      <c r="Q173">
        <f ca="1">IF($C173-Q$1&lt;År1,0,P172*(1-VLOOKUP($A173,[1]Hugst!$R$5:$W$9,MATCH(ROUNDUP((Q$1)/10,0)*10,[1]Hugst!$R$4:$W$4,0))))</f>
        <v>0</v>
      </c>
      <c r="R173">
        <f ca="1">IF($C173-R$1&lt;År1,0,Q172*(1-VLOOKUP($A173,[1]Hugst!$R$5:$W$9,MATCH(ROUNDUP((R$1)/10,0)*10,[1]Hugst!$R$4:$W$4,0))))</f>
        <v>0</v>
      </c>
      <c r="S173">
        <f ca="1">IF($C173-S$1&lt;År1,0,R172*(1-VLOOKUP($A173,[1]Hugst!$R$5:$W$9,MATCH(ROUNDUP((S$1)/10,0)*10,[1]Hugst!$R$4:$W$4,0))))</f>
        <v>0</v>
      </c>
      <c r="T173">
        <f ca="1">IF($C173-T$1&lt;År1,0,S172*(1-VLOOKUP($A173,[1]Hugst!$R$5:$W$9,MATCH(ROUNDUP((T$1)/10,0)*10,[1]Hugst!$R$4:$W$4,0))))</f>
        <v>0</v>
      </c>
      <c r="U173">
        <f ca="1">IF($C173-U$1&lt;År1,0,T172*(1-VLOOKUP($A173,[1]Hugst!$R$5:$W$9,MATCH(ROUNDUP((U$1)/10,0)*10,[1]Hugst!$R$4:$W$4,0))))</f>
        <v>0</v>
      </c>
      <c r="V173">
        <f ca="1">IF($C173-V$1&lt;År1,0,U172*(1-VLOOKUP($A173,[1]Hugst!$R$5:$W$9,MATCH(ROUNDUP((V$1)/10,0)*10,[1]Hugst!$R$4:$W$4,0))))</f>
        <v>0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0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>
        <f ca="1">IF($C174-G$1&lt;År1,0,F173*(1-VLOOKUP($A174,[1]Hugst!$R$5:$W$9,MATCH(ROUNDUP((G$1)/10,0)*10,[1]Hugst!$R$4:$W$4,0))))</f>
        <v>0</v>
      </c>
      <c r="H174">
        <f ca="1">IF($C174-H$1&lt;År1,0,G173*(1-VLOOKUP($A174,[1]Hugst!$R$5:$W$9,MATCH(ROUNDUP((H$1)/10,0)*10,[1]Hugst!$R$4:$W$4,0))))</f>
        <v>0</v>
      </c>
      <c r="I174">
        <f ca="1">IF($C174-I$1&lt;År1,0,H173*(1-VLOOKUP($A174,[1]Hugst!$R$5:$W$9,MATCH(ROUNDUP((I$1)/10,0)*10,[1]Hugst!$R$4:$W$4,0))))</f>
        <v>0</v>
      </c>
      <c r="J174">
        <f ca="1">IF($C174-J$1&lt;År1,0,I173*(1-VLOOKUP($A174,[1]Hugst!$R$5:$W$9,MATCH(ROUNDUP((J$1)/10,0)*10,[1]Hugst!$R$4:$W$4,0))))</f>
        <v>0</v>
      </c>
      <c r="K174">
        <f ca="1">IF($C174-K$1&lt;År1,0,J173*(1-VLOOKUP($A174,[1]Hugst!$R$5:$W$9,MATCH(ROUNDUP((K$1)/10,0)*10,[1]Hugst!$R$4:$W$4,0))))</f>
        <v>0</v>
      </c>
      <c r="L174">
        <f ca="1">IF($C174-L$1&lt;År1,0,K173*(1-VLOOKUP($A174,[1]Hugst!$R$5:$W$9,MATCH(ROUNDUP((L$1)/10,0)*10,[1]Hugst!$R$4:$W$4,0))))</f>
        <v>0</v>
      </c>
      <c r="M174">
        <f ca="1">IF($C174-M$1&lt;År1,0,L173*(1-VLOOKUP($A174,[1]Hugst!$R$5:$W$9,MATCH(ROUNDUP((M$1)/10,0)*10,[1]Hugst!$R$4:$W$4,0))))</f>
        <v>0</v>
      </c>
      <c r="N174">
        <f ca="1">IF($C174-N$1&lt;År1,0,M173*(1-VLOOKUP($A174,[1]Hugst!$R$5:$W$9,MATCH(ROUNDUP((N$1)/10,0)*10,[1]Hugst!$R$4:$W$4,0))))</f>
        <v>0</v>
      </c>
      <c r="O174">
        <f ca="1">IF($C174-O$1&lt;År1,0,N173*(1-VLOOKUP($A174,[1]Hugst!$R$5:$W$9,MATCH(ROUNDUP((O$1)/10,0)*10,[1]Hugst!$R$4:$W$4,0))))</f>
        <v>0</v>
      </c>
      <c r="P174">
        <f ca="1">IF($C174-P$1&lt;År1,0,O173*(1-VLOOKUP($A174,[1]Hugst!$R$5:$W$9,MATCH(ROUNDUP((P$1)/10,0)*10,[1]Hugst!$R$4:$W$4,0))))</f>
        <v>0</v>
      </c>
      <c r="Q174">
        <f ca="1">IF($C174-Q$1&lt;År1,0,P173*(1-VLOOKUP($A174,[1]Hugst!$R$5:$W$9,MATCH(ROUNDUP((Q$1)/10,0)*10,[1]Hugst!$R$4:$W$4,0))))</f>
        <v>0</v>
      </c>
      <c r="R174">
        <f ca="1">IF($C174-R$1&lt;År1,0,Q173*(1-VLOOKUP($A174,[1]Hugst!$R$5:$W$9,MATCH(ROUNDUP((R$1)/10,0)*10,[1]Hugst!$R$4:$W$4,0))))</f>
        <v>0</v>
      </c>
      <c r="S174">
        <f ca="1">IF($C174-S$1&lt;År1,0,R173*(1-VLOOKUP($A174,[1]Hugst!$R$5:$W$9,MATCH(ROUNDUP((S$1)/10,0)*10,[1]Hugst!$R$4:$W$4,0))))</f>
        <v>0</v>
      </c>
      <c r="T174">
        <f ca="1">IF($C174-T$1&lt;År1,0,S173*(1-VLOOKUP($A174,[1]Hugst!$R$5:$W$9,MATCH(ROUNDUP((T$1)/10,0)*10,[1]Hugst!$R$4:$W$4,0))))</f>
        <v>0</v>
      </c>
      <c r="U174">
        <f ca="1">IF($C174-U$1&lt;År1,0,T173*(1-VLOOKUP($A174,[1]Hugst!$R$5:$W$9,MATCH(ROUNDUP((U$1)/10,0)*10,[1]Hugst!$R$4:$W$4,0))))</f>
        <v>0</v>
      </c>
      <c r="V174">
        <f ca="1">IF($C174-V$1&lt;År1,0,U173*(1-VLOOKUP($A174,[1]Hugst!$R$5:$W$9,MATCH(ROUNDUP((V$1)/10,0)*10,[1]Hugst!$R$4:$W$4,0))))</f>
        <v>0</v>
      </c>
      <c r="W174">
        <f ca="1">IF($C174-W$1&lt;År1,0,V173*(1-VLOOKUP($A174,[1]Hugst!$R$5:$W$9,MATCH(ROUNDUP((W$1)/10,0)*10,[1]Hugst!$R$4:$W$4,0))))</f>
        <v>0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0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>
        <f ca="1">IF($C175-G$1&lt;År1,0,F174*(1-VLOOKUP($A175,[1]Hugst!$R$5:$W$9,MATCH(ROUNDUP((G$1)/10,0)*10,[1]Hugst!$R$4:$W$4,0))))</f>
        <v>0</v>
      </c>
      <c r="H175">
        <f ca="1">IF($C175-H$1&lt;År1,0,G174*(1-VLOOKUP($A175,[1]Hugst!$R$5:$W$9,MATCH(ROUNDUP((H$1)/10,0)*10,[1]Hugst!$R$4:$W$4,0))))</f>
        <v>0</v>
      </c>
      <c r="I175">
        <f ca="1">IF($C175-I$1&lt;År1,0,H174*(1-VLOOKUP($A175,[1]Hugst!$R$5:$W$9,MATCH(ROUNDUP((I$1)/10,0)*10,[1]Hugst!$R$4:$W$4,0))))</f>
        <v>0</v>
      </c>
      <c r="J175">
        <f ca="1">IF($C175-J$1&lt;År1,0,I174*(1-VLOOKUP($A175,[1]Hugst!$R$5:$W$9,MATCH(ROUNDUP((J$1)/10,0)*10,[1]Hugst!$R$4:$W$4,0))))</f>
        <v>0</v>
      </c>
      <c r="K175">
        <f ca="1">IF($C175-K$1&lt;År1,0,J174*(1-VLOOKUP($A175,[1]Hugst!$R$5:$W$9,MATCH(ROUNDUP((K$1)/10,0)*10,[1]Hugst!$R$4:$W$4,0))))</f>
        <v>0</v>
      </c>
      <c r="L175">
        <f ca="1">IF($C175-L$1&lt;År1,0,K174*(1-VLOOKUP($A175,[1]Hugst!$R$5:$W$9,MATCH(ROUNDUP((L$1)/10,0)*10,[1]Hugst!$R$4:$W$4,0))))</f>
        <v>0</v>
      </c>
      <c r="M175">
        <f ca="1">IF($C175-M$1&lt;År1,0,L174*(1-VLOOKUP($A175,[1]Hugst!$R$5:$W$9,MATCH(ROUNDUP((M$1)/10,0)*10,[1]Hugst!$R$4:$W$4,0))))</f>
        <v>0</v>
      </c>
      <c r="N175">
        <f ca="1">IF($C175-N$1&lt;År1,0,M174*(1-VLOOKUP($A175,[1]Hugst!$R$5:$W$9,MATCH(ROUNDUP((N$1)/10,0)*10,[1]Hugst!$R$4:$W$4,0))))</f>
        <v>0</v>
      </c>
      <c r="O175">
        <f ca="1">IF($C175-O$1&lt;År1,0,N174*(1-VLOOKUP($A175,[1]Hugst!$R$5:$W$9,MATCH(ROUNDUP((O$1)/10,0)*10,[1]Hugst!$R$4:$W$4,0))))</f>
        <v>0</v>
      </c>
      <c r="P175">
        <f ca="1">IF($C175-P$1&lt;År1,0,O174*(1-VLOOKUP($A175,[1]Hugst!$R$5:$W$9,MATCH(ROUNDUP((P$1)/10,0)*10,[1]Hugst!$R$4:$W$4,0))))</f>
        <v>0</v>
      </c>
      <c r="Q175">
        <f ca="1">IF($C175-Q$1&lt;År1,0,P174*(1-VLOOKUP($A175,[1]Hugst!$R$5:$W$9,MATCH(ROUNDUP((Q$1)/10,0)*10,[1]Hugst!$R$4:$W$4,0))))</f>
        <v>0</v>
      </c>
      <c r="R175">
        <f ca="1">IF($C175-R$1&lt;År1,0,Q174*(1-VLOOKUP($A175,[1]Hugst!$R$5:$W$9,MATCH(ROUNDUP((R$1)/10,0)*10,[1]Hugst!$R$4:$W$4,0))))</f>
        <v>0</v>
      </c>
      <c r="S175">
        <f ca="1">IF($C175-S$1&lt;År1,0,R174*(1-VLOOKUP($A175,[1]Hugst!$R$5:$W$9,MATCH(ROUNDUP((S$1)/10,0)*10,[1]Hugst!$R$4:$W$4,0))))</f>
        <v>0</v>
      </c>
      <c r="T175">
        <f ca="1">IF($C175-T$1&lt;År1,0,S174*(1-VLOOKUP($A175,[1]Hugst!$R$5:$W$9,MATCH(ROUNDUP((T$1)/10,0)*10,[1]Hugst!$R$4:$W$4,0))))</f>
        <v>0</v>
      </c>
      <c r="U175">
        <f ca="1">IF($C175-U$1&lt;År1,0,T174*(1-VLOOKUP($A175,[1]Hugst!$R$5:$W$9,MATCH(ROUNDUP((U$1)/10,0)*10,[1]Hugst!$R$4:$W$4,0))))</f>
        <v>0</v>
      </c>
      <c r="V175">
        <f ca="1">IF($C175-V$1&lt;År1,0,U174*(1-VLOOKUP($A175,[1]Hugst!$R$5:$W$9,MATCH(ROUNDUP((V$1)/10,0)*10,[1]Hugst!$R$4:$W$4,0))))</f>
        <v>0</v>
      </c>
      <c r="W175">
        <f ca="1">IF($C175-W$1&lt;År1,0,V174*(1-VLOOKUP($A175,[1]Hugst!$R$5:$W$9,MATCH(ROUNDUP((W$1)/10,0)*10,[1]Hugst!$R$4:$W$4,0))))</f>
        <v>0</v>
      </c>
      <c r="X175">
        <f ca="1">IF($C175-X$1&lt;År1,0,W174*(1-VLOOKUP($A175,[1]Hugst!$R$5:$W$9,MATCH(ROUNDUP((X$1)/10,0)*10,[1]Hugst!$R$4:$W$4,0))))</f>
        <v>0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0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>
        <f ca="1">IF($C176-G$1&lt;År1,0,F175*(1-VLOOKUP($A176,[1]Hugst!$R$5:$W$9,MATCH(ROUNDUP((G$1)/10,0)*10,[1]Hugst!$R$4:$W$4,0))))</f>
        <v>0</v>
      </c>
      <c r="H176">
        <f ca="1">IF($C176-H$1&lt;År1,0,G175*(1-VLOOKUP($A176,[1]Hugst!$R$5:$W$9,MATCH(ROUNDUP((H$1)/10,0)*10,[1]Hugst!$R$4:$W$4,0))))</f>
        <v>0</v>
      </c>
      <c r="I176">
        <f ca="1">IF($C176-I$1&lt;År1,0,H175*(1-VLOOKUP($A176,[1]Hugst!$R$5:$W$9,MATCH(ROUNDUP((I$1)/10,0)*10,[1]Hugst!$R$4:$W$4,0))))</f>
        <v>0</v>
      </c>
      <c r="J176">
        <f ca="1">IF($C176-J$1&lt;År1,0,I175*(1-VLOOKUP($A176,[1]Hugst!$R$5:$W$9,MATCH(ROUNDUP((J$1)/10,0)*10,[1]Hugst!$R$4:$W$4,0))))</f>
        <v>0</v>
      </c>
      <c r="K176">
        <f ca="1">IF($C176-K$1&lt;År1,0,J175*(1-VLOOKUP($A176,[1]Hugst!$R$5:$W$9,MATCH(ROUNDUP((K$1)/10,0)*10,[1]Hugst!$R$4:$W$4,0))))</f>
        <v>0</v>
      </c>
      <c r="L176">
        <f ca="1">IF($C176-L$1&lt;År1,0,K175*(1-VLOOKUP($A176,[1]Hugst!$R$5:$W$9,MATCH(ROUNDUP((L$1)/10,0)*10,[1]Hugst!$R$4:$W$4,0))))</f>
        <v>0</v>
      </c>
      <c r="M176">
        <f ca="1">IF($C176-M$1&lt;År1,0,L175*(1-VLOOKUP($A176,[1]Hugst!$R$5:$W$9,MATCH(ROUNDUP((M$1)/10,0)*10,[1]Hugst!$R$4:$W$4,0))))</f>
        <v>0</v>
      </c>
      <c r="N176">
        <f ca="1">IF($C176-N$1&lt;År1,0,M175*(1-VLOOKUP($A176,[1]Hugst!$R$5:$W$9,MATCH(ROUNDUP((N$1)/10,0)*10,[1]Hugst!$R$4:$W$4,0))))</f>
        <v>0</v>
      </c>
      <c r="O176">
        <f ca="1">IF($C176-O$1&lt;År1,0,N175*(1-VLOOKUP($A176,[1]Hugst!$R$5:$W$9,MATCH(ROUNDUP((O$1)/10,0)*10,[1]Hugst!$R$4:$W$4,0))))</f>
        <v>0</v>
      </c>
      <c r="P176">
        <f ca="1">IF($C176-P$1&lt;År1,0,O175*(1-VLOOKUP($A176,[1]Hugst!$R$5:$W$9,MATCH(ROUNDUP((P$1)/10,0)*10,[1]Hugst!$R$4:$W$4,0))))</f>
        <v>0</v>
      </c>
      <c r="Q176">
        <f ca="1">IF($C176-Q$1&lt;År1,0,P175*(1-VLOOKUP($A176,[1]Hugst!$R$5:$W$9,MATCH(ROUNDUP((Q$1)/10,0)*10,[1]Hugst!$R$4:$W$4,0))))</f>
        <v>0</v>
      </c>
      <c r="R176">
        <f ca="1">IF($C176-R$1&lt;År1,0,Q175*(1-VLOOKUP($A176,[1]Hugst!$R$5:$W$9,MATCH(ROUNDUP((R$1)/10,0)*10,[1]Hugst!$R$4:$W$4,0))))</f>
        <v>0</v>
      </c>
      <c r="S176">
        <f ca="1">IF($C176-S$1&lt;År1,0,R175*(1-VLOOKUP($A176,[1]Hugst!$R$5:$W$9,MATCH(ROUNDUP((S$1)/10,0)*10,[1]Hugst!$R$4:$W$4,0))))</f>
        <v>0</v>
      </c>
      <c r="T176">
        <f ca="1">IF($C176-T$1&lt;År1,0,S175*(1-VLOOKUP($A176,[1]Hugst!$R$5:$W$9,MATCH(ROUNDUP((T$1)/10,0)*10,[1]Hugst!$R$4:$W$4,0))))</f>
        <v>0</v>
      </c>
      <c r="U176">
        <f ca="1">IF($C176-U$1&lt;År1,0,T175*(1-VLOOKUP($A176,[1]Hugst!$R$5:$W$9,MATCH(ROUNDUP((U$1)/10,0)*10,[1]Hugst!$R$4:$W$4,0))))</f>
        <v>0</v>
      </c>
      <c r="V176">
        <f ca="1">IF($C176-V$1&lt;År1,0,U175*(1-VLOOKUP($A176,[1]Hugst!$R$5:$W$9,MATCH(ROUNDUP((V$1)/10,0)*10,[1]Hugst!$R$4:$W$4,0))))</f>
        <v>0</v>
      </c>
      <c r="W176">
        <f ca="1">IF($C176-W$1&lt;År1,0,V175*(1-VLOOKUP($A176,[1]Hugst!$R$5:$W$9,MATCH(ROUNDUP((W$1)/10,0)*10,[1]Hugst!$R$4:$W$4,0))))</f>
        <v>0</v>
      </c>
      <c r="X176">
        <f ca="1">IF($C176-X$1&lt;År1,0,W175*(1-VLOOKUP($A176,[1]Hugst!$R$5:$W$9,MATCH(ROUNDUP((X$1)/10,0)*10,[1]Hugst!$R$4:$W$4,0))))</f>
        <v>0</v>
      </c>
      <c r="Y176">
        <f ca="1">IF($C176-Y$1&lt;År1,0,X175*(1-VLOOKUP($A176,[1]Hugst!$R$5:$W$9,MATCH(ROUNDUP((Y$1)/10,0)*10,[1]Hugst!$R$4:$W$4,0))))</f>
        <v>0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0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>
        <f ca="1">IF($C177-G$1&lt;År1,0,F176*(1-VLOOKUP($A177,[1]Hugst!$R$5:$W$9,MATCH(ROUNDUP((G$1)/10,0)*10,[1]Hugst!$R$4:$W$4,0))))</f>
        <v>0</v>
      </c>
      <c r="H177">
        <f ca="1">IF($C177-H$1&lt;År1,0,G176*(1-VLOOKUP($A177,[1]Hugst!$R$5:$W$9,MATCH(ROUNDUP((H$1)/10,0)*10,[1]Hugst!$R$4:$W$4,0))))</f>
        <v>0</v>
      </c>
      <c r="I177">
        <f ca="1">IF($C177-I$1&lt;År1,0,H176*(1-VLOOKUP($A177,[1]Hugst!$R$5:$W$9,MATCH(ROUNDUP((I$1)/10,0)*10,[1]Hugst!$R$4:$W$4,0))))</f>
        <v>0</v>
      </c>
      <c r="J177">
        <f ca="1">IF($C177-J$1&lt;År1,0,I176*(1-VLOOKUP($A177,[1]Hugst!$R$5:$W$9,MATCH(ROUNDUP((J$1)/10,0)*10,[1]Hugst!$R$4:$W$4,0))))</f>
        <v>0</v>
      </c>
      <c r="K177">
        <f ca="1">IF($C177-K$1&lt;År1,0,J176*(1-VLOOKUP($A177,[1]Hugst!$R$5:$W$9,MATCH(ROUNDUP((K$1)/10,0)*10,[1]Hugst!$R$4:$W$4,0))))</f>
        <v>0</v>
      </c>
      <c r="L177">
        <f ca="1">IF($C177-L$1&lt;År1,0,K176*(1-VLOOKUP($A177,[1]Hugst!$R$5:$W$9,MATCH(ROUNDUP((L$1)/10,0)*10,[1]Hugst!$R$4:$W$4,0))))</f>
        <v>0</v>
      </c>
      <c r="M177">
        <f ca="1">IF($C177-M$1&lt;År1,0,L176*(1-VLOOKUP($A177,[1]Hugst!$R$5:$W$9,MATCH(ROUNDUP((M$1)/10,0)*10,[1]Hugst!$R$4:$W$4,0))))</f>
        <v>0</v>
      </c>
      <c r="N177">
        <f ca="1">IF($C177-N$1&lt;År1,0,M176*(1-VLOOKUP($A177,[1]Hugst!$R$5:$W$9,MATCH(ROUNDUP((N$1)/10,0)*10,[1]Hugst!$R$4:$W$4,0))))</f>
        <v>0</v>
      </c>
      <c r="O177">
        <f ca="1">IF($C177-O$1&lt;År1,0,N176*(1-VLOOKUP($A177,[1]Hugst!$R$5:$W$9,MATCH(ROUNDUP((O$1)/10,0)*10,[1]Hugst!$R$4:$W$4,0))))</f>
        <v>0</v>
      </c>
      <c r="P177">
        <f ca="1">IF($C177-P$1&lt;År1,0,O176*(1-VLOOKUP($A177,[1]Hugst!$R$5:$W$9,MATCH(ROUNDUP((P$1)/10,0)*10,[1]Hugst!$R$4:$W$4,0))))</f>
        <v>0</v>
      </c>
      <c r="Q177">
        <f ca="1">IF($C177-Q$1&lt;År1,0,P176*(1-VLOOKUP($A177,[1]Hugst!$R$5:$W$9,MATCH(ROUNDUP((Q$1)/10,0)*10,[1]Hugst!$R$4:$W$4,0))))</f>
        <v>0</v>
      </c>
      <c r="R177">
        <f ca="1">IF($C177-R$1&lt;År1,0,Q176*(1-VLOOKUP($A177,[1]Hugst!$R$5:$W$9,MATCH(ROUNDUP((R$1)/10,0)*10,[1]Hugst!$R$4:$W$4,0))))</f>
        <v>0</v>
      </c>
      <c r="S177">
        <f ca="1">IF($C177-S$1&lt;År1,0,R176*(1-VLOOKUP($A177,[1]Hugst!$R$5:$W$9,MATCH(ROUNDUP((S$1)/10,0)*10,[1]Hugst!$R$4:$W$4,0))))</f>
        <v>0</v>
      </c>
      <c r="T177">
        <f ca="1">IF($C177-T$1&lt;År1,0,S176*(1-VLOOKUP($A177,[1]Hugst!$R$5:$W$9,MATCH(ROUNDUP((T$1)/10,0)*10,[1]Hugst!$R$4:$W$4,0))))</f>
        <v>0</v>
      </c>
      <c r="U177">
        <f ca="1">IF($C177-U$1&lt;År1,0,T176*(1-VLOOKUP($A177,[1]Hugst!$R$5:$W$9,MATCH(ROUNDUP((U$1)/10,0)*10,[1]Hugst!$R$4:$W$4,0))))</f>
        <v>0</v>
      </c>
      <c r="V177">
        <f ca="1">IF($C177-V$1&lt;År1,0,U176*(1-VLOOKUP($A177,[1]Hugst!$R$5:$W$9,MATCH(ROUNDUP((V$1)/10,0)*10,[1]Hugst!$R$4:$W$4,0))))</f>
        <v>0</v>
      </c>
      <c r="W177">
        <f ca="1">IF($C177-W$1&lt;År1,0,V176*(1-VLOOKUP($A177,[1]Hugst!$R$5:$W$9,MATCH(ROUNDUP((W$1)/10,0)*10,[1]Hugst!$R$4:$W$4,0))))</f>
        <v>0</v>
      </c>
      <c r="X177">
        <f ca="1">IF($C177-X$1&lt;År1,0,W176*(1-VLOOKUP($A177,[1]Hugst!$R$5:$W$9,MATCH(ROUNDUP((X$1)/10,0)*10,[1]Hugst!$R$4:$W$4,0))))</f>
        <v>0</v>
      </c>
      <c r="Y177">
        <f ca="1">IF($C177-Y$1&lt;År1,0,X176*(1-VLOOKUP($A177,[1]Hugst!$R$5:$W$9,MATCH(ROUNDUP((Y$1)/10,0)*10,[1]Hugst!$R$4:$W$4,0))))</f>
        <v>0</v>
      </c>
      <c r="Z177">
        <f ca="1">IF($C177-Z$1&lt;År1,0,Y176*(1-VLOOKUP($A177,[1]Hugst!$R$5:$W$9,MATCH(ROUNDUP((Z$1)/10,0)*10,[1]Hugst!$R$4:$W$4,0))))</f>
        <v>0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0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>
        <f ca="1">IF($C178-G$1&lt;År1,0,F177*(1-VLOOKUP($A178,[1]Hugst!$R$5:$W$9,MATCH(ROUNDUP((G$1)/10,0)*10,[1]Hugst!$R$4:$W$4,0))))</f>
        <v>0</v>
      </c>
      <c r="H178">
        <f ca="1">IF($C178-H$1&lt;År1,0,G177*(1-VLOOKUP($A178,[1]Hugst!$R$5:$W$9,MATCH(ROUNDUP((H$1)/10,0)*10,[1]Hugst!$R$4:$W$4,0))))</f>
        <v>0</v>
      </c>
      <c r="I178">
        <f ca="1">IF($C178-I$1&lt;År1,0,H177*(1-VLOOKUP($A178,[1]Hugst!$R$5:$W$9,MATCH(ROUNDUP((I$1)/10,0)*10,[1]Hugst!$R$4:$W$4,0))))</f>
        <v>0</v>
      </c>
      <c r="J178">
        <f ca="1">IF($C178-J$1&lt;År1,0,I177*(1-VLOOKUP($A178,[1]Hugst!$R$5:$W$9,MATCH(ROUNDUP((J$1)/10,0)*10,[1]Hugst!$R$4:$W$4,0))))</f>
        <v>0</v>
      </c>
      <c r="K178">
        <f ca="1">IF($C178-K$1&lt;År1,0,J177*(1-VLOOKUP($A178,[1]Hugst!$R$5:$W$9,MATCH(ROUNDUP((K$1)/10,0)*10,[1]Hugst!$R$4:$W$4,0))))</f>
        <v>0</v>
      </c>
      <c r="L178">
        <f ca="1">IF($C178-L$1&lt;År1,0,K177*(1-VLOOKUP($A178,[1]Hugst!$R$5:$W$9,MATCH(ROUNDUP((L$1)/10,0)*10,[1]Hugst!$R$4:$W$4,0))))</f>
        <v>0</v>
      </c>
      <c r="M178">
        <f ca="1">IF($C178-M$1&lt;År1,0,L177*(1-VLOOKUP($A178,[1]Hugst!$R$5:$W$9,MATCH(ROUNDUP((M$1)/10,0)*10,[1]Hugst!$R$4:$W$4,0))))</f>
        <v>0</v>
      </c>
      <c r="N178">
        <f ca="1">IF($C178-N$1&lt;År1,0,M177*(1-VLOOKUP($A178,[1]Hugst!$R$5:$W$9,MATCH(ROUNDUP((N$1)/10,0)*10,[1]Hugst!$R$4:$W$4,0))))</f>
        <v>0</v>
      </c>
      <c r="O178">
        <f ca="1">IF($C178-O$1&lt;År1,0,N177*(1-VLOOKUP($A178,[1]Hugst!$R$5:$W$9,MATCH(ROUNDUP((O$1)/10,0)*10,[1]Hugst!$R$4:$W$4,0))))</f>
        <v>0</v>
      </c>
      <c r="P178">
        <f ca="1">IF($C178-P$1&lt;År1,0,O177*(1-VLOOKUP($A178,[1]Hugst!$R$5:$W$9,MATCH(ROUNDUP((P$1)/10,0)*10,[1]Hugst!$R$4:$W$4,0))))</f>
        <v>0</v>
      </c>
      <c r="Q178">
        <f ca="1">IF($C178-Q$1&lt;År1,0,P177*(1-VLOOKUP($A178,[1]Hugst!$R$5:$W$9,MATCH(ROUNDUP((Q$1)/10,0)*10,[1]Hugst!$R$4:$W$4,0))))</f>
        <v>0</v>
      </c>
      <c r="R178">
        <f ca="1">IF($C178-R$1&lt;År1,0,Q177*(1-VLOOKUP($A178,[1]Hugst!$R$5:$W$9,MATCH(ROUNDUP((R$1)/10,0)*10,[1]Hugst!$R$4:$W$4,0))))</f>
        <v>0</v>
      </c>
      <c r="S178">
        <f ca="1">IF($C178-S$1&lt;År1,0,R177*(1-VLOOKUP($A178,[1]Hugst!$R$5:$W$9,MATCH(ROUNDUP((S$1)/10,0)*10,[1]Hugst!$R$4:$W$4,0))))</f>
        <v>0</v>
      </c>
      <c r="T178">
        <f ca="1">IF($C178-T$1&lt;År1,0,S177*(1-VLOOKUP($A178,[1]Hugst!$R$5:$W$9,MATCH(ROUNDUP((T$1)/10,0)*10,[1]Hugst!$R$4:$W$4,0))))</f>
        <v>0</v>
      </c>
      <c r="U178">
        <f ca="1">IF($C178-U$1&lt;År1,0,T177*(1-VLOOKUP($A178,[1]Hugst!$R$5:$W$9,MATCH(ROUNDUP((U$1)/10,0)*10,[1]Hugst!$R$4:$W$4,0))))</f>
        <v>0</v>
      </c>
      <c r="V178">
        <f ca="1">IF($C178-V$1&lt;År1,0,U177*(1-VLOOKUP($A178,[1]Hugst!$R$5:$W$9,MATCH(ROUNDUP((V$1)/10,0)*10,[1]Hugst!$R$4:$W$4,0))))</f>
        <v>0</v>
      </c>
      <c r="W178">
        <f ca="1">IF($C178-W$1&lt;År1,0,V177*(1-VLOOKUP($A178,[1]Hugst!$R$5:$W$9,MATCH(ROUNDUP((W$1)/10,0)*10,[1]Hugst!$R$4:$W$4,0))))</f>
        <v>0</v>
      </c>
      <c r="X178">
        <f ca="1">IF($C178-X$1&lt;År1,0,W177*(1-VLOOKUP($A178,[1]Hugst!$R$5:$W$9,MATCH(ROUNDUP((X$1)/10,0)*10,[1]Hugst!$R$4:$W$4,0))))</f>
        <v>0</v>
      </c>
      <c r="Y178">
        <f ca="1">IF($C178-Y$1&lt;År1,0,X177*(1-VLOOKUP($A178,[1]Hugst!$R$5:$W$9,MATCH(ROUNDUP((Y$1)/10,0)*10,[1]Hugst!$R$4:$W$4,0))))</f>
        <v>0</v>
      </c>
      <c r="Z178">
        <f ca="1">IF($C178-Z$1&lt;År1,0,Y177*(1-VLOOKUP($A178,[1]Hugst!$R$5:$W$9,MATCH(ROUNDUP((Z$1)/10,0)*10,[1]Hugst!$R$4:$W$4,0))))</f>
        <v>0</v>
      </c>
      <c r="AA178">
        <f ca="1">IF($C178-AA$1&lt;År1,0,Z177*(1-VLOOKUP($A178,[1]Hugst!$R$5:$W$9,MATCH(ROUNDUP((AA$1)/10,0)*10,[1]Hugst!$R$4:$W$4,0))))</f>
        <v>0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0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>
        <f ca="1">IF($C179-G$1&lt;År1,0,F178*(1-VLOOKUP($A179,[1]Hugst!$R$5:$W$9,MATCH(ROUNDUP((G$1)/10,0)*10,[1]Hugst!$R$4:$W$4,0))))</f>
        <v>0</v>
      </c>
      <c r="H179">
        <f ca="1">IF($C179-H$1&lt;År1,0,G178*(1-VLOOKUP($A179,[1]Hugst!$R$5:$W$9,MATCH(ROUNDUP((H$1)/10,0)*10,[1]Hugst!$R$4:$W$4,0))))</f>
        <v>0</v>
      </c>
      <c r="I179">
        <f ca="1">IF($C179-I$1&lt;År1,0,H178*(1-VLOOKUP($A179,[1]Hugst!$R$5:$W$9,MATCH(ROUNDUP((I$1)/10,0)*10,[1]Hugst!$R$4:$W$4,0))))</f>
        <v>0</v>
      </c>
      <c r="J179">
        <f ca="1">IF($C179-J$1&lt;År1,0,I178*(1-VLOOKUP($A179,[1]Hugst!$R$5:$W$9,MATCH(ROUNDUP((J$1)/10,0)*10,[1]Hugst!$R$4:$W$4,0))))</f>
        <v>0</v>
      </c>
      <c r="K179">
        <f ca="1">IF($C179-K$1&lt;År1,0,J178*(1-VLOOKUP($A179,[1]Hugst!$R$5:$W$9,MATCH(ROUNDUP((K$1)/10,0)*10,[1]Hugst!$R$4:$W$4,0))))</f>
        <v>0</v>
      </c>
      <c r="L179">
        <f ca="1">IF($C179-L$1&lt;År1,0,K178*(1-VLOOKUP($A179,[1]Hugst!$R$5:$W$9,MATCH(ROUNDUP((L$1)/10,0)*10,[1]Hugst!$R$4:$W$4,0))))</f>
        <v>0</v>
      </c>
      <c r="M179">
        <f ca="1">IF($C179-M$1&lt;År1,0,L178*(1-VLOOKUP($A179,[1]Hugst!$R$5:$W$9,MATCH(ROUNDUP((M$1)/10,0)*10,[1]Hugst!$R$4:$W$4,0))))</f>
        <v>0</v>
      </c>
      <c r="N179">
        <f ca="1">IF($C179-N$1&lt;År1,0,M178*(1-VLOOKUP($A179,[1]Hugst!$R$5:$W$9,MATCH(ROUNDUP((N$1)/10,0)*10,[1]Hugst!$R$4:$W$4,0))))</f>
        <v>0</v>
      </c>
      <c r="O179">
        <f ca="1">IF($C179-O$1&lt;År1,0,N178*(1-VLOOKUP($A179,[1]Hugst!$R$5:$W$9,MATCH(ROUNDUP((O$1)/10,0)*10,[1]Hugst!$R$4:$W$4,0))))</f>
        <v>0</v>
      </c>
      <c r="P179">
        <f ca="1">IF($C179-P$1&lt;År1,0,O178*(1-VLOOKUP($A179,[1]Hugst!$R$5:$W$9,MATCH(ROUNDUP((P$1)/10,0)*10,[1]Hugst!$R$4:$W$4,0))))</f>
        <v>0</v>
      </c>
      <c r="Q179">
        <f ca="1">IF($C179-Q$1&lt;År1,0,P178*(1-VLOOKUP($A179,[1]Hugst!$R$5:$W$9,MATCH(ROUNDUP((Q$1)/10,0)*10,[1]Hugst!$R$4:$W$4,0))))</f>
        <v>0</v>
      </c>
      <c r="R179">
        <f ca="1">IF($C179-R$1&lt;År1,0,Q178*(1-VLOOKUP($A179,[1]Hugst!$R$5:$W$9,MATCH(ROUNDUP((R$1)/10,0)*10,[1]Hugst!$R$4:$W$4,0))))</f>
        <v>0</v>
      </c>
      <c r="S179">
        <f ca="1">IF($C179-S$1&lt;År1,0,R178*(1-VLOOKUP($A179,[1]Hugst!$R$5:$W$9,MATCH(ROUNDUP((S$1)/10,0)*10,[1]Hugst!$R$4:$W$4,0))))</f>
        <v>0</v>
      </c>
      <c r="T179">
        <f ca="1">IF($C179-T$1&lt;År1,0,S178*(1-VLOOKUP($A179,[1]Hugst!$R$5:$W$9,MATCH(ROUNDUP((T$1)/10,0)*10,[1]Hugst!$R$4:$W$4,0))))</f>
        <v>0</v>
      </c>
      <c r="U179">
        <f ca="1">IF($C179-U$1&lt;År1,0,T178*(1-VLOOKUP($A179,[1]Hugst!$R$5:$W$9,MATCH(ROUNDUP((U$1)/10,0)*10,[1]Hugst!$R$4:$W$4,0))))</f>
        <v>0</v>
      </c>
      <c r="V179">
        <f ca="1">IF($C179-V$1&lt;År1,0,U178*(1-VLOOKUP($A179,[1]Hugst!$R$5:$W$9,MATCH(ROUNDUP((V$1)/10,0)*10,[1]Hugst!$R$4:$W$4,0))))</f>
        <v>0</v>
      </c>
      <c r="W179">
        <f ca="1">IF($C179-W$1&lt;År1,0,V178*(1-VLOOKUP($A179,[1]Hugst!$R$5:$W$9,MATCH(ROUNDUP((W$1)/10,0)*10,[1]Hugst!$R$4:$W$4,0))))</f>
        <v>0</v>
      </c>
      <c r="X179">
        <f ca="1">IF($C179-X$1&lt;År1,0,W178*(1-VLOOKUP($A179,[1]Hugst!$R$5:$W$9,MATCH(ROUNDUP((X$1)/10,0)*10,[1]Hugst!$R$4:$W$4,0))))</f>
        <v>0</v>
      </c>
      <c r="Y179">
        <f ca="1">IF($C179-Y$1&lt;År1,0,X178*(1-VLOOKUP($A179,[1]Hugst!$R$5:$W$9,MATCH(ROUNDUP((Y$1)/10,0)*10,[1]Hugst!$R$4:$W$4,0))))</f>
        <v>0</v>
      </c>
      <c r="Z179">
        <f ca="1">IF($C179-Z$1&lt;År1,0,Y178*(1-VLOOKUP($A179,[1]Hugst!$R$5:$W$9,MATCH(ROUNDUP((Z$1)/10,0)*10,[1]Hugst!$R$4:$W$4,0))))</f>
        <v>0</v>
      </c>
      <c r="AA179">
        <f ca="1">IF($C179-AA$1&lt;År1,0,Z178*(1-VLOOKUP($A179,[1]Hugst!$R$5:$W$9,MATCH(ROUNDUP((AA$1)/10,0)*10,[1]Hugst!$R$4:$W$4,0))))</f>
        <v>0</v>
      </c>
      <c r="AB179">
        <f ca="1">IF($C179-AB$1&lt;År1,0,AA178*(1-VLOOKUP($A179,[1]Hugst!$R$5:$W$9,MATCH(ROUNDUP((AB$1)/10,0)*10,[1]Hugst!$R$4:$W$4,0))))</f>
        <v>0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0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>
        <f ca="1">IF($C180-G$1&lt;År1,0,F179*(1-VLOOKUP($A180,[1]Hugst!$R$5:$W$9,MATCH(ROUNDUP((G$1)/10,0)*10,[1]Hugst!$R$4:$W$4,0))))</f>
        <v>0</v>
      </c>
      <c r="H180">
        <f ca="1">IF($C180-H$1&lt;År1,0,G179*(1-VLOOKUP($A180,[1]Hugst!$R$5:$W$9,MATCH(ROUNDUP((H$1)/10,0)*10,[1]Hugst!$R$4:$W$4,0))))</f>
        <v>0</v>
      </c>
      <c r="I180">
        <f ca="1">IF($C180-I$1&lt;År1,0,H179*(1-VLOOKUP($A180,[1]Hugst!$R$5:$W$9,MATCH(ROUNDUP((I$1)/10,0)*10,[1]Hugst!$R$4:$W$4,0))))</f>
        <v>0</v>
      </c>
      <c r="J180">
        <f ca="1">IF($C180-J$1&lt;År1,0,I179*(1-VLOOKUP($A180,[1]Hugst!$R$5:$W$9,MATCH(ROUNDUP((J$1)/10,0)*10,[1]Hugst!$R$4:$W$4,0))))</f>
        <v>0</v>
      </c>
      <c r="K180">
        <f ca="1">IF($C180-K$1&lt;År1,0,J179*(1-VLOOKUP($A180,[1]Hugst!$R$5:$W$9,MATCH(ROUNDUP((K$1)/10,0)*10,[1]Hugst!$R$4:$W$4,0))))</f>
        <v>0</v>
      </c>
      <c r="L180">
        <f ca="1">IF($C180-L$1&lt;År1,0,K179*(1-VLOOKUP($A180,[1]Hugst!$R$5:$W$9,MATCH(ROUNDUP((L$1)/10,0)*10,[1]Hugst!$R$4:$W$4,0))))</f>
        <v>0</v>
      </c>
      <c r="M180">
        <f ca="1">IF($C180-M$1&lt;År1,0,L179*(1-VLOOKUP($A180,[1]Hugst!$R$5:$W$9,MATCH(ROUNDUP((M$1)/10,0)*10,[1]Hugst!$R$4:$W$4,0))))</f>
        <v>0</v>
      </c>
      <c r="N180">
        <f ca="1">IF($C180-N$1&lt;År1,0,M179*(1-VLOOKUP($A180,[1]Hugst!$R$5:$W$9,MATCH(ROUNDUP((N$1)/10,0)*10,[1]Hugst!$R$4:$W$4,0))))</f>
        <v>0</v>
      </c>
      <c r="O180">
        <f ca="1">IF($C180-O$1&lt;År1,0,N179*(1-VLOOKUP($A180,[1]Hugst!$R$5:$W$9,MATCH(ROUNDUP((O$1)/10,0)*10,[1]Hugst!$R$4:$W$4,0))))</f>
        <v>0</v>
      </c>
      <c r="P180">
        <f ca="1">IF($C180-P$1&lt;År1,0,O179*(1-VLOOKUP($A180,[1]Hugst!$R$5:$W$9,MATCH(ROUNDUP((P$1)/10,0)*10,[1]Hugst!$R$4:$W$4,0))))</f>
        <v>0</v>
      </c>
      <c r="Q180">
        <f ca="1">IF($C180-Q$1&lt;År1,0,P179*(1-VLOOKUP($A180,[1]Hugst!$R$5:$W$9,MATCH(ROUNDUP((Q$1)/10,0)*10,[1]Hugst!$R$4:$W$4,0))))</f>
        <v>0</v>
      </c>
      <c r="R180">
        <f ca="1">IF($C180-R$1&lt;År1,0,Q179*(1-VLOOKUP($A180,[1]Hugst!$R$5:$W$9,MATCH(ROUNDUP((R$1)/10,0)*10,[1]Hugst!$R$4:$W$4,0))))</f>
        <v>0</v>
      </c>
      <c r="S180">
        <f ca="1">IF($C180-S$1&lt;År1,0,R179*(1-VLOOKUP($A180,[1]Hugst!$R$5:$W$9,MATCH(ROUNDUP((S$1)/10,0)*10,[1]Hugst!$R$4:$W$4,0))))</f>
        <v>0</v>
      </c>
      <c r="T180">
        <f ca="1">IF($C180-T$1&lt;År1,0,S179*(1-VLOOKUP($A180,[1]Hugst!$R$5:$W$9,MATCH(ROUNDUP((T$1)/10,0)*10,[1]Hugst!$R$4:$W$4,0))))</f>
        <v>0</v>
      </c>
      <c r="U180">
        <f ca="1">IF($C180-U$1&lt;År1,0,T179*(1-VLOOKUP($A180,[1]Hugst!$R$5:$W$9,MATCH(ROUNDUP((U$1)/10,0)*10,[1]Hugst!$R$4:$W$4,0))))</f>
        <v>0</v>
      </c>
      <c r="V180">
        <f ca="1">IF($C180-V$1&lt;År1,0,U179*(1-VLOOKUP($A180,[1]Hugst!$R$5:$W$9,MATCH(ROUNDUP((V$1)/10,0)*10,[1]Hugst!$R$4:$W$4,0))))</f>
        <v>0</v>
      </c>
      <c r="W180">
        <f ca="1">IF($C180-W$1&lt;År1,0,V179*(1-VLOOKUP($A180,[1]Hugst!$R$5:$W$9,MATCH(ROUNDUP((W$1)/10,0)*10,[1]Hugst!$R$4:$W$4,0))))</f>
        <v>0</v>
      </c>
      <c r="X180">
        <f ca="1">IF($C180-X$1&lt;År1,0,W179*(1-VLOOKUP($A180,[1]Hugst!$R$5:$W$9,MATCH(ROUNDUP((X$1)/10,0)*10,[1]Hugst!$R$4:$W$4,0))))</f>
        <v>0</v>
      </c>
      <c r="Y180">
        <f ca="1">IF($C180-Y$1&lt;År1,0,X179*(1-VLOOKUP($A180,[1]Hugst!$R$5:$W$9,MATCH(ROUNDUP((Y$1)/10,0)*10,[1]Hugst!$R$4:$W$4,0))))</f>
        <v>0</v>
      </c>
      <c r="Z180">
        <f ca="1">IF($C180-Z$1&lt;År1,0,Y179*(1-VLOOKUP($A180,[1]Hugst!$R$5:$W$9,MATCH(ROUNDUP((Z$1)/10,0)*10,[1]Hugst!$R$4:$W$4,0))))</f>
        <v>0</v>
      </c>
      <c r="AA180">
        <f ca="1">IF($C180-AA$1&lt;År1,0,Z179*(1-VLOOKUP($A180,[1]Hugst!$R$5:$W$9,MATCH(ROUNDUP((AA$1)/10,0)*10,[1]Hugst!$R$4:$W$4,0))))</f>
        <v>0</v>
      </c>
      <c r="AB180">
        <f ca="1">IF($C180-AB$1&lt;År1,0,AA179*(1-VLOOKUP($A180,[1]Hugst!$R$5:$W$9,MATCH(ROUNDUP((AB$1)/10,0)*10,[1]Hugst!$R$4:$W$4,0))))</f>
        <v>0</v>
      </c>
      <c r="AC180">
        <f ca="1">IF($C180-AC$1&lt;År1,0,AB179*(1-VLOOKUP($A180,[1]Hugst!$R$5:$W$9,MATCH(ROUNDUP((AC$1)/10,0)*10,[1]Hugst!$R$4:$W$4,0))))</f>
        <v>0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0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>
        <f ca="1">IF($C181-G$1&lt;År1,0,F180*(1-VLOOKUP($A181,[1]Hugst!$R$5:$W$9,MATCH(ROUNDUP((G$1)/10,0)*10,[1]Hugst!$R$4:$W$4,0))))</f>
        <v>0</v>
      </c>
      <c r="H181">
        <f ca="1">IF($C181-H$1&lt;År1,0,G180*(1-VLOOKUP($A181,[1]Hugst!$R$5:$W$9,MATCH(ROUNDUP((H$1)/10,0)*10,[1]Hugst!$R$4:$W$4,0))))</f>
        <v>0</v>
      </c>
      <c r="I181">
        <f ca="1">IF($C181-I$1&lt;År1,0,H180*(1-VLOOKUP($A181,[1]Hugst!$R$5:$W$9,MATCH(ROUNDUP((I$1)/10,0)*10,[1]Hugst!$R$4:$W$4,0))))</f>
        <v>0</v>
      </c>
      <c r="J181">
        <f ca="1">IF($C181-J$1&lt;År1,0,I180*(1-VLOOKUP($A181,[1]Hugst!$R$5:$W$9,MATCH(ROUNDUP((J$1)/10,0)*10,[1]Hugst!$R$4:$W$4,0))))</f>
        <v>0</v>
      </c>
      <c r="K181">
        <f ca="1">IF($C181-K$1&lt;År1,0,J180*(1-VLOOKUP($A181,[1]Hugst!$R$5:$W$9,MATCH(ROUNDUP((K$1)/10,0)*10,[1]Hugst!$R$4:$W$4,0))))</f>
        <v>0</v>
      </c>
      <c r="L181">
        <f ca="1">IF($C181-L$1&lt;År1,0,K180*(1-VLOOKUP($A181,[1]Hugst!$R$5:$W$9,MATCH(ROUNDUP((L$1)/10,0)*10,[1]Hugst!$R$4:$W$4,0))))</f>
        <v>0</v>
      </c>
      <c r="M181">
        <f ca="1">IF($C181-M$1&lt;År1,0,L180*(1-VLOOKUP($A181,[1]Hugst!$R$5:$W$9,MATCH(ROUNDUP((M$1)/10,0)*10,[1]Hugst!$R$4:$W$4,0))))</f>
        <v>0</v>
      </c>
      <c r="N181">
        <f ca="1">IF($C181-N$1&lt;År1,0,M180*(1-VLOOKUP($A181,[1]Hugst!$R$5:$W$9,MATCH(ROUNDUP((N$1)/10,0)*10,[1]Hugst!$R$4:$W$4,0))))</f>
        <v>0</v>
      </c>
      <c r="O181">
        <f ca="1">IF($C181-O$1&lt;År1,0,N180*(1-VLOOKUP($A181,[1]Hugst!$R$5:$W$9,MATCH(ROUNDUP((O$1)/10,0)*10,[1]Hugst!$R$4:$W$4,0))))</f>
        <v>0</v>
      </c>
      <c r="P181">
        <f ca="1">IF($C181-P$1&lt;År1,0,O180*(1-VLOOKUP($A181,[1]Hugst!$R$5:$W$9,MATCH(ROUNDUP((P$1)/10,0)*10,[1]Hugst!$R$4:$W$4,0))))</f>
        <v>0</v>
      </c>
      <c r="Q181">
        <f ca="1">IF($C181-Q$1&lt;År1,0,P180*(1-VLOOKUP($A181,[1]Hugst!$R$5:$W$9,MATCH(ROUNDUP((Q$1)/10,0)*10,[1]Hugst!$R$4:$W$4,0))))</f>
        <v>0</v>
      </c>
      <c r="R181">
        <f ca="1">IF($C181-R$1&lt;År1,0,Q180*(1-VLOOKUP($A181,[1]Hugst!$R$5:$W$9,MATCH(ROUNDUP((R$1)/10,0)*10,[1]Hugst!$R$4:$W$4,0))))</f>
        <v>0</v>
      </c>
      <c r="S181">
        <f ca="1">IF($C181-S$1&lt;År1,0,R180*(1-VLOOKUP($A181,[1]Hugst!$R$5:$W$9,MATCH(ROUNDUP((S$1)/10,0)*10,[1]Hugst!$R$4:$W$4,0))))</f>
        <v>0</v>
      </c>
      <c r="T181">
        <f ca="1">IF($C181-T$1&lt;År1,0,S180*(1-VLOOKUP($A181,[1]Hugst!$R$5:$W$9,MATCH(ROUNDUP((T$1)/10,0)*10,[1]Hugst!$R$4:$W$4,0))))</f>
        <v>0</v>
      </c>
      <c r="U181">
        <f ca="1">IF($C181-U$1&lt;År1,0,T180*(1-VLOOKUP($A181,[1]Hugst!$R$5:$W$9,MATCH(ROUNDUP((U$1)/10,0)*10,[1]Hugst!$R$4:$W$4,0))))</f>
        <v>0</v>
      </c>
      <c r="V181">
        <f ca="1">IF($C181-V$1&lt;År1,0,U180*(1-VLOOKUP($A181,[1]Hugst!$R$5:$W$9,MATCH(ROUNDUP((V$1)/10,0)*10,[1]Hugst!$R$4:$W$4,0))))</f>
        <v>0</v>
      </c>
      <c r="W181">
        <f ca="1">IF($C181-W$1&lt;År1,0,V180*(1-VLOOKUP($A181,[1]Hugst!$R$5:$W$9,MATCH(ROUNDUP((W$1)/10,0)*10,[1]Hugst!$R$4:$W$4,0))))</f>
        <v>0</v>
      </c>
      <c r="X181">
        <f ca="1">IF($C181-X$1&lt;År1,0,W180*(1-VLOOKUP($A181,[1]Hugst!$R$5:$W$9,MATCH(ROUNDUP((X$1)/10,0)*10,[1]Hugst!$R$4:$W$4,0))))</f>
        <v>0</v>
      </c>
      <c r="Y181">
        <f ca="1">IF($C181-Y$1&lt;År1,0,X180*(1-VLOOKUP($A181,[1]Hugst!$R$5:$W$9,MATCH(ROUNDUP((Y$1)/10,0)*10,[1]Hugst!$R$4:$W$4,0))))</f>
        <v>0</v>
      </c>
      <c r="Z181">
        <f ca="1">IF($C181-Z$1&lt;År1,0,Y180*(1-VLOOKUP($A181,[1]Hugst!$R$5:$W$9,MATCH(ROUNDUP((Z$1)/10,0)*10,[1]Hugst!$R$4:$W$4,0))))</f>
        <v>0</v>
      </c>
      <c r="AA181">
        <f ca="1">IF($C181-AA$1&lt;År1,0,Z180*(1-VLOOKUP($A181,[1]Hugst!$R$5:$W$9,MATCH(ROUNDUP((AA$1)/10,0)*10,[1]Hugst!$R$4:$W$4,0))))</f>
        <v>0</v>
      </c>
      <c r="AB181">
        <f ca="1">IF($C181-AB$1&lt;År1,0,AA180*(1-VLOOKUP($A181,[1]Hugst!$R$5:$W$9,MATCH(ROUNDUP((AB$1)/10,0)*10,[1]Hugst!$R$4:$W$4,0))))</f>
        <v>0</v>
      </c>
      <c r="AC181">
        <f ca="1">IF($C181-AC$1&lt;År1,0,AB180*(1-VLOOKUP($A181,[1]Hugst!$R$5:$W$9,MATCH(ROUNDUP((AC$1)/10,0)*10,[1]Hugst!$R$4:$W$4,0))))</f>
        <v>0</v>
      </c>
      <c r="AD181">
        <f ca="1">IF($C181-AD$1&lt;År1,0,AC180*(1-VLOOKUP($A181,[1]Hugst!$R$5:$W$9,MATCH(ROUNDUP((AD$1)/10,0)*10,[1]Hugst!$R$4:$W$4,0))))</f>
        <v>0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0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>
        <f ca="1">IF($C182-G$1&lt;År1,0,F181*(1-VLOOKUP($A182,[1]Hugst!$R$5:$W$9,MATCH(ROUNDUP((G$1)/10,0)*10,[1]Hugst!$R$4:$W$4,0))))</f>
        <v>0</v>
      </c>
      <c r="H182">
        <f ca="1">IF($C182-H$1&lt;År1,0,G181*(1-VLOOKUP($A182,[1]Hugst!$R$5:$W$9,MATCH(ROUNDUP((H$1)/10,0)*10,[1]Hugst!$R$4:$W$4,0))))</f>
        <v>0</v>
      </c>
      <c r="I182">
        <f ca="1">IF($C182-I$1&lt;År1,0,H181*(1-VLOOKUP($A182,[1]Hugst!$R$5:$W$9,MATCH(ROUNDUP((I$1)/10,0)*10,[1]Hugst!$R$4:$W$4,0))))</f>
        <v>0</v>
      </c>
      <c r="J182">
        <f ca="1">IF($C182-J$1&lt;År1,0,I181*(1-VLOOKUP($A182,[1]Hugst!$R$5:$W$9,MATCH(ROUNDUP((J$1)/10,0)*10,[1]Hugst!$R$4:$W$4,0))))</f>
        <v>0</v>
      </c>
      <c r="K182">
        <f ca="1">IF($C182-K$1&lt;År1,0,J181*(1-VLOOKUP($A182,[1]Hugst!$R$5:$W$9,MATCH(ROUNDUP((K$1)/10,0)*10,[1]Hugst!$R$4:$W$4,0))))</f>
        <v>0</v>
      </c>
      <c r="L182">
        <f ca="1">IF($C182-L$1&lt;År1,0,K181*(1-VLOOKUP($A182,[1]Hugst!$R$5:$W$9,MATCH(ROUNDUP((L$1)/10,0)*10,[1]Hugst!$R$4:$W$4,0))))</f>
        <v>0</v>
      </c>
      <c r="M182">
        <f ca="1">IF($C182-M$1&lt;År1,0,L181*(1-VLOOKUP($A182,[1]Hugst!$R$5:$W$9,MATCH(ROUNDUP((M$1)/10,0)*10,[1]Hugst!$R$4:$W$4,0))))</f>
        <v>0</v>
      </c>
      <c r="N182">
        <f ca="1">IF($C182-N$1&lt;År1,0,M181*(1-VLOOKUP($A182,[1]Hugst!$R$5:$W$9,MATCH(ROUNDUP((N$1)/10,0)*10,[1]Hugst!$R$4:$W$4,0))))</f>
        <v>0</v>
      </c>
      <c r="O182">
        <f ca="1">IF($C182-O$1&lt;År1,0,N181*(1-VLOOKUP($A182,[1]Hugst!$R$5:$W$9,MATCH(ROUNDUP((O$1)/10,0)*10,[1]Hugst!$R$4:$W$4,0))))</f>
        <v>0</v>
      </c>
      <c r="P182">
        <f ca="1">IF($C182-P$1&lt;År1,0,O181*(1-VLOOKUP($A182,[1]Hugst!$R$5:$W$9,MATCH(ROUNDUP((P$1)/10,0)*10,[1]Hugst!$R$4:$W$4,0))))</f>
        <v>0</v>
      </c>
      <c r="Q182">
        <f ca="1">IF($C182-Q$1&lt;År1,0,P181*(1-VLOOKUP($A182,[1]Hugst!$R$5:$W$9,MATCH(ROUNDUP((Q$1)/10,0)*10,[1]Hugst!$R$4:$W$4,0))))</f>
        <v>0</v>
      </c>
      <c r="R182">
        <f ca="1">IF($C182-R$1&lt;År1,0,Q181*(1-VLOOKUP($A182,[1]Hugst!$R$5:$W$9,MATCH(ROUNDUP((R$1)/10,0)*10,[1]Hugst!$R$4:$W$4,0))))</f>
        <v>0</v>
      </c>
      <c r="S182">
        <f ca="1">IF($C182-S$1&lt;År1,0,R181*(1-VLOOKUP($A182,[1]Hugst!$R$5:$W$9,MATCH(ROUNDUP((S$1)/10,0)*10,[1]Hugst!$R$4:$W$4,0))))</f>
        <v>0</v>
      </c>
      <c r="T182">
        <f ca="1">IF($C182-T$1&lt;År1,0,S181*(1-VLOOKUP($A182,[1]Hugst!$R$5:$W$9,MATCH(ROUNDUP((T$1)/10,0)*10,[1]Hugst!$R$4:$W$4,0))))</f>
        <v>0</v>
      </c>
      <c r="U182">
        <f ca="1">IF($C182-U$1&lt;År1,0,T181*(1-VLOOKUP($A182,[1]Hugst!$R$5:$W$9,MATCH(ROUNDUP((U$1)/10,0)*10,[1]Hugst!$R$4:$W$4,0))))</f>
        <v>0</v>
      </c>
      <c r="V182">
        <f ca="1">IF($C182-V$1&lt;År1,0,U181*(1-VLOOKUP($A182,[1]Hugst!$R$5:$W$9,MATCH(ROUNDUP((V$1)/10,0)*10,[1]Hugst!$R$4:$W$4,0))))</f>
        <v>0</v>
      </c>
      <c r="W182">
        <f ca="1">IF($C182-W$1&lt;År1,0,V181*(1-VLOOKUP($A182,[1]Hugst!$R$5:$W$9,MATCH(ROUNDUP((W$1)/10,0)*10,[1]Hugst!$R$4:$W$4,0))))</f>
        <v>0</v>
      </c>
      <c r="X182">
        <f ca="1">IF($C182-X$1&lt;År1,0,W181*(1-VLOOKUP($A182,[1]Hugst!$R$5:$W$9,MATCH(ROUNDUP((X$1)/10,0)*10,[1]Hugst!$R$4:$W$4,0))))</f>
        <v>0</v>
      </c>
      <c r="Y182">
        <f ca="1">IF($C182-Y$1&lt;År1,0,X181*(1-VLOOKUP($A182,[1]Hugst!$R$5:$W$9,MATCH(ROUNDUP((Y$1)/10,0)*10,[1]Hugst!$R$4:$W$4,0))))</f>
        <v>0</v>
      </c>
      <c r="Z182">
        <f ca="1">IF($C182-Z$1&lt;År1,0,Y181*(1-VLOOKUP($A182,[1]Hugst!$R$5:$W$9,MATCH(ROUNDUP((Z$1)/10,0)*10,[1]Hugst!$R$4:$W$4,0))))</f>
        <v>0</v>
      </c>
      <c r="AA182">
        <f ca="1">IF($C182-AA$1&lt;År1,0,Z181*(1-VLOOKUP($A182,[1]Hugst!$R$5:$W$9,MATCH(ROUNDUP((AA$1)/10,0)*10,[1]Hugst!$R$4:$W$4,0))))</f>
        <v>0</v>
      </c>
      <c r="AB182">
        <f ca="1">IF($C182-AB$1&lt;År1,0,AA181*(1-VLOOKUP($A182,[1]Hugst!$R$5:$W$9,MATCH(ROUNDUP((AB$1)/10,0)*10,[1]Hugst!$R$4:$W$4,0))))</f>
        <v>0</v>
      </c>
      <c r="AC182">
        <f ca="1">IF($C182-AC$1&lt;År1,0,AB181*(1-VLOOKUP($A182,[1]Hugst!$R$5:$W$9,MATCH(ROUNDUP((AC$1)/10,0)*10,[1]Hugst!$R$4:$W$4,0))))</f>
        <v>0</v>
      </c>
      <c r="AD182">
        <f ca="1">IF($C182-AD$1&lt;År1,0,AC181*(1-VLOOKUP($A182,[1]Hugst!$R$5:$W$9,MATCH(ROUNDUP((AD$1)/10,0)*10,[1]Hugst!$R$4:$W$4,0))))</f>
        <v>0</v>
      </c>
      <c r="AE182">
        <f ca="1">IF($C182-AE$1&lt;År1,0,AD181*(1-VLOOKUP($A182,[1]Hugst!$R$5:$W$9,MATCH(ROUNDUP((AE$1)/10,0)*10,[1]Hugst!$R$4:$W$4,0))))</f>
        <v>0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0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>
        <f ca="1">IF($C183-G$1&lt;År1,0,F182*(1-VLOOKUP($A183,[1]Hugst!$R$5:$W$9,MATCH(ROUNDUP((G$1)/10,0)*10,[1]Hugst!$R$4:$W$4,0))))</f>
        <v>0</v>
      </c>
      <c r="H183">
        <f ca="1">IF($C183-H$1&lt;År1,0,G182*(1-VLOOKUP($A183,[1]Hugst!$R$5:$W$9,MATCH(ROUNDUP((H$1)/10,0)*10,[1]Hugst!$R$4:$W$4,0))))</f>
        <v>0</v>
      </c>
      <c r="I183">
        <f ca="1">IF($C183-I$1&lt;År1,0,H182*(1-VLOOKUP($A183,[1]Hugst!$R$5:$W$9,MATCH(ROUNDUP((I$1)/10,0)*10,[1]Hugst!$R$4:$W$4,0))))</f>
        <v>0</v>
      </c>
      <c r="J183">
        <f ca="1">IF($C183-J$1&lt;År1,0,I182*(1-VLOOKUP($A183,[1]Hugst!$R$5:$W$9,MATCH(ROUNDUP((J$1)/10,0)*10,[1]Hugst!$R$4:$W$4,0))))</f>
        <v>0</v>
      </c>
      <c r="K183">
        <f ca="1">IF($C183-K$1&lt;År1,0,J182*(1-VLOOKUP($A183,[1]Hugst!$R$5:$W$9,MATCH(ROUNDUP((K$1)/10,0)*10,[1]Hugst!$R$4:$W$4,0))))</f>
        <v>0</v>
      </c>
      <c r="L183">
        <f ca="1">IF($C183-L$1&lt;År1,0,K182*(1-VLOOKUP($A183,[1]Hugst!$R$5:$W$9,MATCH(ROUNDUP((L$1)/10,0)*10,[1]Hugst!$R$4:$W$4,0))))</f>
        <v>0</v>
      </c>
      <c r="M183">
        <f ca="1">IF($C183-M$1&lt;År1,0,L182*(1-VLOOKUP($A183,[1]Hugst!$R$5:$W$9,MATCH(ROUNDUP((M$1)/10,0)*10,[1]Hugst!$R$4:$W$4,0))))</f>
        <v>0</v>
      </c>
      <c r="N183">
        <f ca="1">IF($C183-N$1&lt;År1,0,M182*(1-VLOOKUP($A183,[1]Hugst!$R$5:$W$9,MATCH(ROUNDUP((N$1)/10,0)*10,[1]Hugst!$R$4:$W$4,0))))</f>
        <v>0</v>
      </c>
      <c r="O183">
        <f ca="1">IF($C183-O$1&lt;År1,0,N182*(1-VLOOKUP($A183,[1]Hugst!$R$5:$W$9,MATCH(ROUNDUP((O$1)/10,0)*10,[1]Hugst!$R$4:$W$4,0))))</f>
        <v>0</v>
      </c>
      <c r="P183">
        <f ca="1">IF($C183-P$1&lt;År1,0,O182*(1-VLOOKUP($A183,[1]Hugst!$R$5:$W$9,MATCH(ROUNDUP((P$1)/10,0)*10,[1]Hugst!$R$4:$W$4,0))))</f>
        <v>0</v>
      </c>
      <c r="Q183">
        <f ca="1">IF($C183-Q$1&lt;År1,0,P182*(1-VLOOKUP($A183,[1]Hugst!$R$5:$W$9,MATCH(ROUNDUP((Q$1)/10,0)*10,[1]Hugst!$R$4:$W$4,0))))</f>
        <v>0</v>
      </c>
      <c r="R183">
        <f ca="1">IF($C183-R$1&lt;År1,0,Q182*(1-VLOOKUP($A183,[1]Hugst!$R$5:$W$9,MATCH(ROUNDUP((R$1)/10,0)*10,[1]Hugst!$R$4:$W$4,0))))</f>
        <v>0</v>
      </c>
      <c r="S183">
        <f ca="1">IF($C183-S$1&lt;År1,0,R182*(1-VLOOKUP($A183,[1]Hugst!$R$5:$W$9,MATCH(ROUNDUP((S$1)/10,0)*10,[1]Hugst!$R$4:$W$4,0))))</f>
        <v>0</v>
      </c>
      <c r="T183">
        <f ca="1">IF($C183-T$1&lt;År1,0,S182*(1-VLOOKUP($A183,[1]Hugst!$R$5:$W$9,MATCH(ROUNDUP((T$1)/10,0)*10,[1]Hugst!$R$4:$W$4,0))))</f>
        <v>0</v>
      </c>
      <c r="U183">
        <f ca="1">IF($C183-U$1&lt;År1,0,T182*(1-VLOOKUP($A183,[1]Hugst!$R$5:$W$9,MATCH(ROUNDUP((U$1)/10,0)*10,[1]Hugst!$R$4:$W$4,0))))</f>
        <v>0</v>
      </c>
      <c r="V183">
        <f ca="1">IF($C183-V$1&lt;År1,0,U182*(1-VLOOKUP($A183,[1]Hugst!$R$5:$W$9,MATCH(ROUNDUP((V$1)/10,0)*10,[1]Hugst!$R$4:$W$4,0))))</f>
        <v>0</v>
      </c>
      <c r="W183">
        <f ca="1">IF($C183-W$1&lt;År1,0,V182*(1-VLOOKUP($A183,[1]Hugst!$R$5:$W$9,MATCH(ROUNDUP((W$1)/10,0)*10,[1]Hugst!$R$4:$W$4,0))))</f>
        <v>0</v>
      </c>
      <c r="X183">
        <f ca="1">IF($C183-X$1&lt;År1,0,W182*(1-VLOOKUP($A183,[1]Hugst!$R$5:$W$9,MATCH(ROUNDUP((X$1)/10,0)*10,[1]Hugst!$R$4:$W$4,0))))</f>
        <v>0</v>
      </c>
      <c r="Y183">
        <f ca="1">IF($C183-Y$1&lt;År1,0,X182*(1-VLOOKUP($A183,[1]Hugst!$R$5:$W$9,MATCH(ROUNDUP((Y$1)/10,0)*10,[1]Hugst!$R$4:$W$4,0))))</f>
        <v>0</v>
      </c>
      <c r="Z183">
        <f ca="1">IF($C183-Z$1&lt;År1,0,Y182*(1-VLOOKUP($A183,[1]Hugst!$R$5:$W$9,MATCH(ROUNDUP((Z$1)/10,0)*10,[1]Hugst!$R$4:$W$4,0))))</f>
        <v>0</v>
      </c>
      <c r="AA183">
        <f ca="1">IF($C183-AA$1&lt;År1,0,Z182*(1-VLOOKUP($A183,[1]Hugst!$R$5:$W$9,MATCH(ROUNDUP((AA$1)/10,0)*10,[1]Hugst!$R$4:$W$4,0))))</f>
        <v>0</v>
      </c>
      <c r="AB183">
        <f ca="1">IF($C183-AB$1&lt;År1,0,AA182*(1-VLOOKUP($A183,[1]Hugst!$R$5:$W$9,MATCH(ROUNDUP((AB$1)/10,0)*10,[1]Hugst!$R$4:$W$4,0))))</f>
        <v>0</v>
      </c>
      <c r="AC183">
        <f ca="1">IF($C183-AC$1&lt;År1,0,AB182*(1-VLOOKUP($A183,[1]Hugst!$R$5:$W$9,MATCH(ROUNDUP((AC$1)/10,0)*10,[1]Hugst!$R$4:$W$4,0))))</f>
        <v>0</v>
      </c>
      <c r="AD183">
        <f ca="1">IF($C183-AD$1&lt;År1,0,AC182*(1-VLOOKUP($A183,[1]Hugst!$R$5:$W$9,MATCH(ROUNDUP((AD$1)/10,0)*10,[1]Hugst!$R$4:$W$4,0))))</f>
        <v>0</v>
      </c>
      <c r="AE183">
        <f ca="1">IF($C183-AE$1&lt;År1,0,AD182*(1-VLOOKUP($A183,[1]Hugst!$R$5:$W$9,MATCH(ROUNDUP((AE$1)/10,0)*10,[1]Hugst!$R$4:$W$4,0))))</f>
        <v>0</v>
      </c>
      <c r="AF183">
        <f ca="1">IF($C183-AF$1&lt;År1,0,AE182*(1-VLOOKUP($A183,[1]Hugst!$R$5:$W$9,MATCH(ROUNDUP((AF$1)/10,0)*10,[1]Hugst!$R$4:$W$4,0))))</f>
        <v>0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0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>
        <f ca="1">IF($C184-G$1&lt;År1,0,F183*(1-VLOOKUP($A184,[1]Hugst!$R$5:$W$9,MATCH(ROUNDUP((G$1)/10,0)*10,[1]Hugst!$R$4:$W$4,0))))</f>
        <v>0</v>
      </c>
      <c r="H184">
        <f ca="1">IF($C184-H$1&lt;År1,0,G183*(1-VLOOKUP($A184,[1]Hugst!$R$5:$W$9,MATCH(ROUNDUP((H$1)/10,0)*10,[1]Hugst!$R$4:$W$4,0))))</f>
        <v>0</v>
      </c>
      <c r="I184">
        <f ca="1">IF($C184-I$1&lt;År1,0,H183*(1-VLOOKUP($A184,[1]Hugst!$R$5:$W$9,MATCH(ROUNDUP((I$1)/10,0)*10,[1]Hugst!$R$4:$W$4,0))))</f>
        <v>0</v>
      </c>
      <c r="J184">
        <f ca="1">IF($C184-J$1&lt;År1,0,I183*(1-VLOOKUP($A184,[1]Hugst!$R$5:$W$9,MATCH(ROUNDUP((J$1)/10,0)*10,[1]Hugst!$R$4:$W$4,0))))</f>
        <v>0</v>
      </c>
      <c r="K184">
        <f ca="1">IF($C184-K$1&lt;År1,0,J183*(1-VLOOKUP($A184,[1]Hugst!$R$5:$W$9,MATCH(ROUNDUP((K$1)/10,0)*10,[1]Hugst!$R$4:$W$4,0))))</f>
        <v>0</v>
      </c>
      <c r="L184">
        <f ca="1">IF($C184-L$1&lt;År1,0,K183*(1-VLOOKUP($A184,[1]Hugst!$R$5:$W$9,MATCH(ROUNDUP((L$1)/10,0)*10,[1]Hugst!$R$4:$W$4,0))))</f>
        <v>0</v>
      </c>
      <c r="M184">
        <f ca="1">IF($C184-M$1&lt;År1,0,L183*(1-VLOOKUP($A184,[1]Hugst!$R$5:$W$9,MATCH(ROUNDUP((M$1)/10,0)*10,[1]Hugst!$R$4:$W$4,0))))</f>
        <v>0</v>
      </c>
      <c r="N184">
        <f ca="1">IF($C184-N$1&lt;År1,0,M183*(1-VLOOKUP($A184,[1]Hugst!$R$5:$W$9,MATCH(ROUNDUP((N$1)/10,0)*10,[1]Hugst!$R$4:$W$4,0))))</f>
        <v>0</v>
      </c>
      <c r="O184">
        <f ca="1">IF($C184-O$1&lt;År1,0,N183*(1-VLOOKUP($A184,[1]Hugst!$R$5:$W$9,MATCH(ROUNDUP((O$1)/10,0)*10,[1]Hugst!$R$4:$W$4,0))))</f>
        <v>0</v>
      </c>
      <c r="P184">
        <f ca="1">IF($C184-P$1&lt;År1,0,O183*(1-VLOOKUP($A184,[1]Hugst!$R$5:$W$9,MATCH(ROUNDUP((P$1)/10,0)*10,[1]Hugst!$R$4:$W$4,0))))</f>
        <v>0</v>
      </c>
      <c r="Q184">
        <f ca="1">IF($C184-Q$1&lt;År1,0,P183*(1-VLOOKUP($A184,[1]Hugst!$R$5:$W$9,MATCH(ROUNDUP((Q$1)/10,0)*10,[1]Hugst!$R$4:$W$4,0))))</f>
        <v>0</v>
      </c>
      <c r="R184">
        <f ca="1">IF($C184-R$1&lt;År1,0,Q183*(1-VLOOKUP($A184,[1]Hugst!$R$5:$W$9,MATCH(ROUNDUP((R$1)/10,0)*10,[1]Hugst!$R$4:$W$4,0))))</f>
        <v>0</v>
      </c>
      <c r="S184">
        <f ca="1">IF($C184-S$1&lt;År1,0,R183*(1-VLOOKUP($A184,[1]Hugst!$R$5:$W$9,MATCH(ROUNDUP((S$1)/10,0)*10,[1]Hugst!$R$4:$W$4,0))))</f>
        <v>0</v>
      </c>
      <c r="T184">
        <f ca="1">IF($C184-T$1&lt;År1,0,S183*(1-VLOOKUP($A184,[1]Hugst!$R$5:$W$9,MATCH(ROUNDUP((T$1)/10,0)*10,[1]Hugst!$R$4:$W$4,0))))</f>
        <v>0</v>
      </c>
      <c r="U184">
        <f ca="1">IF($C184-U$1&lt;År1,0,T183*(1-VLOOKUP($A184,[1]Hugst!$R$5:$W$9,MATCH(ROUNDUP((U$1)/10,0)*10,[1]Hugst!$R$4:$W$4,0))))</f>
        <v>0</v>
      </c>
      <c r="V184">
        <f ca="1">IF($C184-V$1&lt;År1,0,U183*(1-VLOOKUP($A184,[1]Hugst!$R$5:$W$9,MATCH(ROUNDUP((V$1)/10,0)*10,[1]Hugst!$R$4:$W$4,0))))</f>
        <v>0</v>
      </c>
      <c r="W184">
        <f ca="1">IF($C184-W$1&lt;År1,0,V183*(1-VLOOKUP($A184,[1]Hugst!$R$5:$W$9,MATCH(ROUNDUP((W$1)/10,0)*10,[1]Hugst!$R$4:$W$4,0))))</f>
        <v>0</v>
      </c>
      <c r="X184">
        <f ca="1">IF($C184-X$1&lt;År1,0,W183*(1-VLOOKUP($A184,[1]Hugst!$R$5:$W$9,MATCH(ROUNDUP((X$1)/10,0)*10,[1]Hugst!$R$4:$W$4,0))))</f>
        <v>0</v>
      </c>
      <c r="Y184">
        <f ca="1">IF($C184-Y$1&lt;År1,0,X183*(1-VLOOKUP($A184,[1]Hugst!$R$5:$W$9,MATCH(ROUNDUP((Y$1)/10,0)*10,[1]Hugst!$R$4:$W$4,0))))</f>
        <v>0</v>
      </c>
      <c r="Z184">
        <f ca="1">IF($C184-Z$1&lt;År1,0,Y183*(1-VLOOKUP($A184,[1]Hugst!$R$5:$W$9,MATCH(ROUNDUP((Z$1)/10,0)*10,[1]Hugst!$R$4:$W$4,0))))</f>
        <v>0</v>
      </c>
      <c r="AA184">
        <f ca="1">IF($C184-AA$1&lt;År1,0,Z183*(1-VLOOKUP($A184,[1]Hugst!$R$5:$W$9,MATCH(ROUNDUP((AA$1)/10,0)*10,[1]Hugst!$R$4:$W$4,0))))</f>
        <v>0</v>
      </c>
      <c r="AB184">
        <f ca="1">IF($C184-AB$1&lt;År1,0,AA183*(1-VLOOKUP($A184,[1]Hugst!$R$5:$W$9,MATCH(ROUNDUP((AB$1)/10,0)*10,[1]Hugst!$R$4:$W$4,0))))</f>
        <v>0</v>
      </c>
      <c r="AC184">
        <f ca="1">IF($C184-AC$1&lt;År1,0,AB183*(1-VLOOKUP($A184,[1]Hugst!$R$5:$W$9,MATCH(ROUNDUP((AC$1)/10,0)*10,[1]Hugst!$R$4:$W$4,0))))</f>
        <v>0</v>
      </c>
      <c r="AD184">
        <f ca="1">IF($C184-AD$1&lt;År1,0,AC183*(1-VLOOKUP($A184,[1]Hugst!$R$5:$W$9,MATCH(ROUNDUP((AD$1)/10,0)*10,[1]Hugst!$R$4:$W$4,0))))</f>
        <v>0</v>
      </c>
      <c r="AE184">
        <f ca="1">IF($C184-AE$1&lt;År1,0,AD183*(1-VLOOKUP($A184,[1]Hugst!$R$5:$W$9,MATCH(ROUNDUP((AE$1)/10,0)*10,[1]Hugst!$R$4:$W$4,0))))</f>
        <v>0</v>
      </c>
      <c r="AF184">
        <f ca="1">IF($C184-AF$1&lt;År1,0,AE183*(1-VLOOKUP($A184,[1]Hugst!$R$5:$W$9,MATCH(ROUNDUP((AF$1)/10,0)*10,[1]Hugst!$R$4:$W$4,0))))</f>
        <v>0</v>
      </c>
      <c r="AG184">
        <f ca="1">IF($C184-AG$1&lt;År1,0,AF183*(1-VLOOKUP($A184,[1]Hugst!$R$5:$W$9,MATCH(ROUNDUP((AG$1)/10,0)*10,[1]Hugst!$R$4:$W$4,0))))</f>
        <v>0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0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>
        <f ca="1">IF($C185-G$1&lt;År1,0,F184*(1-VLOOKUP($A185,[1]Hugst!$R$5:$W$9,MATCH(ROUNDUP((G$1)/10,0)*10,[1]Hugst!$R$4:$W$4,0))))</f>
        <v>0</v>
      </c>
      <c r="H185">
        <f ca="1">IF($C185-H$1&lt;År1,0,G184*(1-VLOOKUP($A185,[1]Hugst!$R$5:$W$9,MATCH(ROUNDUP((H$1)/10,0)*10,[1]Hugst!$R$4:$W$4,0))))</f>
        <v>0</v>
      </c>
      <c r="I185">
        <f ca="1">IF($C185-I$1&lt;År1,0,H184*(1-VLOOKUP($A185,[1]Hugst!$R$5:$W$9,MATCH(ROUNDUP((I$1)/10,0)*10,[1]Hugst!$R$4:$W$4,0))))</f>
        <v>0</v>
      </c>
      <c r="J185">
        <f ca="1">IF($C185-J$1&lt;År1,0,I184*(1-VLOOKUP($A185,[1]Hugst!$R$5:$W$9,MATCH(ROUNDUP((J$1)/10,0)*10,[1]Hugst!$R$4:$W$4,0))))</f>
        <v>0</v>
      </c>
      <c r="K185">
        <f ca="1">IF($C185-K$1&lt;År1,0,J184*(1-VLOOKUP($A185,[1]Hugst!$R$5:$W$9,MATCH(ROUNDUP((K$1)/10,0)*10,[1]Hugst!$R$4:$W$4,0))))</f>
        <v>0</v>
      </c>
      <c r="L185">
        <f ca="1">IF($C185-L$1&lt;År1,0,K184*(1-VLOOKUP($A185,[1]Hugst!$R$5:$W$9,MATCH(ROUNDUP((L$1)/10,0)*10,[1]Hugst!$R$4:$W$4,0))))</f>
        <v>0</v>
      </c>
      <c r="M185">
        <f ca="1">IF($C185-M$1&lt;År1,0,L184*(1-VLOOKUP($A185,[1]Hugst!$R$5:$W$9,MATCH(ROUNDUP((M$1)/10,0)*10,[1]Hugst!$R$4:$W$4,0))))</f>
        <v>0</v>
      </c>
      <c r="N185">
        <f ca="1">IF($C185-N$1&lt;År1,0,M184*(1-VLOOKUP($A185,[1]Hugst!$R$5:$W$9,MATCH(ROUNDUP((N$1)/10,0)*10,[1]Hugst!$R$4:$W$4,0))))</f>
        <v>0</v>
      </c>
      <c r="O185">
        <f ca="1">IF($C185-O$1&lt;År1,0,N184*(1-VLOOKUP($A185,[1]Hugst!$R$5:$W$9,MATCH(ROUNDUP((O$1)/10,0)*10,[1]Hugst!$R$4:$W$4,0))))</f>
        <v>0</v>
      </c>
      <c r="P185">
        <f ca="1">IF($C185-P$1&lt;År1,0,O184*(1-VLOOKUP($A185,[1]Hugst!$R$5:$W$9,MATCH(ROUNDUP((P$1)/10,0)*10,[1]Hugst!$R$4:$W$4,0))))</f>
        <v>0</v>
      </c>
      <c r="Q185">
        <f ca="1">IF($C185-Q$1&lt;År1,0,P184*(1-VLOOKUP($A185,[1]Hugst!$R$5:$W$9,MATCH(ROUNDUP((Q$1)/10,0)*10,[1]Hugst!$R$4:$W$4,0))))</f>
        <v>0</v>
      </c>
      <c r="R185">
        <f ca="1">IF($C185-R$1&lt;År1,0,Q184*(1-VLOOKUP($A185,[1]Hugst!$R$5:$W$9,MATCH(ROUNDUP((R$1)/10,0)*10,[1]Hugst!$R$4:$W$4,0))))</f>
        <v>0</v>
      </c>
      <c r="S185">
        <f ca="1">IF($C185-S$1&lt;År1,0,R184*(1-VLOOKUP($A185,[1]Hugst!$R$5:$W$9,MATCH(ROUNDUP((S$1)/10,0)*10,[1]Hugst!$R$4:$W$4,0))))</f>
        <v>0</v>
      </c>
      <c r="T185">
        <f ca="1">IF($C185-T$1&lt;År1,0,S184*(1-VLOOKUP($A185,[1]Hugst!$R$5:$W$9,MATCH(ROUNDUP((T$1)/10,0)*10,[1]Hugst!$R$4:$W$4,0))))</f>
        <v>0</v>
      </c>
      <c r="U185">
        <f ca="1">IF($C185-U$1&lt;År1,0,T184*(1-VLOOKUP($A185,[1]Hugst!$R$5:$W$9,MATCH(ROUNDUP((U$1)/10,0)*10,[1]Hugst!$R$4:$W$4,0))))</f>
        <v>0</v>
      </c>
      <c r="V185">
        <f ca="1">IF($C185-V$1&lt;År1,0,U184*(1-VLOOKUP($A185,[1]Hugst!$R$5:$W$9,MATCH(ROUNDUP((V$1)/10,0)*10,[1]Hugst!$R$4:$W$4,0))))</f>
        <v>0</v>
      </c>
      <c r="W185">
        <f ca="1">IF($C185-W$1&lt;År1,0,V184*(1-VLOOKUP($A185,[1]Hugst!$R$5:$W$9,MATCH(ROUNDUP((W$1)/10,0)*10,[1]Hugst!$R$4:$W$4,0))))</f>
        <v>0</v>
      </c>
      <c r="X185">
        <f ca="1">IF($C185-X$1&lt;År1,0,W184*(1-VLOOKUP($A185,[1]Hugst!$R$5:$W$9,MATCH(ROUNDUP((X$1)/10,0)*10,[1]Hugst!$R$4:$W$4,0))))</f>
        <v>0</v>
      </c>
      <c r="Y185">
        <f ca="1">IF($C185-Y$1&lt;År1,0,X184*(1-VLOOKUP($A185,[1]Hugst!$R$5:$W$9,MATCH(ROUNDUP((Y$1)/10,0)*10,[1]Hugst!$R$4:$W$4,0))))</f>
        <v>0</v>
      </c>
      <c r="Z185">
        <f ca="1">IF($C185-Z$1&lt;År1,0,Y184*(1-VLOOKUP($A185,[1]Hugst!$R$5:$W$9,MATCH(ROUNDUP((Z$1)/10,0)*10,[1]Hugst!$R$4:$W$4,0))))</f>
        <v>0</v>
      </c>
      <c r="AA185">
        <f ca="1">IF($C185-AA$1&lt;År1,0,Z184*(1-VLOOKUP($A185,[1]Hugst!$R$5:$W$9,MATCH(ROUNDUP((AA$1)/10,0)*10,[1]Hugst!$R$4:$W$4,0))))</f>
        <v>0</v>
      </c>
      <c r="AB185">
        <f ca="1">IF($C185-AB$1&lt;År1,0,AA184*(1-VLOOKUP($A185,[1]Hugst!$R$5:$W$9,MATCH(ROUNDUP((AB$1)/10,0)*10,[1]Hugst!$R$4:$W$4,0))))</f>
        <v>0</v>
      </c>
      <c r="AC185">
        <f ca="1">IF($C185-AC$1&lt;År1,0,AB184*(1-VLOOKUP($A185,[1]Hugst!$R$5:$W$9,MATCH(ROUNDUP((AC$1)/10,0)*10,[1]Hugst!$R$4:$W$4,0))))</f>
        <v>0</v>
      </c>
      <c r="AD185">
        <f ca="1">IF($C185-AD$1&lt;År1,0,AC184*(1-VLOOKUP($A185,[1]Hugst!$R$5:$W$9,MATCH(ROUNDUP((AD$1)/10,0)*10,[1]Hugst!$R$4:$W$4,0))))</f>
        <v>0</v>
      </c>
      <c r="AE185">
        <f ca="1">IF($C185-AE$1&lt;År1,0,AD184*(1-VLOOKUP($A185,[1]Hugst!$R$5:$W$9,MATCH(ROUNDUP((AE$1)/10,0)*10,[1]Hugst!$R$4:$W$4,0))))</f>
        <v>0</v>
      </c>
      <c r="AF185">
        <f ca="1">IF($C185-AF$1&lt;År1,0,AE184*(1-VLOOKUP($A185,[1]Hugst!$R$5:$W$9,MATCH(ROUNDUP((AF$1)/10,0)*10,[1]Hugst!$R$4:$W$4,0))))</f>
        <v>0</v>
      </c>
      <c r="AG185">
        <f ca="1">IF($C185-AG$1&lt;År1,0,AF184*(1-VLOOKUP($A185,[1]Hugst!$R$5:$W$9,MATCH(ROUNDUP((AG$1)/10,0)*10,[1]Hugst!$R$4:$W$4,0))))</f>
        <v>0</v>
      </c>
      <c r="AH185">
        <f ca="1">IF($C185-AH$1&lt;År1,0,AG184*(1-VLOOKUP($A185,[1]Hugst!$R$5:$W$9,MATCH(ROUNDUP((AH$1)/10,0)*10,[1]Hugst!$R$4:$W$4,0))))</f>
        <v>0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0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>
        <f ca="1">IF($C186-G$1&lt;År1,0,F185*(1-VLOOKUP($A186,[1]Hugst!$R$5:$W$9,MATCH(ROUNDUP((G$1)/10,0)*10,[1]Hugst!$R$4:$W$4,0))))</f>
        <v>0</v>
      </c>
      <c r="H186">
        <f ca="1">IF($C186-H$1&lt;År1,0,G185*(1-VLOOKUP($A186,[1]Hugst!$R$5:$W$9,MATCH(ROUNDUP((H$1)/10,0)*10,[1]Hugst!$R$4:$W$4,0))))</f>
        <v>0</v>
      </c>
      <c r="I186">
        <f ca="1">IF($C186-I$1&lt;År1,0,H185*(1-VLOOKUP($A186,[1]Hugst!$R$5:$W$9,MATCH(ROUNDUP((I$1)/10,0)*10,[1]Hugst!$R$4:$W$4,0))))</f>
        <v>0</v>
      </c>
      <c r="J186">
        <f ca="1">IF($C186-J$1&lt;År1,0,I185*(1-VLOOKUP($A186,[1]Hugst!$R$5:$W$9,MATCH(ROUNDUP((J$1)/10,0)*10,[1]Hugst!$R$4:$W$4,0))))</f>
        <v>0</v>
      </c>
      <c r="K186">
        <f ca="1">IF($C186-K$1&lt;År1,0,J185*(1-VLOOKUP($A186,[1]Hugst!$R$5:$W$9,MATCH(ROUNDUP((K$1)/10,0)*10,[1]Hugst!$R$4:$W$4,0))))</f>
        <v>0</v>
      </c>
      <c r="L186">
        <f ca="1">IF($C186-L$1&lt;År1,0,K185*(1-VLOOKUP($A186,[1]Hugst!$R$5:$W$9,MATCH(ROUNDUP((L$1)/10,0)*10,[1]Hugst!$R$4:$W$4,0))))</f>
        <v>0</v>
      </c>
      <c r="M186">
        <f ca="1">IF($C186-M$1&lt;År1,0,L185*(1-VLOOKUP($A186,[1]Hugst!$R$5:$W$9,MATCH(ROUNDUP((M$1)/10,0)*10,[1]Hugst!$R$4:$W$4,0))))</f>
        <v>0</v>
      </c>
      <c r="N186">
        <f ca="1">IF($C186-N$1&lt;År1,0,M185*(1-VLOOKUP($A186,[1]Hugst!$R$5:$W$9,MATCH(ROUNDUP((N$1)/10,0)*10,[1]Hugst!$R$4:$W$4,0))))</f>
        <v>0</v>
      </c>
      <c r="O186">
        <f ca="1">IF($C186-O$1&lt;År1,0,N185*(1-VLOOKUP($A186,[1]Hugst!$R$5:$W$9,MATCH(ROUNDUP((O$1)/10,0)*10,[1]Hugst!$R$4:$W$4,0))))</f>
        <v>0</v>
      </c>
      <c r="P186">
        <f ca="1">IF($C186-P$1&lt;År1,0,O185*(1-VLOOKUP($A186,[1]Hugst!$R$5:$W$9,MATCH(ROUNDUP((P$1)/10,0)*10,[1]Hugst!$R$4:$W$4,0))))</f>
        <v>0</v>
      </c>
      <c r="Q186">
        <f ca="1">IF($C186-Q$1&lt;År1,0,P185*(1-VLOOKUP($A186,[1]Hugst!$R$5:$W$9,MATCH(ROUNDUP((Q$1)/10,0)*10,[1]Hugst!$R$4:$W$4,0))))</f>
        <v>0</v>
      </c>
      <c r="R186">
        <f ca="1">IF($C186-R$1&lt;År1,0,Q185*(1-VLOOKUP($A186,[1]Hugst!$R$5:$W$9,MATCH(ROUNDUP((R$1)/10,0)*10,[1]Hugst!$R$4:$W$4,0))))</f>
        <v>0</v>
      </c>
      <c r="S186">
        <f ca="1">IF($C186-S$1&lt;År1,0,R185*(1-VLOOKUP($A186,[1]Hugst!$R$5:$W$9,MATCH(ROUNDUP((S$1)/10,0)*10,[1]Hugst!$R$4:$W$4,0))))</f>
        <v>0</v>
      </c>
      <c r="T186">
        <f ca="1">IF($C186-T$1&lt;År1,0,S185*(1-VLOOKUP($A186,[1]Hugst!$R$5:$W$9,MATCH(ROUNDUP((T$1)/10,0)*10,[1]Hugst!$R$4:$W$4,0))))</f>
        <v>0</v>
      </c>
      <c r="U186">
        <f ca="1">IF($C186-U$1&lt;År1,0,T185*(1-VLOOKUP($A186,[1]Hugst!$R$5:$W$9,MATCH(ROUNDUP((U$1)/10,0)*10,[1]Hugst!$R$4:$W$4,0))))</f>
        <v>0</v>
      </c>
      <c r="V186">
        <f ca="1">IF($C186-V$1&lt;År1,0,U185*(1-VLOOKUP($A186,[1]Hugst!$R$5:$W$9,MATCH(ROUNDUP((V$1)/10,0)*10,[1]Hugst!$R$4:$W$4,0))))</f>
        <v>0</v>
      </c>
      <c r="W186">
        <f ca="1">IF($C186-W$1&lt;År1,0,V185*(1-VLOOKUP($A186,[1]Hugst!$R$5:$W$9,MATCH(ROUNDUP((W$1)/10,0)*10,[1]Hugst!$R$4:$W$4,0))))</f>
        <v>0</v>
      </c>
      <c r="X186">
        <f ca="1">IF($C186-X$1&lt;År1,0,W185*(1-VLOOKUP($A186,[1]Hugst!$R$5:$W$9,MATCH(ROUNDUP((X$1)/10,0)*10,[1]Hugst!$R$4:$W$4,0))))</f>
        <v>0</v>
      </c>
      <c r="Y186">
        <f ca="1">IF($C186-Y$1&lt;År1,0,X185*(1-VLOOKUP($A186,[1]Hugst!$R$5:$W$9,MATCH(ROUNDUP((Y$1)/10,0)*10,[1]Hugst!$R$4:$W$4,0))))</f>
        <v>0</v>
      </c>
      <c r="Z186">
        <f ca="1">IF($C186-Z$1&lt;År1,0,Y185*(1-VLOOKUP($A186,[1]Hugst!$R$5:$W$9,MATCH(ROUNDUP((Z$1)/10,0)*10,[1]Hugst!$R$4:$W$4,0))))</f>
        <v>0</v>
      </c>
      <c r="AA186">
        <f ca="1">IF($C186-AA$1&lt;År1,0,Z185*(1-VLOOKUP($A186,[1]Hugst!$R$5:$W$9,MATCH(ROUNDUP((AA$1)/10,0)*10,[1]Hugst!$R$4:$W$4,0))))</f>
        <v>0</v>
      </c>
      <c r="AB186">
        <f ca="1">IF($C186-AB$1&lt;År1,0,AA185*(1-VLOOKUP($A186,[1]Hugst!$R$5:$W$9,MATCH(ROUNDUP((AB$1)/10,0)*10,[1]Hugst!$R$4:$W$4,0))))</f>
        <v>0</v>
      </c>
      <c r="AC186">
        <f ca="1">IF($C186-AC$1&lt;År1,0,AB185*(1-VLOOKUP($A186,[1]Hugst!$R$5:$W$9,MATCH(ROUNDUP((AC$1)/10,0)*10,[1]Hugst!$R$4:$W$4,0))))</f>
        <v>0</v>
      </c>
      <c r="AD186">
        <f ca="1">IF($C186-AD$1&lt;År1,0,AC185*(1-VLOOKUP($A186,[1]Hugst!$R$5:$W$9,MATCH(ROUNDUP((AD$1)/10,0)*10,[1]Hugst!$R$4:$W$4,0))))</f>
        <v>0</v>
      </c>
      <c r="AE186">
        <f ca="1">IF($C186-AE$1&lt;År1,0,AD185*(1-VLOOKUP($A186,[1]Hugst!$R$5:$W$9,MATCH(ROUNDUP((AE$1)/10,0)*10,[1]Hugst!$R$4:$W$4,0))))</f>
        <v>0</v>
      </c>
      <c r="AF186">
        <f ca="1">IF($C186-AF$1&lt;År1,0,AE185*(1-VLOOKUP($A186,[1]Hugst!$R$5:$W$9,MATCH(ROUNDUP((AF$1)/10,0)*10,[1]Hugst!$R$4:$W$4,0))))</f>
        <v>0</v>
      </c>
      <c r="AG186">
        <f ca="1">IF($C186-AG$1&lt;År1,0,AF185*(1-VLOOKUP($A186,[1]Hugst!$R$5:$W$9,MATCH(ROUNDUP((AG$1)/10,0)*10,[1]Hugst!$R$4:$W$4,0))))</f>
        <v>0</v>
      </c>
      <c r="AH186">
        <f ca="1">IF($C186-AH$1&lt;År1,0,AG185*(1-VLOOKUP($A186,[1]Hugst!$R$5:$W$9,MATCH(ROUNDUP((AH$1)/10,0)*10,[1]Hugst!$R$4:$W$4,0))))</f>
        <v>0</v>
      </c>
      <c r="AI186">
        <f ca="1">IF($C186-AI$1&lt;År1,0,AH185*(1-VLOOKUP($A186,[1]Hugst!$R$5:$W$9,MATCH(ROUNDUP((AI$1)/10,0)*10,[1]Hugst!$R$4:$W$4,0))))</f>
        <v>0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0</v>
      </c>
      <c r="E187">
        <f t="shared" ca="1" si="3"/>
        <v>0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>
        <f ca="1">IF($C187-G$1&lt;År1,0,F186*(1-VLOOKUP($A187,[1]Hugst!$R$5:$W$9,MATCH(ROUNDUP((G$1)/10,0)*10,[1]Hugst!$R$4:$W$4,0))))</f>
        <v>0</v>
      </c>
      <c r="H187">
        <f ca="1">IF($C187-H$1&lt;År1,0,G186*(1-VLOOKUP($A187,[1]Hugst!$R$5:$W$9,MATCH(ROUNDUP((H$1)/10,0)*10,[1]Hugst!$R$4:$W$4,0))))</f>
        <v>0</v>
      </c>
      <c r="I187">
        <f ca="1">IF($C187-I$1&lt;År1,0,H186*(1-VLOOKUP($A187,[1]Hugst!$R$5:$W$9,MATCH(ROUNDUP((I$1)/10,0)*10,[1]Hugst!$R$4:$W$4,0))))</f>
        <v>0</v>
      </c>
      <c r="J187">
        <f ca="1">IF($C187-J$1&lt;År1,0,I186*(1-VLOOKUP($A187,[1]Hugst!$R$5:$W$9,MATCH(ROUNDUP((J$1)/10,0)*10,[1]Hugst!$R$4:$W$4,0))))</f>
        <v>0</v>
      </c>
      <c r="K187">
        <f ca="1">IF($C187-K$1&lt;År1,0,J186*(1-VLOOKUP($A187,[1]Hugst!$R$5:$W$9,MATCH(ROUNDUP((K$1)/10,0)*10,[1]Hugst!$R$4:$W$4,0))))</f>
        <v>0</v>
      </c>
      <c r="L187">
        <f ca="1">IF($C187-L$1&lt;År1,0,K186*(1-VLOOKUP($A187,[1]Hugst!$R$5:$W$9,MATCH(ROUNDUP((L$1)/10,0)*10,[1]Hugst!$R$4:$W$4,0))))</f>
        <v>0</v>
      </c>
      <c r="M187">
        <f ca="1">IF($C187-M$1&lt;År1,0,L186*(1-VLOOKUP($A187,[1]Hugst!$R$5:$W$9,MATCH(ROUNDUP((M$1)/10,0)*10,[1]Hugst!$R$4:$W$4,0))))</f>
        <v>0</v>
      </c>
      <c r="N187">
        <f ca="1">IF($C187-N$1&lt;År1,0,M186*(1-VLOOKUP($A187,[1]Hugst!$R$5:$W$9,MATCH(ROUNDUP((N$1)/10,0)*10,[1]Hugst!$R$4:$W$4,0))))</f>
        <v>0</v>
      </c>
      <c r="O187">
        <f ca="1">IF($C187-O$1&lt;År1,0,N186*(1-VLOOKUP($A187,[1]Hugst!$R$5:$W$9,MATCH(ROUNDUP((O$1)/10,0)*10,[1]Hugst!$R$4:$W$4,0))))</f>
        <v>0</v>
      </c>
      <c r="P187">
        <f ca="1">IF($C187-P$1&lt;År1,0,O186*(1-VLOOKUP($A187,[1]Hugst!$R$5:$W$9,MATCH(ROUNDUP((P$1)/10,0)*10,[1]Hugst!$R$4:$W$4,0))))</f>
        <v>0</v>
      </c>
      <c r="Q187">
        <f ca="1">IF($C187-Q$1&lt;År1,0,P186*(1-VLOOKUP($A187,[1]Hugst!$R$5:$W$9,MATCH(ROUNDUP((Q$1)/10,0)*10,[1]Hugst!$R$4:$W$4,0))))</f>
        <v>0</v>
      </c>
      <c r="R187">
        <f ca="1">IF($C187-R$1&lt;År1,0,Q186*(1-VLOOKUP($A187,[1]Hugst!$R$5:$W$9,MATCH(ROUNDUP((R$1)/10,0)*10,[1]Hugst!$R$4:$W$4,0))))</f>
        <v>0</v>
      </c>
      <c r="S187">
        <f ca="1">IF($C187-S$1&lt;År1,0,R186*(1-VLOOKUP($A187,[1]Hugst!$R$5:$W$9,MATCH(ROUNDUP((S$1)/10,0)*10,[1]Hugst!$R$4:$W$4,0))))</f>
        <v>0</v>
      </c>
      <c r="T187">
        <f ca="1">IF($C187-T$1&lt;År1,0,S186*(1-VLOOKUP($A187,[1]Hugst!$R$5:$W$9,MATCH(ROUNDUP((T$1)/10,0)*10,[1]Hugst!$R$4:$W$4,0))))</f>
        <v>0</v>
      </c>
      <c r="U187">
        <f ca="1">IF($C187-U$1&lt;År1,0,T186*(1-VLOOKUP($A187,[1]Hugst!$R$5:$W$9,MATCH(ROUNDUP((U$1)/10,0)*10,[1]Hugst!$R$4:$W$4,0))))</f>
        <v>0</v>
      </c>
      <c r="V187">
        <f ca="1">IF($C187-V$1&lt;År1,0,U186*(1-VLOOKUP($A187,[1]Hugst!$R$5:$W$9,MATCH(ROUNDUP((V$1)/10,0)*10,[1]Hugst!$R$4:$W$4,0))))</f>
        <v>0</v>
      </c>
      <c r="W187">
        <f ca="1">IF($C187-W$1&lt;År1,0,V186*(1-VLOOKUP($A187,[1]Hugst!$R$5:$W$9,MATCH(ROUNDUP((W$1)/10,0)*10,[1]Hugst!$R$4:$W$4,0))))</f>
        <v>0</v>
      </c>
      <c r="X187">
        <f ca="1">IF($C187-X$1&lt;År1,0,W186*(1-VLOOKUP($A187,[1]Hugst!$R$5:$W$9,MATCH(ROUNDUP((X$1)/10,0)*10,[1]Hugst!$R$4:$W$4,0))))</f>
        <v>0</v>
      </c>
      <c r="Y187">
        <f ca="1">IF($C187-Y$1&lt;År1,0,X186*(1-VLOOKUP($A187,[1]Hugst!$R$5:$W$9,MATCH(ROUNDUP((Y$1)/10,0)*10,[1]Hugst!$R$4:$W$4,0))))</f>
        <v>0</v>
      </c>
      <c r="Z187">
        <f ca="1">IF($C187-Z$1&lt;År1,0,Y186*(1-VLOOKUP($A187,[1]Hugst!$R$5:$W$9,MATCH(ROUNDUP((Z$1)/10,0)*10,[1]Hugst!$R$4:$W$4,0))))</f>
        <v>0</v>
      </c>
      <c r="AA187">
        <f ca="1">IF($C187-AA$1&lt;År1,0,Z186*(1-VLOOKUP($A187,[1]Hugst!$R$5:$W$9,MATCH(ROUNDUP((AA$1)/10,0)*10,[1]Hugst!$R$4:$W$4,0))))</f>
        <v>0</v>
      </c>
      <c r="AB187">
        <f ca="1">IF($C187-AB$1&lt;År1,0,AA186*(1-VLOOKUP($A187,[1]Hugst!$R$5:$W$9,MATCH(ROUNDUP((AB$1)/10,0)*10,[1]Hugst!$R$4:$W$4,0))))</f>
        <v>0</v>
      </c>
      <c r="AC187">
        <f ca="1">IF($C187-AC$1&lt;År1,0,AB186*(1-VLOOKUP($A187,[1]Hugst!$R$5:$W$9,MATCH(ROUNDUP((AC$1)/10,0)*10,[1]Hugst!$R$4:$W$4,0))))</f>
        <v>0</v>
      </c>
      <c r="AD187">
        <f ca="1">IF($C187-AD$1&lt;År1,0,AC186*(1-VLOOKUP($A187,[1]Hugst!$R$5:$W$9,MATCH(ROUNDUP((AD$1)/10,0)*10,[1]Hugst!$R$4:$W$4,0))))</f>
        <v>0</v>
      </c>
      <c r="AE187">
        <f ca="1">IF($C187-AE$1&lt;År1,0,AD186*(1-VLOOKUP($A187,[1]Hugst!$R$5:$W$9,MATCH(ROUNDUP((AE$1)/10,0)*10,[1]Hugst!$R$4:$W$4,0))))</f>
        <v>0</v>
      </c>
      <c r="AF187">
        <f ca="1">IF($C187-AF$1&lt;År1,0,AE186*(1-VLOOKUP($A187,[1]Hugst!$R$5:$W$9,MATCH(ROUNDUP((AF$1)/10,0)*10,[1]Hugst!$R$4:$W$4,0))))</f>
        <v>0</v>
      </c>
      <c r="AG187">
        <f ca="1">IF($C187-AG$1&lt;År1,0,AF186*(1-VLOOKUP($A187,[1]Hugst!$R$5:$W$9,MATCH(ROUNDUP((AG$1)/10,0)*10,[1]Hugst!$R$4:$W$4,0))))</f>
        <v>0</v>
      </c>
      <c r="AH187">
        <f ca="1">IF($C187-AH$1&lt;År1,0,AG186*(1-VLOOKUP($A187,[1]Hugst!$R$5:$W$9,MATCH(ROUNDUP((AH$1)/10,0)*10,[1]Hugst!$R$4:$W$4,0))))</f>
        <v>0</v>
      </c>
      <c r="AI187">
        <f ca="1">IF($C187-AI$1&lt;År1,0,AH186*(1-VLOOKUP($A187,[1]Hugst!$R$5:$W$9,MATCH(ROUNDUP((AI$1)/10,0)*10,[1]Hugst!$R$4:$W$4,0))))</f>
        <v>0</v>
      </c>
      <c r="AJ187">
        <f ca="1">IF($C187-AJ$1&lt;År1,0,AI186*(1-VLOOKUP($A187,[1]Hugst!$R$5:$W$9,MATCH(ROUNDUP((AJ$1)/10,0)*10,[1]Hugst!$R$4:$W$4,0))))</f>
        <v>0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0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0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>
        <f ca="1">IF($C189-G$1&lt;År1,0,F188*(1-VLOOKUP($A189,[1]Hugst!$R$5:$W$9,MATCH(ROUNDUP((G$1)/10,0)*10,[1]Hugst!$R$4:$W$4,0))))</f>
        <v>0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0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>
        <f ca="1">IF($C190-G$1&lt;År1,0,F189*(1-VLOOKUP($A190,[1]Hugst!$R$5:$W$9,MATCH(ROUNDUP((G$1)/10,0)*10,[1]Hugst!$R$4:$W$4,0))))</f>
        <v>0</v>
      </c>
      <c r="H190">
        <f ca="1">IF($C190-H$1&lt;År1,0,G189*(1-VLOOKUP($A190,[1]Hugst!$R$5:$W$9,MATCH(ROUNDUP((H$1)/10,0)*10,[1]Hugst!$R$4:$W$4,0))))</f>
        <v>0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0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>
        <f ca="1">IF($C191-G$1&lt;År1,0,F190*(1-VLOOKUP($A191,[1]Hugst!$R$5:$W$9,MATCH(ROUNDUP((G$1)/10,0)*10,[1]Hugst!$R$4:$W$4,0))))</f>
        <v>0</v>
      </c>
      <c r="H191">
        <f ca="1">IF($C191-H$1&lt;År1,0,G190*(1-VLOOKUP($A191,[1]Hugst!$R$5:$W$9,MATCH(ROUNDUP((H$1)/10,0)*10,[1]Hugst!$R$4:$W$4,0))))</f>
        <v>0</v>
      </c>
      <c r="I191">
        <f ca="1">IF($C191-I$1&lt;År1,0,H190*(1-VLOOKUP($A191,[1]Hugst!$R$5:$W$9,MATCH(ROUNDUP((I$1)/10,0)*10,[1]Hugst!$R$4:$W$4,0))))</f>
        <v>0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0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>
        <f ca="1">IF($C192-G$1&lt;År1,0,F191*(1-VLOOKUP($A192,[1]Hugst!$R$5:$W$9,MATCH(ROUNDUP((G$1)/10,0)*10,[1]Hugst!$R$4:$W$4,0))))</f>
        <v>0</v>
      </c>
      <c r="H192">
        <f ca="1">IF($C192-H$1&lt;År1,0,G191*(1-VLOOKUP($A192,[1]Hugst!$R$5:$W$9,MATCH(ROUNDUP((H$1)/10,0)*10,[1]Hugst!$R$4:$W$4,0))))</f>
        <v>0</v>
      </c>
      <c r="I192">
        <f ca="1">IF($C192-I$1&lt;År1,0,H191*(1-VLOOKUP($A192,[1]Hugst!$R$5:$W$9,MATCH(ROUNDUP((I$1)/10,0)*10,[1]Hugst!$R$4:$W$4,0))))</f>
        <v>0</v>
      </c>
      <c r="J192">
        <f ca="1">IF($C192-J$1&lt;År1,0,I191*(1-VLOOKUP($A192,[1]Hugst!$R$5:$W$9,MATCH(ROUNDUP((J$1)/10,0)*10,[1]Hugst!$R$4:$W$4,0))))</f>
        <v>0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0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>
        <f ca="1">IF($C193-G$1&lt;År1,0,F192*(1-VLOOKUP($A193,[1]Hugst!$R$5:$W$9,MATCH(ROUNDUP((G$1)/10,0)*10,[1]Hugst!$R$4:$W$4,0))))</f>
        <v>0</v>
      </c>
      <c r="H193">
        <f ca="1">IF($C193-H$1&lt;År1,0,G192*(1-VLOOKUP($A193,[1]Hugst!$R$5:$W$9,MATCH(ROUNDUP((H$1)/10,0)*10,[1]Hugst!$R$4:$W$4,0))))</f>
        <v>0</v>
      </c>
      <c r="I193">
        <f ca="1">IF($C193-I$1&lt;År1,0,H192*(1-VLOOKUP($A193,[1]Hugst!$R$5:$W$9,MATCH(ROUNDUP((I$1)/10,0)*10,[1]Hugst!$R$4:$W$4,0))))</f>
        <v>0</v>
      </c>
      <c r="J193">
        <f ca="1">IF($C193-J$1&lt;År1,0,I192*(1-VLOOKUP($A193,[1]Hugst!$R$5:$W$9,MATCH(ROUNDUP((J$1)/10,0)*10,[1]Hugst!$R$4:$W$4,0))))</f>
        <v>0</v>
      </c>
      <c r="K193">
        <f ca="1">IF($C193-K$1&lt;År1,0,J192*(1-VLOOKUP($A193,[1]Hugst!$R$5:$W$9,MATCH(ROUNDUP((K$1)/10,0)*10,[1]Hugst!$R$4:$W$4,0))))</f>
        <v>0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0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>
        <f ca="1">IF($C194-G$1&lt;År1,0,F193*(1-VLOOKUP($A194,[1]Hugst!$R$5:$W$9,MATCH(ROUNDUP((G$1)/10,0)*10,[1]Hugst!$R$4:$W$4,0))))</f>
        <v>0</v>
      </c>
      <c r="H194">
        <f ca="1">IF($C194-H$1&lt;År1,0,G193*(1-VLOOKUP($A194,[1]Hugst!$R$5:$W$9,MATCH(ROUNDUP((H$1)/10,0)*10,[1]Hugst!$R$4:$W$4,0))))</f>
        <v>0</v>
      </c>
      <c r="I194">
        <f ca="1">IF($C194-I$1&lt;År1,0,H193*(1-VLOOKUP($A194,[1]Hugst!$R$5:$W$9,MATCH(ROUNDUP((I$1)/10,0)*10,[1]Hugst!$R$4:$W$4,0))))</f>
        <v>0</v>
      </c>
      <c r="J194">
        <f ca="1">IF($C194-J$1&lt;År1,0,I193*(1-VLOOKUP($A194,[1]Hugst!$R$5:$W$9,MATCH(ROUNDUP((J$1)/10,0)*10,[1]Hugst!$R$4:$W$4,0))))</f>
        <v>0</v>
      </c>
      <c r="K194">
        <f ca="1">IF($C194-K$1&lt;År1,0,J193*(1-VLOOKUP($A194,[1]Hugst!$R$5:$W$9,MATCH(ROUNDUP((K$1)/10,0)*10,[1]Hugst!$R$4:$W$4,0))))</f>
        <v>0</v>
      </c>
      <c r="L194">
        <f ca="1">IF($C194-L$1&lt;År1,0,K193*(1-VLOOKUP($A194,[1]Hugst!$R$5:$W$9,MATCH(ROUNDUP((L$1)/10,0)*10,[1]Hugst!$R$4:$W$4,0))))</f>
        <v>0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0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>
        <f ca="1">IF($C195-G$1&lt;År1,0,F194*(1-VLOOKUP($A195,[1]Hugst!$R$5:$W$9,MATCH(ROUNDUP((G$1)/10,0)*10,[1]Hugst!$R$4:$W$4,0))))</f>
        <v>0</v>
      </c>
      <c r="H195">
        <f ca="1">IF($C195-H$1&lt;År1,0,G194*(1-VLOOKUP($A195,[1]Hugst!$R$5:$W$9,MATCH(ROUNDUP((H$1)/10,0)*10,[1]Hugst!$R$4:$W$4,0))))</f>
        <v>0</v>
      </c>
      <c r="I195">
        <f ca="1">IF($C195-I$1&lt;År1,0,H194*(1-VLOOKUP($A195,[1]Hugst!$R$5:$W$9,MATCH(ROUNDUP((I$1)/10,0)*10,[1]Hugst!$R$4:$W$4,0))))</f>
        <v>0</v>
      </c>
      <c r="J195">
        <f ca="1">IF($C195-J$1&lt;År1,0,I194*(1-VLOOKUP($A195,[1]Hugst!$R$5:$W$9,MATCH(ROUNDUP((J$1)/10,0)*10,[1]Hugst!$R$4:$W$4,0))))</f>
        <v>0</v>
      </c>
      <c r="K195">
        <f ca="1">IF($C195-K$1&lt;År1,0,J194*(1-VLOOKUP($A195,[1]Hugst!$R$5:$W$9,MATCH(ROUNDUP((K$1)/10,0)*10,[1]Hugst!$R$4:$W$4,0))))</f>
        <v>0</v>
      </c>
      <c r="L195">
        <f ca="1">IF($C195-L$1&lt;År1,0,K194*(1-VLOOKUP($A195,[1]Hugst!$R$5:$W$9,MATCH(ROUNDUP((L$1)/10,0)*10,[1]Hugst!$R$4:$W$4,0))))</f>
        <v>0</v>
      </c>
      <c r="M195">
        <f ca="1">IF($C195-M$1&lt;År1,0,L194*(1-VLOOKUP($A195,[1]Hugst!$R$5:$W$9,MATCH(ROUNDUP((M$1)/10,0)*10,[1]Hugst!$R$4:$W$4,0))))</f>
        <v>0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0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>
        <f ca="1">IF($C196-G$1&lt;År1,0,F195*(1-VLOOKUP($A196,[1]Hugst!$R$5:$W$9,MATCH(ROUNDUP((G$1)/10,0)*10,[1]Hugst!$R$4:$W$4,0))))</f>
        <v>0</v>
      </c>
      <c r="H196">
        <f ca="1">IF($C196-H$1&lt;År1,0,G195*(1-VLOOKUP($A196,[1]Hugst!$R$5:$W$9,MATCH(ROUNDUP((H$1)/10,0)*10,[1]Hugst!$R$4:$W$4,0))))</f>
        <v>0</v>
      </c>
      <c r="I196">
        <f ca="1">IF($C196-I$1&lt;År1,0,H195*(1-VLOOKUP($A196,[1]Hugst!$R$5:$W$9,MATCH(ROUNDUP((I$1)/10,0)*10,[1]Hugst!$R$4:$W$4,0))))</f>
        <v>0</v>
      </c>
      <c r="J196">
        <f ca="1">IF($C196-J$1&lt;År1,0,I195*(1-VLOOKUP($A196,[1]Hugst!$R$5:$W$9,MATCH(ROUNDUP((J$1)/10,0)*10,[1]Hugst!$R$4:$W$4,0))))</f>
        <v>0</v>
      </c>
      <c r="K196">
        <f ca="1">IF($C196-K$1&lt;År1,0,J195*(1-VLOOKUP($A196,[1]Hugst!$R$5:$W$9,MATCH(ROUNDUP((K$1)/10,0)*10,[1]Hugst!$R$4:$W$4,0))))</f>
        <v>0</v>
      </c>
      <c r="L196">
        <f ca="1">IF($C196-L$1&lt;År1,0,K195*(1-VLOOKUP($A196,[1]Hugst!$R$5:$W$9,MATCH(ROUNDUP((L$1)/10,0)*10,[1]Hugst!$R$4:$W$4,0))))</f>
        <v>0</v>
      </c>
      <c r="M196">
        <f ca="1">IF($C196-M$1&lt;År1,0,L195*(1-VLOOKUP($A196,[1]Hugst!$R$5:$W$9,MATCH(ROUNDUP((M$1)/10,0)*10,[1]Hugst!$R$4:$W$4,0))))</f>
        <v>0</v>
      </c>
      <c r="N196">
        <f ca="1">IF($C196-N$1&lt;År1,0,M195*(1-VLOOKUP($A196,[1]Hugst!$R$5:$W$9,MATCH(ROUNDUP((N$1)/10,0)*10,[1]Hugst!$R$4:$W$4,0))))</f>
        <v>0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0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>
        <f ca="1">IF($C197-G$1&lt;År1,0,F196*(1-VLOOKUP($A197,[1]Hugst!$R$5:$W$9,MATCH(ROUNDUP((G$1)/10,0)*10,[1]Hugst!$R$4:$W$4,0))))</f>
        <v>0</v>
      </c>
      <c r="H197">
        <f ca="1">IF($C197-H$1&lt;År1,0,G196*(1-VLOOKUP($A197,[1]Hugst!$R$5:$W$9,MATCH(ROUNDUP((H$1)/10,0)*10,[1]Hugst!$R$4:$W$4,0))))</f>
        <v>0</v>
      </c>
      <c r="I197">
        <f ca="1">IF($C197-I$1&lt;År1,0,H196*(1-VLOOKUP($A197,[1]Hugst!$R$5:$W$9,MATCH(ROUNDUP((I$1)/10,0)*10,[1]Hugst!$R$4:$W$4,0))))</f>
        <v>0</v>
      </c>
      <c r="J197">
        <f ca="1">IF($C197-J$1&lt;År1,0,I196*(1-VLOOKUP($A197,[1]Hugst!$R$5:$W$9,MATCH(ROUNDUP((J$1)/10,0)*10,[1]Hugst!$R$4:$W$4,0))))</f>
        <v>0</v>
      </c>
      <c r="K197">
        <f ca="1">IF($C197-K$1&lt;År1,0,J196*(1-VLOOKUP($A197,[1]Hugst!$R$5:$W$9,MATCH(ROUNDUP((K$1)/10,0)*10,[1]Hugst!$R$4:$W$4,0))))</f>
        <v>0</v>
      </c>
      <c r="L197">
        <f ca="1">IF($C197-L$1&lt;År1,0,K196*(1-VLOOKUP($A197,[1]Hugst!$R$5:$W$9,MATCH(ROUNDUP((L$1)/10,0)*10,[1]Hugst!$R$4:$W$4,0))))</f>
        <v>0</v>
      </c>
      <c r="M197">
        <f ca="1">IF($C197-M$1&lt;År1,0,L196*(1-VLOOKUP($A197,[1]Hugst!$R$5:$W$9,MATCH(ROUNDUP((M$1)/10,0)*10,[1]Hugst!$R$4:$W$4,0))))</f>
        <v>0</v>
      </c>
      <c r="N197">
        <f ca="1">IF($C197-N$1&lt;År1,0,M196*(1-VLOOKUP($A197,[1]Hugst!$R$5:$W$9,MATCH(ROUNDUP((N$1)/10,0)*10,[1]Hugst!$R$4:$W$4,0))))</f>
        <v>0</v>
      </c>
      <c r="O197">
        <f ca="1">IF($C197-O$1&lt;År1,0,N196*(1-VLOOKUP($A197,[1]Hugst!$R$5:$W$9,MATCH(ROUNDUP((O$1)/10,0)*10,[1]Hugst!$R$4:$W$4,0))))</f>
        <v>0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0</v>
      </c>
      <c r="E198">
        <f t="shared" ca="1" si="4"/>
        <v>0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>
        <f ca="1">IF($C198-G$1&lt;År1,0,F197*(1-VLOOKUP($A198,[1]Hugst!$R$5:$W$9,MATCH(ROUNDUP((G$1)/10,0)*10,[1]Hugst!$R$4:$W$4,0))))</f>
        <v>0</v>
      </c>
      <c r="H198">
        <f ca="1">IF($C198-H$1&lt;År1,0,G197*(1-VLOOKUP($A198,[1]Hugst!$R$5:$W$9,MATCH(ROUNDUP((H$1)/10,0)*10,[1]Hugst!$R$4:$W$4,0))))</f>
        <v>0</v>
      </c>
      <c r="I198">
        <f ca="1">IF($C198-I$1&lt;År1,0,H197*(1-VLOOKUP($A198,[1]Hugst!$R$5:$W$9,MATCH(ROUNDUP((I$1)/10,0)*10,[1]Hugst!$R$4:$W$4,0))))</f>
        <v>0</v>
      </c>
      <c r="J198">
        <f ca="1">IF($C198-J$1&lt;År1,0,I197*(1-VLOOKUP($A198,[1]Hugst!$R$5:$W$9,MATCH(ROUNDUP((J$1)/10,0)*10,[1]Hugst!$R$4:$W$4,0))))</f>
        <v>0</v>
      </c>
      <c r="K198">
        <f ca="1">IF($C198-K$1&lt;År1,0,J197*(1-VLOOKUP($A198,[1]Hugst!$R$5:$W$9,MATCH(ROUNDUP((K$1)/10,0)*10,[1]Hugst!$R$4:$W$4,0))))</f>
        <v>0</v>
      </c>
      <c r="L198">
        <f ca="1">IF($C198-L$1&lt;År1,0,K197*(1-VLOOKUP($A198,[1]Hugst!$R$5:$W$9,MATCH(ROUNDUP((L$1)/10,0)*10,[1]Hugst!$R$4:$W$4,0))))</f>
        <v>0</v>
      </c>
      <c r="M198">
        <f ca="1">IF($C198-M$1&lt;År1,0,L197*(1-VLOOKUP($A198,[1]Hugst!$R$5:$W$9,MATCH(ROUNDUP((M$1)/10,0)*10,[1]Hugst!$R$4:$W$4,0))))</f>
        <v>0</v>
      </c>
      <c r="N198">
        <f ca="1">IF($C198-N$1&lt;År1,0,M197*(1-VLOOKUP($A198,[1]Hugst!$R$5:$W$9,MATCH(ROUNDUP((N$1)/10,0)*10,[1]Hugst!$R$4:$W$4,0))))</f>
        <v>0</v>
      </c>
      <c r="O198">
        <f ca="1">IF($C198-O$1&lt;År1,0,N197*(1-VLOOKUP($A198,[1]Hugst!$R$5:$W$9,MATCH(ROUNDUP((O$1)/10,0)*10,[1]Hugst!$R$4:$W$4,0))))</f>
        <v>0</v>
      </c>
      <c r="P198">
        <f ca="1">IF($C198-P$1&lt;År1,0,O197*(1-VLOOKUP($A198,[1]Hugst!$R$5:$W$9,MATCH(ROUNDUP((P$1)/10,0)*10,[1]Hugst!$R$4:$W$4,0))))</f>
        <v>0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0</v>
      </c>
      <c r="E199">
        <f t="shared" ca="1" si="4"/>
        <v>0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>
        <f ca="1">IF($C199-G$1&lt;År1,0,F198*(1-VLOOKUP($A199,[1]Hugst!$R$5:$W$9,MATCH(ROUNDUP((G$1)/10,0)*10,[1]Hugst!$R$4:$W$4,0))))</f>
        <v>0</v>
      </c>
      <c r="H199">
        <f ca="1">IF($C199-H$1&lt;År1,0,G198*(1-VLOOKUP($A199,[1]Hugst!$R$5:$W$9,MATCH(ROUNDUP((H$1)/10,0)*10,[1]Hugst!$R$4:$W$4,0))))</f>
        <v>0</v>
      </c>
      <c r="I199">
        <f ca="1">IF($C199-I$1&lt;År1,0,H198*(1-VLOOKUP($A199,[1]Hugst!$R$5:$W$9,MATCH(ROUNDUP((I$1)/10,0)*10,[1]Hugst!$R$4:$W$4,0))))</f>
        <v>0</v>
      </c>
      <c r="J199">
        <f ca="1">IF($C199-J$1&lt;År1,0,I198*(1-VLOOKUP($A199,[1]Hugst!$R$5:$W$9,MATCH(ROUNDUP((J$1)/10,0)*10,[1]Hugst!$R$4:$W$4,0))))</f>
        <v>0</v>
      </c>
      <c r="K199">
        <f ca="1">IF($C199-K$1&lt;År1,0,J198*(1-VLOOKUP($A199,[1]Hugst!$R$5:$W$9,MATCH(ROUNDUP((K$1)/10,0)*10,[1]Hugst!$R$4:$W$4,0))))</f>
        <v>0</v>
      </c>
      <c r="L199">
        <f ca="1">IF($C199-L$1&lt;År1,0,K198*(1-VLOOKUP($A199,[1]Hugst!$R$5:$W$9,MATCH(ROUNDUP((L$1)/10,0)*10,[1]Hugst!$R$4:$W$4,0))))</f>
        <v>0</v>
      </c>
      <c r="M199">
        <f ca="1">IF($C199-M$1&lt;År1,0,L198*(1-VLOOKUP($A199,[1]Hugst!$R$5:$W$9,MATCH(ROUNDUP((M$1)/10,0)*10,[1]Hugst!$R$4:$W$4,0))))</f>
        <v>0</v>
      </c>
      <c r="N199">
        <f ca="1">IF($C199-N$1&lt;År1,0,M198*(1-VLOOKUP($A199,[1]Hugst!$R$5:$W$9,MATCH(ROUNDUP((N$1)/10,0)*10,[1]Hugst!$R$4:$W$4,0))))</f>
        <v>0</v>
      </c>
      <c r="O199">
        <f ca="1">IF($C199-O$1&lt;År1,0,N198*(1-VLOOKUP($A199,[1]Hugst!$R$5:$W$9,MATCH(ROUNDUP((O$1)/10,0)*10,[1]Hugst!$R$4:$W$4,0))))</f>
        <v>0</v>
      </c>
      <c r="P199">
        <f ca="1">IF($C199-P$1&lt;År1,0,O198*(1-VLOOKUP($A199,[1]Hugst!$R$5:$W$9,MATCH(ROUNDUP((P$1)/10,0)*10,[1]Hugst!$R$4:$W$4,0))))</f>
        <v>0</v>
      </c>
      <c r="Q199">
        <f ca="1">IF($C199-Q$1&lt;År1,0,P198*(1-VLOOKUP($A199,[1]Hugst!$R$5:$W$9,MATCH(ROUNDUP((Q$1)/10,0)*10,[1]Hugst!$R$4:$W$4,0))))</f>
        <v>0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0</v>
      </c>
      <c r="E200">
        <f t="shared" ca="1" si="4"/>
        <v>0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>
        <f ca="1">IF($C200-G$1&lt;År1,0,F199*(1-VLOOKUP($A200,[1]Hugst!$R$5:$W$9,MATCH(ROUNDUP((G$1)/10,0)*10,[1]Hugst!$R$4:$W$4,0))))</f>
        <v>0</v>
      </c>
      <c r="H200">
        <f ca="1">IF($C200-H$1&lt;År1,0,G199*(1-VLOOKUP($A200,[1]Hugst!$R$5:$W$9,MATCH(ROUNDUP((H$1)/10,0)*10,[1]Hugst!$R$4:$W$4,0))))</f>
        <v>0</v>
      </c>
      <c r="I200">
        <f ca="1">IF($C200-I$1&lt;År1,0,H199*(1-VLOOKUP($A200,[1]Hugst!$R$5:$W$9,MATCH(ROUNDUP((I$1)/10,0)*10,[1]Hugst!$R$4:$W$4,0))))</f>
        <v>0</v>
      </c>
      <c r="J200">
        <f ca="1">IF($C200-J$1&lt;År1,0,I199*(1-VLOOKUP($A200,[1]Hugst!$R$5:$W$9,MATCH(ROUNDUP((J$1)/10,0)*10,[1]Hugst!$R$4:$W$4,0))))</f>
        <v>0</v>
      </c>
      <c r="K200">
        <f ca="1">IF($C200-K$1&lt;År1,0,J199*(1-VLOOKUP($A200,[1]Hugst!$R$5:$W$9,MATCH(ROUNDUP((K$1)/10,0)*10,[1]Hugst!$R$4:$W$4,0))))</f>
        <v>0</v>
      </c>
      <c r="L200">
        <f ca="1">IF($C200-L$1&lt;År1,0,K199*(1-VLOOKUP($A200,[1]Hugst!$R$5:$W$9,MATCH(ROUNDUP((L$1)/10,0)*10,[1]Hugst!$R$4:$W$4,0))))</f>
        <v>0</v>
      </c>
      <c r="M200">
        <f ca="1">IF($C200-M$1&lt;År1,0,L199*(1-VLOOKUP($A200,[1]Hugst!$R$5:$W$9,MATCH(ROUNDUP((M$1)/10,0)*10,[1]Hugst!$R$4:$W$4,0))))</f>
        <v>0</v>
      </c>
      <c r="N200">
        <f ca="1">IF($C200-N$1&lt;År1,0,M199*(1-VLOOKUP($A200,[1]Hugst!$R$5:$W$9,MATCH(ROUNDUP((N$1)/10,0)*10,[1]Hugst!$R$4:$W$4,0))))</f>
        <v>0</v>
      </c>
      <c r="O200">
        <f ca="1">IF($C200-O$1&lt;År1,0,N199*(1-VLOOKUP($A200,[1]Hugst!$R$5:$W$9,MATCH(ROUNDUP((O$1)/10,0)*10,[1]Hugst!$R$4:$W$4,0))))</f>
        <v>0</v>
      </c>
      <c r="P200">
        <f ca="1">IF($C200-P$1&lt;År1,0,O199*(1-VLOOKUP($A200,[1]Hugst!$R$5:$W$9,MATCH(ROUNDUP((P$1)/10,0)*10,[1]Hugst!$R$4:$W$4,0))))</f>
        <v>0</v>
      </c>
      <c r="Q200">
        <f ca="1">IF($C200-Q$1&lt;År1,0,P199*(1-VLOOKUP($A200,[1]Hugst!$R$5:$W$9,MATCH(ROUNDUP((Q$1)/10,0)*10,[1]Hugst!$R$4:$W$4,0))))</f>
        <v>0</v>
      </c>
      <c r="R200">
        <f ca="1">IF($C200-R$1&lt;År1,0,Q199*(1-VLOOKUP($A200,[1]Hugst!$R$5:$W$9,MATCH(ROUNDUP((R$1)/10,0)*10,[1]Hugst!$R$4:$W$4,0))))</f>
        <v>0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0</v>
      </c>
      <c r="E201">
        <f t="shared" ca="1" si="4"/>
        <v>0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>
        <f ca="1">IF($C201-G$1&lt;År1,0,F200*(1-VLOOKUP($A201,[1]Hugst!$R$5:$W$9,MATCH(ROUNDUP((G$1)/10,0)*10,[1]Hugst!$R$4:$W$4,0))))</f>
        <v>0</v>
      </c>
      <c r="H201">
        <f ca="1">IF($C201-H$1&lt;År1,0,G200*(1-VLOOKUP($A201,[1]Hugst!$R$5:$W$9,MATCH(ROUNDUP((H$1)/10,0)*10,[1]Hugst!$R$4:$W$4,0))))</f>
        <v>0</v>
      </c>
      <c r="I201">
        <f ca="1">IF($C201-I$1&lt;År1,0,H200*(1-VLOOKUP($A201,[1]Hugst!$R$5:$W$9,MATCH(ROUNDUP((I$1)/10,0)*10,[1]Hugst!$R$4:$W$4,0))))</f>
        <v>0</v>
      </c>
      <c r="J201">
        <f ca="1">IF($C201-J$1&lt;År1,0,I200*(1-VLOOKUP($A201,[1]Hugst!$R$5:$W$9,MATCH(ROUNDUP((J$1)/10,0)*10,[1]Hugst!$R$4:$W$4,0))))</f>
        <v>0</v>
      </c>
      <c r="K201">
        <f ca="1">IF($C201-K$1&lt;År1,0,J200*(1-VLOOKUP($A201,[1]Hugst!$R$5:$W$9,MATCH(ROUNDUP((K$1)/10,0)*10,[1]Hugst!$R$4:$W$4,0))))</f>
        <v>0</v>
      </c>
      <c r="L201">
        <f ca="1">IF($C201-L$1&lt;År1,0,K200*(1-VLOOKUP($A201,[1]Hugst!$R$5:$W$9,MATCH(ROUNDUP((L$1)/10,0)*10,[1]Hugst!$R$4:$W$4,0))))</f>
        <v>0</v>
      </c>
      <c r="M201">
        <f ca="1">IF($C201-M$1&lt;År1,0,L200*(1-VLOOKUP($A201,[1]Hugst!$R$5:$W$9,MATCH(ROUNDUP((M$1)/10,0)*10,[1]Hugst!$R$4:$W$4,0))))</f>
        <v>0</v>
      </c>
      <c r="N201">
        <f ca="1">IF($C201-N$1&lt;År1,0,M200*(1-VLOOKUP($A201,[1]Hugst!$R$5:$W$9,MATCH(ROUNDUP((N$1)/10,0)*10,[1]Hugst!$R$4:$W$4,0))))</f>
        <v>0</v>
      </c>
      <c r="O201">
        <f ca="1">IF($C201-O$1&lt;År1,0,N200*(1-VLOOKUP($A201,[1]Hugst!$R$5:$W$9,MATCH(ROUNDUP((O$1)/10,0)*10,[1]Hugst!$R$4:$W$4,0))))</f>
        <v>0</v>
      </c>
      <c r="P201">
        <f ca="1">IF($C201-P$1&lt;År1,0,O200*(1-VLOOKUP($A201,[1]Hugst!$R$5:$W$9,MATCH(ROUNDUP((P$1)/10,0)*10,[1]Hugst!$R$4:$W$4,0))))</f>
        <v>0</v>
      </c>
      <c r="Q201">
        <f ca="1">IF($C201-Q$1&lt;År1,0,P200*(1-VLOOKUP($A201,[1]Hugst!$R$5:$W$9,MATCH(ROUNDUP((Q$1)/10,0)*10,[1]Hugst!$R$4:$W$4,0))))</f>
        <v>0</v>
      </c>
      <c r="R201">
        <f ca="1">IF($C201-R$1&lt;År1,0,Q200*(1-VLOOKUP($A201,[1]Hugst!$R$5:$W$9,MATCH(ROUNDUP((R$1)/10,0)*10,[1]Hugst!$R$4:$W$4,0))))</f>
        <v>0</v>
      </c>
      <c r="S201">
        <f ca="1">IF($C201-S$1&lt;År1,0,R200*(1-VLOOKUP($A201,[1]Hugst!$R$5:$W$9,MATCH(ROUNDUP((S$1)/10,0)*10,[1]Hugst!$R$4:$W$4,0))))</f>
        <v>0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0</v>
      </c>
      <c r="E202">
        <f t="shared" ca="1" si="4"/>
        <v>0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>
        <f ca="1">IF($C202-G$1&lt;År1,0,F201*(1-VLOOKUP($A202,[1]Hugst!$R$5:$W$9,MATCH(ROUNDUP((G$1)/10,0)*10,[1]Hugst!$R$4:$W$4,0))))</f>
        <v>0</v>
      </c>
      <c r="H202">
        <f ca="1">IF($C202-H$1&lt;År1,0,G201*(1-VLOOKUP($A202,[1]Hugst!$R$5:$W$9,MATCH(ROUNDUP((H$1)/10,0)*10,[1]Hugst!$R$4:$W$4,0))))</f>
        <v>0</v>
      </c>
      <c r="I202">
        <f ca="1">IF($C202-I$1&lt;År1,0,H201*(1-VLOOKUP($A202,[1]Hugst!$R$5:$W$9,MATCH(ROUNDUP((I$1)/10,0)*10,[1]Hugst!$R$4:$W$4,0))))</f>
        <v>0</v>
      </c>
      <c r="J202">
        <f ca="1">IF($C202-J$1&lt;År1,0,I201*(1-VLOOKUP($A202,[1]Hugst!$R$5:$W$9,MATCH(ROUNDUP((J$1)/10,0)*10,[1]Hugst!$R$4:$W$4,0))))</f>
        <v>0</v>
      </c>
      <c r="K202">
        <f ca="1">IF($C202-K$1&lt;År1,0,J201*(1-VLOOKUP($A202,[1]Hugst!$R$5:$W$9,MATCH(ROUNDUP((K$1)/10,0)*10,[1]Hugst!$R$4:$W$4,0))))</f>
        <v>0</v>
      </c>
      <c r="L202">
        <f ca="1">IF($C202-L$1&lt;År1,0,K201*(1-VLOOKUP($A202,[1]Hugst!$R$5:$W$9,MATCH(ROUNDUP((L$1)/10,0)*10,[1]Hugst!$R$4:$W$4,0))))</f>
        <v>0</v>
      </c>
      <c r="M202">
        <f ca="1">IF($C202-M$1&lt;År1,0,L201*(1-VLOOKUP($A202,[1]Hugst!$R$5:$W$9,MATCH(ROUNDUP((M$1)/10,0)*10,[1]Hugst!$R$4:$W$4,0))))</f>
        <v>0</v>
      </c>
      <c r="N202">
        <f ca="1">IF($C202-N$1&lt;År1,0,M201*(1-VLOOKUP($A202,[1]Hugst!$R$5:$W$9,MATCH(ROUNDUP((N$1)/10,0)*10,[1]Hugst!$R$4:$W$4,0))))</f>
        <v>0</v>
      </c>
      <c r="O202">
        <f ca="1">IF($C202-O$1&lt;År1,0,N201*(1-VLOOKUP($A202,[1]Hugst!$R$5:$W$9,MATCH(ROUNDUP((O$1)/10,0)*10,[1]Hugst!$R$4:$W$4,0))))</f>
        <v>0</v>
      </c>
      <c r="P202">
        <f ca="1">IF($C202-P$1&lt;År1,0,O201*(1-VLOOKUP($A202,[1]Hugst!$R$5:$W$9,MATCH(ROUNDUP((P$1)/10,0)*10,[1]Hugst!$R$4:$W$4,0))))</f>
        <v>0</v>
      </c>
      <c r="Q202">
        <f ca="1">IF($C202-Q$1&lt;År1,0,P201*(1-VLOOKUP($A202,[1]Hugst!$R$5:$W$9,MATCH(ROUNDUP((Q$1)/10,0)*10,[1]Hugst!$R$4:$W$4,0))))</f>
        <v>0</v>
      </c>
      <c r="R202">
        <f ca="1">IF($C202-R$1&lt;År1,0,Q201*(1-VLOOKUP($A202,[1]Hugst!$R$5:$W$9,MATCH(ROUNDUP((R$1)/10,0)*10,[1]Hugst!$R$4:$W$4,0))))</f>
        <v>0</v>
      </c>
      <c r="S202">
        <f ca="1">IF($C202-S$1&lt;År1,0,R201*(1-VLOOKUP($A202,[1]Hugst!$R$5:$W$9,MATCH(ROUNDUP((S$1)/10,0)*10,[1]Hugst!$R$4:$W$4,0))))</f>
        <v>0</v>
      </c>
      <c r="T202">
        <f ca="1">IF($C202-T$1&lt;År1,0,S201*(1-VLOOKUP($A202,[1]Hugst!$R$5:$W$9,MATCH(ROUNDUP((T$1)/10,0)*10,[1]Hugst!$R$4:$W$4,0))))</f>
        <v>0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0</v>
      </c>
      <c r="E203">
        <f t="shared" ca="1" si="4"/>
        <v>0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>
        <f ca="1">IF($C203-G$1&lt;År1,0,F202*(1-VLOOKUP($A203,[1]Hugst!$R$5:$W$9,MATCH(ROUNDUP((G$1)/10,0)*10,[1]Hugst!$R$4:$W$4,0))))</f>
        <v>0</v>
      </c>
      <c r="H203">
        <f ca="1">IF($C203-H$1&lt;År1,0,G202*(1-VLOOKUP($A203,[1]Hugst!$R$5:$W$9,MATCH(ROUNDUP((H$1)/10,0)*10,[1]Hugst!$R$4:$W$4,0))))</f>
        <v>0</v>
      </c>
      <c r="I203">
        <f ca="1">IF($C203-I$1&lt;År1,0,H202*(1-VLOOKUP($A203,[1]Hugst!$R$5:$W$9,MATCH(ROUNDUP((I$1)/10,0)*10,[1]Hugst!$R$4:$W$4,0))))</f>
        <v>0</v>
      </c>
      <c r="J203">
        <f ca="1">IF($C203-J$1&lt;År1,0,I202*(1-VLOOKUP($A203,[1]Hugst!$R$5:$W$9,MATCH(ROUNDUP((J$1)/10,0)*10,[1]Hugst!$R$4:$W$4,0))))</f>
        <v>0</v>
      </c>
      <c r="K203">
        <f ca="1">IF($C203-K$1&lt;År1,0,J202*(1-VLOOKUP($A203,[1]Hugst!$R$5:$W$9,MATCH(ROUNDUP((K$1)/10,0)*10,[1]Hugst!$R$4:$W$4,0))))</f>
        <v>0</v>
      </c>
      <c r="L203">
        <f ca="1">IF($C203-L$1&lt;År1,0,K202*(1-VLOOKUP($A203,[1]Hugst!$R$5:$W$9,MATCH(ROUNDUP((L$1)/10,0)*10,[1]Hugst!$R$4:$W$4,0))))</f>
        <v>0</v>
      </c>
      <c r="M203">
        <f ca="1">IF($C203-M$1&lt;År1,0,L202*(1-VLOOKUP($A203,[1]Hugst!$R$5:$W$9,MATCH(ROUNDUP((M$1)/10,0)*10,[1]Hugst!$R$4:$W$4,0))))</f>
        <v>0</v>
      </c>
      <c r="N203">
        <f ca="1">IF($C203-N$1&lt;År1,0,M202*(1-VLOOKUP($A203,[1]Hugst!$R$5:$W$9,MATCH(ROUNDUP((N$1)/10,0)*10,[1]Hugst!$R$4:$W$4,0))))</f>
        <v>0</v>
      </c>
      <c r="O203">
        <f ca="1">IF($C203-O$1&lt;År1,0,N202*(1-VLOOKUP($A203,[1]Hugst!$R$5:$W$9,MATCH(ROUNDUP((O$1)/10,0)*10,[1]Hugst!$R$4:$W$4,0))))</f>
        <v>0</v>
      </c>
      <c r="P203">
        <f ca="1">IF($C203-P$1&lt;År1,0,O202*(1-VLOOKUP($A203,[1]Hugst!$R$5:$W$9,MATCH(ROUNDUP((P$1)/10,0)*10,[1]Hugst!$R$4:$W$4,0))))</f>
        <v>0</v>
      </c>
      <c r="Q203">
        <f ca="1">IF($C203-Q$1&lt;År1,0,P202*(1-VLOOKUP($A203,[1]Hugst!$R$5:$W$9,MATCH(ROUNDUP((Q$1)/10,0)*10,[1]Hugst!$R$4:$W$4,0))))</f>
        <v>0</v>
      </c>
      <c r="R203">
        <f ca="1">IF($C203-R$1&lt;År1,0,Q202*(1-VLOOKUP($A203,[1]Hugst!$R$5:$W$9,MATCH(ROUNDUP((R$1)/10,0)*10,[1]Hugst!$R$4:$W$4,0))))</f>
        <v>0</v>
      </c>
      <c r="S203">
        <f ca="1">IF($C203-S$1&lt;År1,0,R202*(1-VLOOKUP($A203,[1]Hugst!$R$5:$W$9,MATCH(ROUNDUP((S$1)/10,0)*10,[1]Hugst!$R$4:$W$4,0))))</f>
        <v>0</v>
      </c>
      <c r="T203">
        <f ca="1">IF($C203-T$1&lt;År1,0,S202*(1-VLOOKUP($A203,[1]Hugst!$R$5:$W$9,MATCH(ROUNDUP((T$1)/10,0)*10,[1]Hugst!$R$4:$W$4,0))))</f>
        <v>0</v>
      </c>
      <c r="U203">
        <f ca="1">IF($C203-U$1&lt;År1,0,T202*(1-VLOOKUP($A203,[1]Hugst!$R$5:$W$9,MATCH(ROUNDUP((U$1)/10,0)*10,[1]Hugst!$R$4:$W$4,0))))</f>
        <v>0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0</v>
      </c>
      <c r="E204">
        <f t="shared" ca="1" si="4"/>
        <v>0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>
        <f ca="1">IF($C204-G$1&lt;År1,0,F203*(1-VLOOKUP($A204,[1]Hugst!$R$5:$W$9,MATCH(ROUNDUP((G$1)/10,0)*10,[1]Hugst!$R$4:$W$4,0))))</f>
        <v>0</v>
      </c>
      <c r="H204">
        <f ca="1">IF($C204-H$1&lt;År1,0,G203*(1-VLOOKUP($A204,[1]Hugst!$R$5:$W$9,MATCH(ROUNDUP((H$1)/10,0)*10,[1]Hugst!$R$4:$W$4,0))))</f>
        <v>0</v>
      </c>
      <c r="I204">
        <f ca="1">IF($C204-I$1&lt;År1,0,H203*(1-VLOOKUP($A204,[1]Hugst!$R$5:$W$9,MATCH(ROUNDUP((I$1)/10,0)*10,[1]Hugst!$R$4:$W$4,0))))</f>
        <v>0</v>
      </c>
      <c r="J204">
        <f ca="1">IF($C204-J$1&lt;År1,0,I203*(1-VLOOKUP($A204,[1]Hugst!$R$5:$W$9,MATCH(ROUNDUP((J$1)/10,0)*10,[1]Hugst!$R$4:$W$4,0))))</f>
        <v>0</v>
      </c>
      <c r="K204">
        <f ca="1">IF($C204-K$1&lt;År1,0,J203*(1-VLOOKUP($A204,[1]Hugst!$R$5:$W$9,MATCH(ROUNDUP((K$1)/10,0)*10,[1]Hugst!$R$4:$W$4,0))))</f>
        <v>0</v>
      </c>
      <c r="L204">
        <f ca="1">IF($C204-L$1&lt;År1,0,K203*(1-VLOOKUP($A204,[1]Hugst!$R$5:$W$9,MATCH(ROUNDUP((L$1)/10,0)*10,[1]Hugst!$R$4:$W$4,0))))</f>
        <v>0</v>
      </c>
      <c r="M204">
        <f ca="1">IF($C204-M$1&lt;År1,0,L203*(1-VLOOKUP($A204,[1]Hugst!$R$5:$W$9,MATCH(ROUNDUP((M$1)/10,0)*10,[1]Hugst!$R$4:$W$4,0))))</f>
        <v>0</v>
      </c>
      <c r="N204">
        <f ca="1">IF($C204-N$1&lt;År1,0,M203*(1-VLOOKUP($A204,[1]Hugst!$R$5:$W$9,MATCH(ROUNDUP((N$1)/10,0)*10,[1]Hugst!$R$4:$W$4,0))))</f>
        <v>0</v>
      </c>
      <c r="O204">
        <f ca="1">IF($C204-O$1&lt;År1,0,N203*(1-VLOOKUP($A204,[1]Hugst!$R$5:$W$9,MATCH(ROUNDUP((O$1)/10,0)*10,[1]Hugst!$R$4:$W$4,0))))</f>
        <v>0</v>
      </c>
      <c r="P204">
        <f ca="1">IF($C204-P$1&lt;År1,0,O203*(1-VLOOKUP($A204,[1]Hugst!$R$5:$W$9,MATCH(ROUNDUP((P$1)/10,0)*10,[1]Hugst!$R$4:$W$4,0))))</f>
        <v>0</v>
      </c>
      <c r="Q204">
        <f ca="1">IF($C204-Q$1&lt;År1,0,P203*(1-VLOOKUP($A204,[1]Hugst!$R$5:$W$9,MATCH(ROUNDUP((Q$1)/10,0)*10,[1]Hugst!$R$4:$W$4,0))))</f>
        <v>0</v>
      </c>
      <c r="R204">
        <f ca="1">IF($C204-R$1&lt;År1,0,Q203*(1-VLOOKUP($A204,[1]Hugst!$R$5:$W$9,MATCH(ROUNDUP((R$1)/10,0)*10,[1]Hugst!$R$4:$W$4,0))))</f>
        <v>0</v>
      </c>
      <c r="S204">
        <f ca="1">IF($C204-S$1&lt;År1,0,R203*(1-VLOOKUP($A204,[1]Hugst!$R$5:$W$9,MATCH(ROUNDUP((S$1)/10,0)*10,[1]Hugst!$R$4:$W$4,0))))</f>
        <v>0</v>
      </c>
      <c r="T204">
        <f ca="1">IF($C204-T$1&lt;År1,0,S203*(1-VLOOKUP($A204,[1]Hugst!$R$5:$W$9,MATCH(ROUNDUP((T$1)/10,0)*10,[1]Hugst!$R$4:$W$4,0))))</f>
        <v>0</v>
      </c>
      <c r="U204">
        <f ca="1">IF($C204-U$1&lt;År1,0,T203*(1-VLOOKUP($A204,[1]Hugst!$R$5:$W$9,MATCH(ROUNDUP((U$1)/10,0)*10,[1]Hugst!$R$4:$W$4,0))))</f>
        <v>0</v>
      </c>
      <c r="V204">
        <f ca="1">IF($C204-V$1&lt;År1,0,U203*(1-VLOOKUP($A204,[1]Hugst!$R$5:$W$9,MATCH(ROUNDUP((V$1)/10,0)*10,[1]Hugst!$R$4:$W$4,0))))</f>
        <v>0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0</v>
      </c>
      <c r="E205">
        <f t="shared" ca="1" si="4"/>
        <v>0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>
        <f ca="1">IF($C205-G$1&lt;År1,0,F204*(1-VLOOKUP($A205,[1]Hugst!$R$5:$W$9,MATCH(ROUNDUP((G$1)/10,0)*10,[1]Hugst!$R$4:$W$4,0))))</f>
        <v>0</v>
      </c>
      <c r="H205">
        <f ca="1">IF($C205-H$1&lt;År1,0,G204*(1-VLOOKUP($A205,[1]Hugst!$R$5:$W$9,MATCH(ROUNDUP((H$1)/10,0)*10,[1]Hugst!$R$4:$W$4,0))))</f>
        <v>0</v>
      </c>
      <c r="I205">
        <f ca="1">IF($C205-I$1&lt;År1,0,H204*(1-VLOOKUP($A205,[1]Hugst!$R$5:$W$9,MATCH(ROUNDUP((I$1)/10,0)*10,[1]Hugst!$R$4:$W$4,0))))</f>
        <v>0</v>
      </c>
      <c r="J205">
        <f ca="1">IF($C205-J$1&lt;År1,0,I204*(1-VLOOKUP($A205,[1]Hugst!$R$5:$W$9,MATCH(ROUNDUP((J$1)/10,0)*10,[1]Hugst!$R$4:$W$4,0))))</f>
        <v>0</v>
      </c>
      <c r="K205">
        <f ca="1">IF($C205-K$1&lt;År1,0,J204*(1-VLOOKUP($A205,[1]Hugst!$R$5:$W$9,MATCH(ROUNDUP((K$1)/10,0)*10,[1]Hugst!$R$4:$W$4,0))))</f>
        <v>0</v>
      </c>
      <c r="L205">
        <f ca="1">IF($C205-L$1&lt;År1,0,K204*(1-VLOOKUP($A205,[1]Hugst!$R$5:$W$9,MATCH(ROUNDUP((L$1)/10,0)*10,[1]Hugst!$R$4:$W$4,0))))</f>
        <v>0</v>
      </c>
      <c r="M205">
        <f ca="1">IF($C205-M$1&lt;År1,0,L204*(1-VLOOKUP($A205,[1]Hugst!$R$5:$W$9,MATCH(ROUNDUP((M$1)/10,0)*10,[1]Hugst!$R$4:$W$4,0))))</f>
        <v>0</v>
      </c>
      <c r="N205">
        <f ca="1">IF($C205-N$1&lt;År1,0,M204*(1-VLOOKUP($A205,[1]Hugst!$R$5:$W$9,MATCH(ROUNDUP((N$1)/10,0)*10,[1]Hugst!$R$4:$W$4,0))))</f>
        <v>0</v>
      </c>
      <c r="O205">
        <f ca="1">IF($C205-O$1&lt;År1,0,N204*(1-VLOOKUP($A205,[1]Hugst!$R$5:$W$9,MATCH(ROUNDUP((O$1)/10,0)*10,[1]Hugst!$R$4:$W$4,0))))</f>
        <v>0</v>
      </c>
      <c r="P205">
        <f ca="1">IF($C205-P$1&lt;År1,0,O204*(1-VLOOKUP($A205,[1]Hugst!$R$5:$W$9,MATCH(ROUNDUP((P$1)/10,0)*10,[1]Hugst!$R$4:$W$4,0))))</f>
        <v>0</v>
      </c>
      <c r="Q205">
        <f ca="1">IF($C205-Q$1&lt;År1,0,P204*(1-VLOOKUP($A205,[1]Hugst!$R$5:$W$9,MATCH(ROUNDUP((Q$1)/10,0)*10,[1]Hugst!$R$4:$W$4,0))))</f>
        <v>0</v>
      </c>
      <c r="R205">
        <f ca="1">IF($C205-R$1&lt;År1,0,Q204*(1-VLOOKUP($A205,[1]Hugst!$R$5:$W$9,MATCH(ROUNDUP((R$1)/10,0)*10,[1]Hugst!$R$4:$W$4,0))))</f>
        <v>0</v>
      </c>
      <c r="S205">
        <f ca="1">IF($C205-S$1&lt;År1,0,R204*(1-VLOOKUP($A205,[1]Hugst!$R$5:$W$9,MATCH(ROUNDUP((S$1)/10,0)*10,[1]Hugst!$R$4:$W$4,0))))</f>
        <v>0</v>
      </c>
      <c r="T205">
        <f ca="1">IF($C205-T$1&lt;År1,0,S204*(1-VLOOKUP($A205,[1]Hugst!$R$5:$W$9,MATCH(ROUNDUP((T$1)/10,0)*10,[1]Hugst!$R$4:$W$4,0))))</f>
        <v>0</v>
      </c>
      <c r="U205">
        <f ca="1">IF($C205-U$1&lt;År1,0,T204*(1-VLOOKUP($A205,[1]Hugst!$R$5:$W$9,MATCH(ROUNDUP((U$1)/10,0)*10,[1]Hugst!$R$4:$W$4,0))))</f>
        <v>0</v>
      </c>
      <c r="V205">
        <f ca="1">IF($C205-V$1&lt;År1,0,U204*(1-VLOOKUP($A205,[1]Hugst!$R$5:$W$9,MATCH(ROUNDUP((V$1)/10,0)*10,[1]Hugst!$R$4:$W$4,0))))</f>
        <v>0</v>
      </c>
      <c r="W205">
        <f ca="1">IF($C205-W$1&lt;År1,0,V204*(1-VLOOKUP($A205,[1]Hugst!$R$5:$W$9,MATCH(ROUNDUP((W$1)/10,0)*10,[1]Hugst!$R$4:$W$4,0))))</f>
        <v>0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0</v>
      </c>
      <c r="E206">
        <f t="shared" ca="1" si="4"/>
        <v>0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>
        <f ca="1">IF($C206-G$1&lt;År1,0,F205*(1-VLOOKUP($A206,[1]Hugst!$R$5:$W$9,MATCH(ROUNDUP((G$1)/10,0)*10,[1]Hugst!$R$4:$W$4,0))))</f>
        <v>0</v>
      </c>
      <c r="H206">
        <f ca="1">IF($C206-H$1&lt;År1,0,G205*(1-VLOOKUP($A206,[1]Hugst!$R$5:$W$9,MATCH(ROUNDUP((H$1)/10,0)*10,[1]Hugst!$R$4:$W$4,0))))</f>
        <v>0</v>
      </c>
      <c r="I206">
        <f ca="1">IF($C206-I$1&lt;År1,0,H205*(1-VLOOKUP($A206,[1]Hugst!$R$5:$W$9,MATCH(ROUNDUP((I$1)/10,0)*10,[1]Hugst!$R$4:$W$4,0))))</f>
        <v>0</v>
      </c>
      <c r="J206">
        <f ca="1">IF($C206-J$1&lt;År1,0,I205*(1-VLOOKUP($A206,[1]Hugst!$R$5:$W$9,MATCH(ROUNDUP((J$1)/10,0)*10,[1]Hugst!$R$4:$W$4,0))))</f>
        <v>0</v>
      </c>
      <c r="K206">
        <f ca="1">IF($C206-K$1&lt;År1,0,J205*(1-VLOOKUP($A206,[1]Hugst!$R$5:$W$9,MATCH(ROUNDUP((K$1)/10,0)*10,[1]Hugst!$R$4:$W$4,0))))</f>
        <v>0</v>
      </c>
      <c r="L206">
        <f ca="1">IF($C206-L$1&lt;År1,0,K205*(1-VLOOKUP($A206,[1]Hugst!$R$5:$W$9,MATCH(ROUNDUP((L$1)/10,0)*10,[1]Hugst!$R$4:$W$4,0))))</f>
        <v>0</v>
      </c>
      <c r="M206">
        <f ca="1">IF($C206-M$1&lt;År1,0,L205*(1-VLOOKUP($A206,[1]Hugst!$R$5:$W$9,MATCH(ROUNDUP((M$1)/10,0)*10,[1]Hugst!$R$4:$W$4,0))))</f>
        <v>0</v>
      </c>
      <c r="N206">
        <f ca="1">IF($C206-N$1&lt;År1,0,M205*(1-VLOOKUP($A206,[1]Hugst!$R$5:$W$9,MATCH(ROUNDUP((N$1)/10,0)*10,[1]Hugst!$R$4:$W$4,0))))</f>
        <v>0</v>
      </c>
      <c r="O206">
        <f ca="1">IF($C206-O$1&lt;År1,0,N205*(1-VLOOKUP($A206,[1]Hugst!$R$5:$W$9,MATCH(ROUNDUP((O$1)/10,0)*10,[1]Hugst!$R$4:$W$4,0))))</f>
        <v>0</v>
      </c>
      <c r="P206">
        <f ca="1">IF($C206-P$1&lt;År1,0,O205*(1-VLOOKUP($A206,[1]Hugst!$R$5:$W$9,MATCH(ROUNDUP((P$1)/10,0)*10,[1]Hugst!$R$4:$W$4,0))))</f>
        <v>0</v>
      </c>
      <c r="Q206">
        <f ca="1">IF($C206-Q$1&lt;År1,0,P205*(1-VLOOKUP($A206,[1]Hugst!$R$5:$W$9,MATCH(ROUNDUP((Q$1)/10,0)*10,[1]Hugst!$R$4:$W$4,0))))</f>
        <v>0</v>
      </c>
      <c r="R206">
        <f ca="1">IF($C206-R$1&lt;År1,0,Q205*(1-VLOOKUP($A206,[1]Hugst!$R$5:$W$9,MATCH(ROUNDUP((R$1)/10,0)*10,[1]Hugst!$R$4:$W$4,0))))</f>
        <v>0</v>
      </c>
      <c r="S206">
        <f ca="1">IF($C206-S$1&lt;År1,0,R205*(1-VLOOKUP($A206,[1]Hugst!$R$5:$W$9,MATCH(ROUNDUP((S$1)/10,0)*10,[1]Hugst!$R$4:$W$4,0))))</f>
        <v>0</v>
      </c>
      <c r="T206">
        <f ca="1">IF($C206-T$1&lt;År1,0,S205*(1-VLOOKUP($A206,[1]Hugst!$R$5:$W$9,MATCH(ROUNDUP((T$1)/10,0)*10,[1]Hugst!$R$4:$W$4,0))))</f>
        <v>0</v>
      </c>
      <c r="U206">
        <f ca="1">IF($C206-U$1&lt;År1,0,T205*(1-VLOOKUP($A206,[1]Hugst!$R$5:$W$9,MATCH(ROUNDUP((U$1)/10,0)*10,[1]Hugst!$R$4:$W$4,0))))</f>
        <v>0</v>
      </c>
      <c r="V206">
        <f ca="1">IF($C206-V$1&lt;År1,0,U205*(1-VLOOKUP($A206,[1]Hugst!$R$5:$W$9,MATCH(ROUNDUP((V$1)/10,0)*10,[1]Hugst!$R$4:$W$4,0))))</f>
        <v>0</v>
      </c>
      <c r="W206">
        <f ca="1">IF($C206-W$1&lt;År1,0,V205*(1-VLOOKUP($A206,[1]Hugst!$R$5:$W$9,MATCH(ROUNDUP((W$1)/10,0)*10,[1]Hugst!$R$4:$W$4,0))))</f>
        <v>0</v>
      </c>
      <c r="X206">
        <f ca="1">IF($C206-X$1&lt;År1,0,W205*(1-VLOOKUP($A206,[1]Hugst!$R$5:$W$9,MATCH(ROUNDUP((X$1)/10,0)*10,[1]Hugst!$R$4:$W$4,0))))</f>
        <v>0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0</v>
      </c>
      <c r="E207">
        <f t="shared" ca="1" si="4"/>
        <v>0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>
        <f ca="1">IF($C207-G$1&lt;År1,0,F206*(1-VLOOKUP($A207,[1]Hugst!$R$5:$W$9,MATCH(ROUNDUP((G$1)/10,0)*10,[1]Hugst!$R$4:$W$4,0))))</f>
        <v>0</v>
      </c>
      <c r="H207">
        <f ca="1">IF($C207-H$1&lt;År1,0,G206*(1-VLOOKUP($A207,[1]Hugst!$R$5:$W$9,MATCH(ROUNDUP((H$1)/10,0)*10,[1]Hugst!$R$4:$W$4,0))))</f>
        <v>0</v>
      </c>
      <c r="I207">
        <f ca="1">IF($C207-I$1&lt;År1,0,H206*(1-VLOOKUP($A207,[1]Hugst!$R$5:$W$9,MATCH(ROUNDUP((I$1)/10,0)*10,[1]Hugst!$R$4:$W$4,0))))</f>
        <v>0</v>
      </c>
      <c r="J207">
        <f ca="1">IF($C207-J$1&lt;År1,0,I206*(1-VLOOKUP($A207,[1]Hugst!$R$5:$W$9,MATCH(ROUNDUP((J$1)/10,0)*10,[1]Hugst!$R$4:$W$4,0))))</f>
        <v>0</v>
      </c>
      <c r="K207">
        <f ca="1">IF($C207-K$1&lt;År1,0,J206*(1-VLOOKUP($A207,[1]Hugst!$R$5:$W$9,MATCH(ROUNDUP((K$1)/10,0)*10,[1]Hugst!$R$4:$W$4,0))))</f>
        <v>0</v>
      </c>
      <c r="L207">
        <f ca="1">IF($C207-L$1&lt;År1,0,K206*(1-VLOOKUP($A207,[1]Hugst!$R$5:$W$9,MATCH(ROUNDUP((L$1)/10,0)*10,[1]Hugst!$R$4:$W$4,0))))</f>
        <v>0</v>
      </c>
      <c r="M207">
        <f ca="1">IF($C207-M$1&lt;År1,0,L206*(1-VLOOKUP($A207,[1]Hugst!$R$5:$W$9,MATCH(ROUNDUP((M$1)/10,0)*10,[1]Hugst!$R$4:$W$4,0))))</f>
        <v>0</v>
      </c>
      <c r="N207">
        <f ca="1">IF($C207-N$1&lt;År1,0,M206*(1-VLOOKUP($A207,[1]Hugst!$R$5:$W$9,MATCH(ROUNDUP((N$1)/10,0)*10,[1]Hugst!$R$4:$W$4,0))))</f>
        <v>0</v>
      </c>
      <c r="O207">
        <f ca="1">IF($C207-O$1&lt;År1,0,N206*(1-VLOOKUP($A207,[1]Hugst!$R$5:$W$9,MATCH(ROUNDUP((O$1)/10,0)*10,[1]Hugst!$R$4:$W$4,0))))</f>
        <v>0</v>
      </c>
      <c r="P207">
        <f ca="1">IF($C207-P$1&lt;År1,0,O206*(1-VLOOKUP($A207,[1]Hugst!$R$5:$W$9,MATCH(ROUNDUP((P$1)/10,0)*10,[1]Hugst!$R$4:$W$4,0))))</f>
        <v>0</v>
      </c>
      <c r="Q207">
        <f ca="1">IF($C207-Q$1&lt;År1,0,P206*(1-VLOOKUP($A207,[1]Hugst!$R$5:$W$9,MATCH(ROUNDUP((Q$1)/10,0)*10,[1]Hugst!$R$4:$W$4,0))))</f>
        <v>0</v>
      </c>
      <c r="R207">
        <f ca="1">IF($C207-R$1&lt;År1,0,Q206*(1-VLOOKUP($A207,[1]Hugst!$R$5:$W$9,MATCH(ROUNDUP((R$1)/10,0)*10,[1]Hugst!$R$4:$W$4,0))))</f>
        <v>0</v>
      </c>
      <c r="S207">
        <f ca="1">IF($C207-S$1&lt;År1,0,R206*(1-VLOOKUP($A207,[1]Hugst!$R$5:$W$9,MATCH(ROUNDUP((S$1)/10,0)*10,[1]Hugst!$R$4:$W$4,0))))</f>
        <v>0</v>
      </c>
      <c r="T207">
        <f ca="1">IF($C207-T$1&lt;År1,0,S206*(1-VLOOKUP($A207,[1]Hugst!$R$5:$W$9,MATCH(ROUNDUP((T$1)/10,0)*10,[1]Hugst!$R$4:$W$4,0))))</f>
        <v>0</v>
      </c>
      <c r="U207">
        <f ca="1">IF($C207-U$1&lt;År1,0,T206*(1-VLOOKUP($A207,[1]Hugst!$R$5:$W$9,MATCH(ROUNDUP((U$1)/10,0)*10,[1]Hugst!$R$4:$W$4,0))))</f>
        <v>0</v>
      </c>
      <c r="V207">
        <f ca="1">IF($C207-V$1&lt;År1,0,U206*(1-VLOOKUP($A207,[1]Hugst!$R$5:$W$9,MATCH(ROUNDUP((V$1)/10,0)*10,[1]Hugst!$R$4:$W$4,0))))</f>
        <v>0</v>
      </c>
      <c r="W207">
        <f ca="1">IF($C207-W$1&lt;År1,0,V206*(1-VLOOKUP($A207,[1]Hugst!$R$5:$W$9,MATCH(ROUNDUP((W$1)/10,0)*10,[1]Hugst!$R$4:$W$4,0))))</f>
        <v>0</v>
      </c>
      <c r="X207">
        <f ca="1">IF($C207-X$1&lt;År1,0,W206*(1-VLOOKUP($A207,[1]Hugst!$R$5:$W$9,MATCH(ROUNDUP((X$1)/10,0)*10,[1]Hugst!$R$4:$W$4,0))))</f>
        <v>0</v>
      </c>
      <c r="Y207">
        <f ca="1">IF($C207-Y$1&lt;År1,0,X206*(1-VLOOKUP($A207,[1]Hugst!$R$5:$W$9,MATCH(ROUNDUP((Y$1)/10,0)*10,[1]Hugst!$R$4:$W$4,0))))</f>
        <v>0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0</v>
      </c>
      <c r="E208">
        <f t="shared" ca="1" si="4"/>
        <v>0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>
        <f ca="1">IF($C208-G$1&lt;År1,0,F207*(1-VLOOKUP($A208,[1]Hugst!$R$5:$W$9,MATCH(ROUNDUP((G$1)/10,0)*10,[1]Hugst!$R$4:$W$4,0))))</f>
        <v>0</v>
      </c>
      <c r="H208">
        <f ca="1">IF($C208-H$1&lt;År1,0,G207*(1-VLOOKUP($A208,[1]Hugst!$R$5:$W$9,MATCH(ROUNDUP((H$1)/10,0)*10,[1]Hugst!$R$4:$W$4,0))))</f>
        <v>0</v>
      </c>
      <c r="I208">
        <f ca="1">IF($C208-I$1&lt;År1,0,H207*(1-VLOOKUP($A208,[1]Hugst!$R$5:$W$9,MATCH(ROUNDUP((I$1)/10,0)*10,[1]Hugst!$R$4:$W$4,0))))</f>
        <v>0</v>
      </c>
      <c r="J208">
        <f ca="1">IF($C208-J$1&lt;År1,0,I207*(1-VLOOKUP($A208,[1]Hugst!$R$5:$W$9,MATCH(ROUNDUP((J$1)/10,0)*10,[1]Hugst!$R$4:$W$4,0))))</f>
        <v>0</v>
      </c>
      <c r="K208">
        <f ca="1">IF($C208-K$1&lt;År1,0,J207*(1-VLOOKUP($A208,[1]Hugst!$R$5:$W$9,MATCH(ROUNDUP((K$1)/10,0)*10,[1]Hugst!$R$4:$W$4,0))))</f>
        <v>0</v>
      </c>
      <c r="L208">
        <f ca="1">IF($C208-L$1&lt;År1,0,K207*(1-VLOOKUP($A208,[1]Hugst!$R$5:$W$9,MATCH(ROUNDUP((L$1)/10,0)*10,[1]Hugst!$R$4:$W$4,0))))</f>
        <v>0</v>
      </c>
      <c r="M208">
        <f ca="1">IF($C208-M$1&lt;År1,0,L207*(1-VLOOKUP($A208,[1]Hugst!$R$5:$W$9,MATCH(ROUNDUP((M$1)/10,0)*10,[1]Hugst!$R$4:$W$4,0))))</f>
        <v>0</v>
      </c>
      <c r="N208">
        <f ca="1">IF($C208-N$1&lt;År1,0,M207*(1-VLOOKUP($A208,[1]Hugst!$R$5:$W$9,MATCH(ROUNDUP((N$1)/10,0)*10,[1]Hugst!$R$4:$W$4,0))))</f>
        <v>0</v>
      </c>
      <c r="O208">
        <f ca="1">IF($C208-O$1&lt;År1,0,N207*(1-VLOOKUP($A208,[1]Hugst!$R$5:$W$9,MATCH(ROUNDUP((O$1)/10,0)*10,[1]Hugst!$R$4:$W$4,0))))</f>
        <v>0</v>
      </c>
      <c r="P208">
        <f ca="1">IF($C208-P$1&lt;År1,0,O207*(1-VLOOKUP($A208,[1]Hugst!$R$5:$W$9,MATCH(ROUNDUP((P$1)/10,0)*10,[1]Hugst!$R$4:$W$4,0))))</f>
        <v>0</v>
      </c>
      <c r="Q208">
        <f ca="1">IF($C208-Q$1&lt;År1,0,P207*(1-VLOOKUP($A208,[1]Hugst!$R$5:$W$9,MATCH(ROUNDUP((Q$1)/10,0)*10,[1]Hugst!$R$4:$W$4,0))))</f>
        <v>0</v>
      </c>
      <c r="R208">
        <f ca="1">IF($C208-R$1&lt;År1,0,Q207*(1-VLOOKUP($A208,[1]Hugst!$R$5:$W$9,MATCH(ROUNDUP((R$1)/10,0)*10,[1]Hugst!$R$4:$W$4,0))))</f>
        <v>0</v>
      </c>
      <c r="S208">
        <f ca="1">IF($C208-S$1&lt;År1,0,R207*(1-VLOOKUP($A208,[1]Hugst!$R$5:$W$9,MATCH(ROUNDUP((S$1)/10,0)*10,[1]Hugst!$R$4:$W$4,0))))</f>
        <v>0</v>
      </c>
      <c r="T208">
        <f ca="1">IF($C208-T$1&lt;År1,0,S207*(1-VLOOKUP($A208,[1]Hugst!$R$5:$W$9,MATCH(ROUNDUP((T$1)/10,0)*10,[1]Hugst!$R$4:$W$4,0))))</f>
        <v>0</v>
      </c>
      <c r="U208">
        <f ca="1">IF($C208-U$1&lt;År1,0,T207*(1-VLOOKUP($A208,[1]Hugst!$R$5:$W$9,MATCH(ROUNDUP((U$1)/10,0)*10,[1]Hugst!$R$4:$W$4,0))))</f>
        <v>0</v>
      </c>
      <c r="V208">
        <f ca="1">IF($C208-V$1&lt;År1,0,U207*(1-VLOOKUP($A208,[1]Hugst!$R$5:$W$9,MATCH(ROUNDUP((V$1)/10,0)*10,[1]Hugst!$R$4:$W$4,0))))</f>
        <v>0</v>
      </c>
      <c r="W208">
        <f ca="1">IF($C208-W$1&lt;År1,0,V207*(1-VLOOKUP($A208,[1]Hugst!$R$5:$W$9,MATCH(ROUNDUP((W$1)/10,0)*10,[1]Hugst!$R$4:$W$4,0))))</f>
        <v>0</v>
      </c>
      <c r="X208">
        <f ca="1">IF($C208-X$1&lt;År1,0,W207*(1-VLOOKUP($A208,[1]Hugst!$R$5:$W$9,MATCH(ROUNDUP((X$1)/10,0)*10,[1]Hugst!$R$4:$W$4,0))))</f>
        <v>0</v>
      </c>
      <c r="Y208">
        <f ca="1">IF($C208-Y$1&lt;År1,0,X207*(1-VLOOKUP($A208,[1]Hugst!$R$5:$W$9,MATCH(ROUNDUP((Y$1)/10,0)*10,[1]Hugst!$R$4:$W$4,0))))</f>
        <v>0</v>
      </c>
      <c r="Z208">
        <f ca="1">IF($C208-Z$1&lt;År1,0,Y207*(1-VLOOKUP($A208,[1]Hugst!$R$5:$W$9,MATCH(ROUNDUP((Z$1)/10,0)*10,[1]Hugst!$R$4:$W$4,0))))</f>
        <v>0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0</v>
      </c>
      <c r="E209">
        <f t="shared" ca="1" si="4"/>
        <v>0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>
        <f ca="1">IF($C209-G$1&lt;År1,0,F208*(1-VLOOKUP($A209,[1]Hugst!$R$5:$W$9,MATCH(ROUNDUP((G$1)/10,0)*10,[1]Hugst!$R$4:$W$4,0))))</f>
        <v>0</v>
      </c>
      <c r="H209">
        <f ca="1">IF($C209-H$1&lt;År1,0,G208*(1-VLOOKUP($A209,[1]Hugst!$R$5:$W$9,MATCH(ROUNDUP((H$1)/10,0)*10,[1]Hugst!$R$4:$W$4,0))))</f>
        <v>0</v>
      </c>
      <c r="I209">
        <f ca="1">IF($C209-I$1&lt;År1,0,H208*(1-VLOOKUP($A209,[1]Hugst!$R$5:$W$9,MATCH(ROUNDUP((I$1)/10,0)*10,[1]Hugst!$R$4:$W$4,0))))</f>
        <v>0</v>
      </c>
      <c r="J209">
        <f ca="1">IF($C209-J$1&lt;År1,0,I208*(1-VLOOKUP($A209,[1]Hugst!$R$5:$W$9,MATCH(ROUNDUP((J$1)/10,0)*10,[1]Hugst!$R$4:$W$4,0))))</f>
        <v>0</v>
      </c>
      <c r="K209">
        <f ca="1">IF($C209-K$1&lt;År1,0,J208*(1-VLOOKUP($A209,[1]Hugst!$R$5:$W$9,MATCH(ROUNDUP((K$1)/10,0)*10,[1]Hugst!$R$4:$W$4,0))))</f>
        <v>0</v>
      </c>
      <c r="L209">
        <f ca="1">IF($C209-L$1&lt;År1,0,K208*(1-VLOOKUP($A209,[1]Hugst!$R$5:$W$9,MATCH(ROUNDUP((L$1)/10,0)*10,[1]Hugst!$R$4:$W$4,0))))</f>
        <v>0</v>
      </c>
      <c r="M209">
        <f ca="1">IF($C209-M$1&lt;År1,0,L208*(1-VLOOKUP($A209,[1]Hugst!$R$5:$W$9,MATCH(ROUNDUP((M$1)/10,0)*10,[1]Hugst!$R$4:$W$4,0))))</f>
        <v>0</v>
      </c>
      <c r="N209">
        <f ca="1">IF($C209-N$1&lt;År1,0,M208*(1-VLOOKUP($A209,[1]Hugst!$R$5:$W$9,MATCH(ROUNDUP((N$1)/10,0)*10,[1]Hugst!$R$4:$W$4,0))))</f>
        <v>0</v>
      </c>
      <c r="O209">
        <f ca="1">IF($C209-O$1&lt;År1,0,N208*(1-VLOOKUP($A209,[1]Hugst!$R$5:$W$9,MATCH(ROUNDUP((O$1)/10,0)*10,[1]Hugst!$R$4:$W$4,0))))</f>
        <v>0</v>
      </c>
      <c r="P209">
        <f ca="1">IF($C209-P$1&lt;År1,0,O208*(1-VLOOKUP($A209,[1]Hugst!$R$5:$W$9,MATCH(ROUNDUP((P$1)/10,0)*10,[1]Hugst!$R$4:$W$4,0))))</f>
        <v>0</v>
      </c>
      <c r="Q209">
        <f ca="1">IF($C209-Q$1&lt;År1,0,P208*(1-VLOOKUP($A209,[1]Hugst!$R$5:$W$9,MATCH(ROUNDUP((Q$1)/10,0)*10,[1]Hugst!$R$4:$W$4,0))))</f>
        <v>0</v>
      </c>
      <c r="R209">
        <f ca="1">IF($C209-R$1&lt;År1,0,Q208*(1-VLOOKUP($A209,[1]Hugst!$R$5:$W$9,MATCH(ROUNDUP((R$1)/10,0)*10,[1]Hugst!$R$4:$W$4,0))))</f>
        <v>0</v>
      </c>
      <c r="S209">
        <f ca="1">IF($C209-S$1&lt;År1,0,R208*(1-VLOOKUP($A209,[1]Hugst!$R$5:$W$9,MATCH(ROUNDUP((S$1)/10,0)*10,[1]Hugst!$R$4:$W$4,0))))</f>
        <v>0</v>
      </c>
      <c r="T209">
        <f ca="1">IF($C209-T$1&lt;År1,0,S208*(1-VLOOKUP($A209,[1]Hugst!$R$5:$W$9,MATCH(ROUNDUP((T$1)/10,0)*10,[1]Hugst!$R$4:$W$4,0))))</f>
        <v>0</v>
      </c>
      <c r="U209">
        <f ca="1">IF($C209-U$1&lt;År1,0,T208*(1-VLOOKUP($A209,[1]Hugst!$R$5:$W$9,MATCH(ROUNDUP((U$1)/10,0)*10,[1]Hugst!$R$4:$W$4,0))))</f>
        <v>0</v>
      </c>
      <c r="V209">
        <f ca="1">IF($C209-V$1&lt;År1,0,U208*(1-VLOOKUP($A209,[1]Hugst!$R$5:$W$9,MATCH(ROUNDUP((V$1)/10,0)*10,[1]Hugst!$R$4:$W$4,0))))</f>
        <v>0</v>
      </c>
      <c r="W209">
        <f ca="1">IF($C209-W$1&lt;År1,0,V208*(1-VLOOKUP($A209,[1]Hugst!$R$5:$W$9,MATCH(ROUNDUP((W$1)/10,0)*10,[1]Hugst!$R$4:$W$4,0))))</f>
        <v>0</v>
      </c>
      <c r="X209">
        <f ca="1">IF($C209-X$1&lt;År1,0,W208*(1-VLOOKUP($A209,[1]Hugst!$R$5:$W$9,MATCH(ROUNDUP((X$1)/10,0)*10,[1]Hugst!$R$4:$W$4,0))))</f>
        <v>0</v>
      </c>
      <c r="Y209">
        <f ca="1">IF($C209-Y$1&lt;År1,0,X208*(1-VLOOKUP($A209,[1]Hugst!$R$5:$W$9,MATCH(ROUNDUP((Y$1)/10,0)*10,[1]Hugst!$R$4:$W$4,0))))</f>
        <v>0</v>
      </c>
      <c r="Z209">
        <f ca="1">IF($C209-Z$1&lt;År1,0,Y208*(1-VLOOKUP($A209,[1]Hugst!$R$5:$W$9,MATCH(ROUNDUP((Z$1)/10,0)*10,[1]Hugst!$R$4:$W$4,0))))</f>
        <v>0</v>
      </c>
      <c r="AA209">
        <f ca="1">IF($C209-AA$1&lt;År1,0,Z208*(1-VLOOKUP($A209,[1]Hugst!$R$5:$W$9,MATCH(ROUNDUP((AA$1)/10,0)*10,[1]Hugst!$R$4:$W$4,0))))</f>
        <v>0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0</v>
      </c>
      <c r="E210">
        <f t="shared" ca="1" si="4"/>
        <v>0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>
        <f ca="1">IF($C210-G$1&lt;År1,0,F209*(1-VLOOKUP($A210,[1]Hugst!$R$5:$W$9,MATCH(ROUNDUP((G$1)/10,0)*10,[1]Hugst!$R$4:$W$4,0))))</f>
        <v>0</v>
      </c>
      <c r="H210">
        <f ca="1">IF($C210-H$1&lt;År1,0,G209*(1-VLOOKUP($A210,[1]Hugst!$R$5:$W$9,MATCH(ROUNDUP((H$1)/10,0)*10,[1]Hugst!$R$4:$W$4,0))))</f>
        <v>0</v>
      </c>
      <c r="I210">
        <f ca="1">IF($C210-I$1&lt;År1,0,H209*(1-VLOOKUP($A210,[1]Hugst!$R$5:$W$9,MATCH(ROUNDUP((I$1)/10,0)*10,[1]Hugst!$R$4:$W$4,0))))</f>
        <v>0</v>
      </c>
      <c r="J210">
        <f ca="1">IF($C210-J$1&lt;År1,0,I209*(1-VLOOKUP($A210,[1]Hugst!$R$5:$W$9,MATCH(ROUNDUP((J$1)/10,0)*10,[1]Hugst!$R$4:$W$4,0))))</f>
        <v>0</v>
      </c>
      <c r="K210">
        <f ca="1">IF($C210-K$1&lt;År1,0,J209*(1-VLOOKUP($A210,[1]Hugst!$R$5:$W$9,MATCH(ROUNDUP((K$1)/10,0)*10,[1]Hugst!$R$4:$W$4,0))))</f>
        <v>0</v>
      </c>
      <c r="L210">
        <f ca="1">IF($C210-L$1&lt;År1,0,K209*(1-VLOOKUP($A210,[1]Hugst!$R$5:$W$9,MATCH(ROUNDUP((L$1)/10,0)*10,[1]Hugst!$R$4:$W$4,0))))</f>
        <v>0</v>
      </c>
      <c r="M210">
        <f ca="1">IF($C210-M$1&lt;År1,0,L209*(1-VLOOKUP($A210,[1]Hugst!$R$5:$W$9,MATCH(ROUNDUP((M$1)/10,0)*10,[1]Hugst!$R$4:$W$4,0))))</f>
        <v>0</v>
      </c>
      <c r="N210">
        <f ca="1">IF($C210-N$1&lt;År1,0,M209*(1-VLOOKUP($A210,[1]Hugst!$R$5:$W$9,MATCH(ROUNDUP((N$1)/10,0)*10,[1]Hugst!$R$4:$W$4,0))))</f>
        <v>0</v>
      </c>
      <c r="O210">
        <f ca="1">IF($C210-O$1&lt;År1,0,N209*(1-VLOOKUP($A210,[1]Hugst!$R$5:$W$9,MATCH(ROUNDUP((O$1)/10,0)*10,[1]Hugst!$R$4:$W$4,0))))</f>
        <v>0</v>
      </c>
      <c r="P210">
        <f ca="1">IF($C210-P$1&lt;År1,0,O209*(1-VLOOKUP($A210,[1]Hugst!$R$5:$W$9,MATCH(ROUNDUP((P$1)/10,0)*10,[1]Hugst!$R$4:$W$4,0))))</f>
        <v>0</v>
      </c>
      <c r="Q210">
        <f ca="1">IF($C210-Q$1&lt;År1,0,P209*(1-VLOOKUP($A210,[1]Hugst!$R$5:$W$9,MATCH(ROUNDUP((Q$1)/10,0)*10,[1]Hugst!$R$4:$W$4,0))))</f>
        <v>0</v>
      </c>
      <c r="R210">
        <f ca="1">IF($C210-R$1&lt;År1,0,Q209*(1-VLOOKUP($A210,[1]Hugst!$R$5:$W$9,MATCH(ROUNDUP((R$1)/10,0)*10,[1]Hugst!$R$4:$W$4,0))))</f>
        <v>0</v>
      </c>
      <c r="S210">
        <f ca="1">IF($C210-S$1&lt;År1,0,R209*(1-VLOOKUP($A210,[1]Hugst!$R$5:$W$9,MATCH(ROUNDUP((S$1)/10,0)*10,[1]Hugst!$R$4:$W$4,0))))</f>
        <v>0</v>
      </c>
      <c r="T210">
        <f ca="1">IF($C210-T$1&lt;År1,0,S209*(1-VLOOKUP($A210,[1]Hugst!$R$5:$W$9,MATCH(ROUNDUP((T$1)/10,0)*10,[1]Hugst!$R$4:$W$4,0))))</f>
        <v>0</v>
      </c>
      <c r="U210">
        <f ca="1">IF($C210-U$1&lt;År1,0,T209*(1-VLOOKUP($A210,[1]Hugst!$R$5:$W$9,MATCH(ROUNDUP((U$1)/10,0)*10,[1]Hugst!$R$4:$W$4,0))))</f>
        <v>0</v>
      </c>
      <c r="V210">
        <f ca="1">IF($C210-V$1&lt;År1,0,U209*(1-VLOOKUP($A210,[1]Hugst!$R$5:$W$9,MATCH(ROUNDUP((V$1)/10,0)*10,[1]Hugst!$R$4:$W$4,0))))</f>
        <v>0</v>
      </c>
      <c r="W210">
        <f ca="1">IF($C210-W$1&lt;År1,0,V209*(1-VLOOKUP($A210,[1]Hugst!$R$5:$W$9,MATCH(ROUNDUP((W$1)/10,0)*10,[1]Hugst!$R$4:$W$4,0))))</f>
        <v>0</v>
      </c>
      <c r="X210">
        <f ca="1">IF($C210-X$1&lt;År1,0,W209*(1-VLOOKUP($A210,[1]Hugst!$R$5:$W$9,MATCH(ROUNDUP((X$1)/10,0)*10,[1]Hugst!$R$4:$W$4,0))))</f>
        <v>0</v>
      </c>
      <c r="Y210">
        <f ca="1">IF($C210-Y$1&lt;År1,0,X209*(1-VLOOKUP($A210,[1]Hugst!$R$5:$W$9,MATCH(ROUNDUP((Y$1)/10,0)*10,[1]Hugst!$R$4:$W$4,0))))</f>
        <v>0</v>
      </c>
      <c r="Z210">
        <f ca="1">IF($C210-Z$1&lt;År1,0,Y209*(1-VLOOKUP($A210,[1]Hugst!$R$5:$W$9,MATCH(ROUNDUP((Z$1)/10,0)*10,[1]Hugst!$R$4:$W$4,0))))</f>
        <v>0</v>
      </c>
      <c r="AA210">
        <f ca="1">IF($C210-AA$1&lt;År1,0,Z209*(1-VLOOKUP($A210,[1]Hugst!$R$5:$W$9,MATCH(ROUNDUP((AA$1)/10,0)*10,[1]Hugst!$R$4:$W$4,0))))</f>
        <v>0</v>
      </c>
      <c r="AB210">
        <f ca="1">IF($C210-AB$1&lt;År1,0,AA209*(1-VLOOKUP($A210,[1]Hugst!$R$5:$W$9,MATCH(ROUNDUP((AB$1)/10,0)*10,[1]Hugst!$R$4:$W$4,0))))</f>
        <v>0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0</v>
      </c>
      <c r="E211">
        <f t="shared" ca="1" si="4"/>
        <v>0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>
        <f ca="1">IF($C211-G$1&lt;År1,0,F210*(1-VLOOKUP($A211,[1]Hugst!$R$5:$W$9,MATCH(ROUNDUP((G$1)/10,0)*10,[1]Hugst!$R$4:$W$4,0))))</f>
        <v>0</v>
      </c>
      <c r="H211">
        <f ca="1">IF($C211-H$1&lt;År1,0,G210*(1-VLOOKUP($A211,[1]Hugst!$R$5:$W$9,MATCH(ROUNDUP((H$1)/10,0)*10,[1]Hugst!$R$4:$W$4,0))))</f>
        <v>0</v>
      </c>
      <c r="I211">
        <f ca="1">IF($C211-I$1&lt;År1,0,H210*(1-VLOOKUP($A211,[1]Hugst!$R$5:$W$9,MATCH(ROUNDUP((I$1)/10,0)*10,[1]Hugst!$R$4:$W$4,0))))</f>
        <v>0</v>
      </c>
      <c r="J211">
        <f ca="1">IF($C211-J$1&lt;År1,0,I210*(1-VLOOKUP($A211,[1]Hugst!$R$5:$W$9,MATCH(ROUNDUP((J$1)/10,0)*10,[1]Hugst!$R$4:$W$4,0))))</f>
        <v>0</v>
      </c>
      <c r="K211">
        <f ca="1">IF($C211-K$1&lt;År1,0,J210*(1-VLOOKUP($A211,[1]Hugst!$R$5:$W$9,MATCH(ROUNDUP((K$1)/10,0)*10,[1]Hugst!$R$4:$W$4,0))))</f>
        <v>0</v>
      </c>
      <c r="L211">
        <f ca="1">IF($C211-L$1&lt;År1,0,K210*(1-VLOOKUP($A211,[1]Hugst!$R$5:$W$9,MATCH(ROUNDUP((L$1)/10,0)*10,[1]Hugst!$R$4:$W$4,0))))</f>
        <v>0</v>
      </c>
      <c r="M211">
        <f ca="1">IF($C211-M$1&lt;År1,0,L210*(1-VLOOKUP($A211,[1]Hugst!$R$5:$W$9,MATCH(ROUNDUP((M$1)/10,0)*10,[1]Hugst!$R$4:$W$4,0))))</f>
        <v>0</v>
      </c>
      <c r="N211">
        <f ca="1">IF($C211-N$1&lt;År1,0,M210*(1-VLOOKUP($A211,[1]Hugst!$R$5:$W$9,MATCH(ROUNDUP((N$1)/10,0)*10,[1]Hugst!$R$4:$W$4,0))))</f>
        <v>0</v>
      </c>
      <c r="O211">
        <f ca="1">IF($C211-O$1&lt;År1,0,N210*(1-VLOOKUP($A211,[1]Hugst!$R$5:$W$9,MATCH(ROUNDUP((O$1)/10,0)*10,[1]Hugst!$R$4:$W$4,0))))</f>
        <v>0</v>
      </c>
      <c r="P211">
        <f ca="1">IF($C211-P$1&lt;År1,0,O210*(1-VLOOKUP($A211,[1]Hugst!$R$5:$W$9,MATCH(ROUNDUP((P$1)/10,0)*10,[1]Hugst!$R$4:$W$4,0))))</f>
        <v>0</v>
      </c>
      <c r="Q211">
        <f ca="1">IF($C211-Q$1&lt;År1,0,P210*(1-VLOOKUP($A211,[1]Hugst!$R$5:$W$9,MATCH(ROUNDUP((Q$1)/10,0)*10,[1]Hugst!$R$4:$W$4,0))))</f>
        <v>0</v>
      </c>
      <c r="R211">
        <f ca="1">IF($C211-R$1&lt;År1,0,Q210*(1-VLOOKUP($A211,[1]Hugst!$R$5:$W$9,MATCH(ROUNDUP((R$1)/10,0)*10,[1]Hugst!$R$4:$W$4,0))))</f>
        <v>0</v>
      </c>
      <c r="S211">
        <f ca="1">IF($C211-S$1&lt;År1,0,R210*(1-VLOOKUP($A211,[1]Hugst!$R$5:$W$9,MATCH(ROUNDUP((S$1)/10,0)*10,[1]Hugst!$R$4:$W$4,0))))</f>
        <v>0</v>
      </c>
      <c r="T211">
        <f ca="1">IF($C211-T$1&lt;År1,0,S210*(1-VLOOKUP($A211,[1]Hugst!$R$5:$W$9,MATCH(ROUNDUP((T$1)/10,0)*10,[1]Hugst!$R$4:$W$4,0))))</f>
        <v>0</v>
      </c>
      <c r="U211">
        <f ca="1">IF($C211-U$1&lt;År1,0,T210*(1-VLOOKUP($A211,[1]Hugst!$R$5:$W$9,MATCH(ROUNDUP((U$1)/10,0)*10,[1]Hugst!$R$4:$W$4,0))))</f>
        <v>0</v>
      </c>
      <c r="V211">
        <f ca="1">IF($C211-V$1&lt;År1,0,U210*(1-VLOOKUP($A211,[1]Hugst!$R$5:$W$9,MATCH(ROUNDUP((V$1)/10,0)*10,[1]Hugst!$R$4:$W$4,0))))</f>
        <v>0</v>
      </c>
      <c r="W211">
        <f ca="1">IF($C211-W$1&lt;År1,0,V210*(1-VLOOKUP($A211,[1]Hugst!$R$5:$W$9,MATCH(ROUNDUP((W$1)/10,0)*10,[1]Hugst!$R$4:$W$4,0))))</f>
        <v>0</v>
      </c>
      <c r="X211">
        <f ca="1">IF($C211-X$1&lt;År1,0,W210*(1-VLOOKUP($A211,[1]Hugst!$R$5:$W$9,MATCH(ROUNDUP((X$1)/10,0)*10,[1]Hugst!$R$4:$W$4,0))))</f>
        <v>0</v>
      </c>
      <c r="Y211">
        <f ca="1">IF($C211-Y$1&lt;År1,0,X210*(1-VLOOKUP($A211,[1]Hugst!$R$5:$W$9,MATCH(ROUNDUP((Y$1)/10,0)*10,[1]Hugst!$R$4:$W$4,0))))</f>
        <v>0</v>
      </c>
      <c r="Z211">
        <f ca="1">IF($C211-Z$1&lt;År1,0,Y210*(1-VLOOKUP($A211,[1]Hugst!$R$5:$W$9,MATCH(ROUNDUP((Z$1)/10,0)*10,[1]Hugst!$R$4:$W$4,0))))</f>
        <v>0</v>
      </c>
      <c r="AA211">
        <f ca="1">IF($C211-AA$1&lt;År1,0,Z210*(1-VLOOKUP($A211,[1]Hugst!$R$5:$W$9,MATCH(ROUNDUP((AA$1)/10,0)*10,[1]Hugst!$R$4:$W$4,0))))</f>
        <v>0</v>
      </c>
      <c r="AB211">
        <f ca="1">IF($C211-AB$1&lt;År1,0,AA210*(1-VLOOKUP($A211,[1]Hugst!$R$5:$W$9,MATCH(ROUNDUP((AB$1)/10,0)*10,[1]Hugst!$R$4:$W$4,0))))</f>
        <v>0</v>
      </c>
      <c r="AC211">
        <f ca="1">IF($C211-AC$1&lt;År1,0,AB210*(1-VLOOKUP($A211,[1]Hugst!$R$5:$W$9,MATCH(ROUNDUP((AC$1)/10,0)*10,[1]Hugst!$R$4:$W$4,0))))</f>
        <v>0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0</v>
      </c>
      <c r="E212">
        <f t="shared" ca="1" si="4"/>
        <v>0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>
        <f ca="1">IF($C212-G$1&lt;År1,0,F211*(1-VLOOKUP($A212,[1]Hugst!$R$5:$W$9,MATCH(ROUNDUP((G$1)/10,0)*10,[1]Hugst!$R$4:$W$4,0))))</f>
        <v>0</v>
      </c>
      <c r="H212">
        <f ca="1">IF($C212-H$1&lt;År1,0,G211*(1-VLOOKUP($A212,[1]Hugst!$R$5:$W$9,MATCH(ROUNDUP((H$1)/10,0)*10,[1]Hugst!$R$4:$W$4,0))))</f>
        <v>0</v>
      </c>
      <c r="I212">
        <f ca="1">IF($C212-I$1&lt;År1,0,H211*(1-VLOOKUP($A212,[1]Hugst!$R$5:$W$9,MATCH(ROUNDUP((I$1)/10,0)*10,[1]Hugst!$R$4:$W$4,0))))</f>
        <v>0</v>
      </c>
      <c r="J212">
        <f ca="1">IF($C212-J$1&lt;År1,0,I211*(1-VLOOKUP($A212,[1]Hugst!$R$5:$W$9,MATCH(ROUNDUP((J$1)/10,0)*10,[1]Hugst!$R$4:$W$4,0))))</f>
        <v>0</v>
      </c>
      <c r="K212">
        <f ca="1">IF($C212-K$1&lt;År1,0,J211*(1-VLOOKUP($A212,[1]Hugst!$R$5:$W$9,MATCH(ROUNDUP((K$1)/10,0)*10,[1]Hugst!$R$4:$W$4,0))))</f>
        <v>0</v>
      </c>
      <c r="L212">
        <f ca="1">IF($C212-L$1&lt;År1,0,K211*(1-VLOOKUP($A212,[1]Hugst!$R$5:$W$9,MATCH(ROUNDUP((L$1)/10,0)*10,[1]Hugst!$R$4:$W$4,0))))</f>
        <v>0</v>
      </c>
      <c r="M212">
        <f ca="1">IF($C212-M$1&lt;År1,0,L211*(1-VLOOKUP($A212,[1]Hugst!$R$5:$W$9,MATCH(ROUNDUP((M$1)/10,0)*10,[1]Hugst!$R$4:$W$4,0))))</f>
        <v>0</v>
      </c>
      <c r="N212">
        <f ca="1">IF($C212-N$1&lt;År1,0,M211*(1-VLOOKUP($A212,[1]Hugst!$R$5:$W$9,MATCH(ROUNDUP((N$1)/10,0)*10,[1]Hugst!$R$4:$W$4,0))))</f>
        <v>0</v>
      </c>
      <c r="O212">
        <f ca="1">IF($C212-O$1&lt;År1,0,N211*(1-VLOOKUP($A212,[1]Hugst!$R$5:$W$9,MATCH(ROUNDUP((O$1)/10,0)*10,[1]Hugst!$R$4:$W$4,0))))</f>
        <v>0</v>
      </c>
      <c r="P212">
        <f ca="1">IF($C212-P$1&lt;År1,0,O211*(1-VLOOKUP($A212,[1]Hugst!$R$5:$W$9,MATCH(ROUNDUP((P$1)/10,0)*10,[1]Hugst!$R$4:$W$4,0))))</f>
        <v>0</v>
      </c>
      <c r="Q212">
        <f ca="1">IF($C212-Q$1&lt;År1,0,P211*(1-VLOOKUP($A212,[1]Hugst!$R$5:$W$9,MATCH(ROUNDUP((Q$1)/10,0)*10,[1]Hugst!$R$4:$W$4,0))))</f>
        <v>0</v>
      </c>
      <c r="R212">
        <f ca="1">IF($C212-R$1&lt;År1,0,Q211*(1-VLOOKUP($A212,[1]Hugst!$R$5:$W$9,MATCH(ROUNDUP((R$1)/10,0)*10,[1]Hugst!$R$4:$W$4,0))))</f>
        <v>0</v>
      </c>
      <c r="S212">
        <f ca="1">IF($C212-S$1&lt;År1,0,R211*(1-VLOOKUP($A212,[1]Hugst!$R$5:$W$9,MATCH(ROUNDUP((S$1)/10,0)*10,[1]Hugst!$R$4:$W$4,0))))</f>
        <v>0</v>
      </c>
      <c r="T212">
        <f ca="1">IF($C212-T$1&lt;År1,0,S211*(1-VLOOKUP($A212,[1]Hugst!$R$5:$W$9,MATCH(ROUNDUP((T$1)/10,0)*10,[1]Hugst!$R$4:$W$4,0))))</f>
        <v>0</v>
      </c>
      <c r="U212">
        <f ca="1">IF($C212-U$1&lt;År1,0,T211*(1-VLOOKUP($A212,[1]Hugst!$R$5:$W$9,MATCH(ROUNDUP((U$1)/10,0)*10,[1]Hugst!$R$4:$W$4,0))))</f>
        <v>0</v>
      </c>
      <c r="V212">
        <f ca="1">IF($C212-V$1&lt;År1,0,U211*(1-VLOOKUP($A212,[1]Hugst!$R$5:$W$9,MATCH(ROUNDUP((V$1)/10,0)*10,[1]Hugst!$R$4:$W$4,0))))</f>
        <v>0</v>
      </c>
      <c r="W212">
        <f ca="1">IF($C212-W$1&lt;År1,0,V211*(1-VLOOKUP($A212,[1]Hugst!$R$5:$W$9,MATCH(ROUNDUP((W$1)/10,0)*10,[1]Hugst!$R$4:$W$4,0))))</f>
        <v>0</v>
      </c>
      <c r="X212">
        <f ca="1">IF($C212-X$1&lt;År1,0,W211*(1-VLOOKUP($A212,[1]Hugst!$R$5:$W$9,MATCH(ROUNDUP((X$1)/10,0)*10,[1]Hugst!$R$4:$W$4,0))))</f>
        <v>0</v>
      </c>
      <c r="Y212">
        <f ca="1">IF($C212-Y$1&lt;År1,0,X211*(1-VLOOKUP($A212,[1]Hugst!$R$5:$W$9,MATCH(ROUNDUP((Y$1)/10,0)*10,[1]Hugst!$R$4:$W$4,0))))</f>
        <v>0</v>
      </c>
      <c r="Z212">
        <f ca="1">IF($C212-Z$1&lt;År1,0,Y211*(1-VLOOKUP($A212,[1]Hugst!$R$5:$W$9,MATCH(ROUNDUP((Z$1)/10,0)*10,[1]Hugst!$R$4:$W$4,0))))</f>
        <v>0</v>
      </c>
      <c r="AA212">
        <f ca="1">IF($C212-AA$1&lt;År1,0,Z211*(1-VLOOKUP($A212,[1]Hugst!$R$5:$W$9,MATCH(ROUNDUP((AA$1)/10,0)*10,[1]Hugst!$R$4:$W$4,0))))</f>
        <v>0</v>
      </c>
      <c r="AB212">
        <f ca="1">IF($C212-AB$1&lt;År1,0,AA211*(1-VLOOKUP($A212,[1]Hugst!$R$5:$W$9,MATCH(ROUNDUP((AB$1)/10,0)*10,[1]Hugst!$R$4:$W$4,0))))</f>
        <v>0</v>
      </c>
      <c r="AC212">
        <f ca="1">IF($C212-AC$1&lt;År1,0,AB211*(1-VLOOKUP($A212,[1]Hugst!$R$5:$W$9,MATCH(ROUNDUP((AC$1)/10,0)*10,[1]Hugst!$R$4:$W$4,0))))</f>
        <v>0</v>
      </c>
      <c r="AD212">
        <f ca="1">IF($C212-AD$1&lt;År1,0,AC211*(1-VLOOKUP($A212,[1]Hugst!$R$5:$W$9,MATCH(ROUNDUP((AD$1)/10,0)*10,[1]Hugst!$R$4:$W$4,0))))</f>
        <v>0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0</v>
      </c>
      <c r="E213">
        <f t="shared" ca="1" si="4"/>
        <v>0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>
        <f ca="1">IF($C213-G$1&lt;År1,0,F212*(1-VLOOKUP($A213,[1]Hugst!$R$5:$W$9,MATCH(ROUNDUP((G$1)/10,0)*10,[1]Hugst!$R$4:$W$4,0))))</f>
        <v>0</v>
      </c>
      <c r="H213">
        <f ca="1">IF($C213-H$1&lt;År1,0,G212*(1-VLOOKUP($A213,[1]Hugst!$R$5:$W$9,MATCH(ROUNDUP((H$1)/10,0)*10,[1]Hugst!$R$4:$W$4,0))))</f>
        <v>0</v>
      </c>
      <c r="I213">
        <f ca="1">IF($C213-I$1&lt;År1,0,H212*(1-VLOOKUP($A213,[1]Hugst!$R$5:$W$9,MATCH(ROUNDUP((I$1)/10,0)*10,[1]Hugst!$R$4:$W$4,0))))</f>
        <v>0</v>
      </c>
      <c r="J213">
        <f ca="1">IF($C213-J$1&lt;År1,0,I212*(1-VLOOKUP($A213,[1]Hugst!$R$5:$W$9,MATCH(ROUNDUP((J$1)/10,0)*10,[1]Hugst!$R$4:$W$4,0))))</f>
        <v>0</v>
      </c>
      <c r="K213">
        <f ca="1">IF($C213-K$1&lt;År1,0,J212*(1-VLOOKUP($A213,[1]Hugst!$R$5:$W$9,MATCH(ROUNDUP((K$1)/10,0)*10,[1]Hugst!$R$4:$W$4,0))))</f>
        <v>0</v>
      </c>
      <c r="L213">
        <f ca="1">IF($C213-L$1&lt;År1,0,K212*(1-VLOOKUP($A213,[1]Hugst!$R$5:$W$9,MATCH(ROUNDUP((L$1)/10,0)*10,[1]Hugst!$R$4:$W$4,0))))</f>
        <v>0</v>
      </c>
      <c r="M213">
        <f ca="1">IF($C213-M$1&lt;År1,0,L212*(1-VLOOKUP($A213,[1]Hugst!$R$5:$W$9,MATCH(ROUNDUP((M$1)/10,0)*10,[1]Hugst!$R$4:$W$4,0))))</f>
        <v>0</v>
      </c>
      <c r="N213">
        <f ca="1">IF($C213-N$1&lt;År1,0,M212*(1-VLOOKUP($A213,[1]Hugst!$R$5:$W$9,MATCH(ROUNDUP((N$1)/10,0)*10,[1]Hugst!$R$4:$W$4,0))))</f>
        <v>0</v>
      </c>
      <c r="O213">
        <f ca="1">IF($C213-O$1&lt;År1,0,N212*(1-VLOOKUP($A213,[1]Hugst!$R$5:$W$9,MATCH(ROUNDUP((O$1)/10,0)*10,[1]Hugst!$R$4:$W$4,0))))</f>
        <v>0</v>
      </c>
      <c r="P213">
        <f ca="1">IF($C213-P$1&lt;År1,0,O212*(1-VLOOKUP($A213,[1]Hugst!$R$5:$W$9,MATCH(ROUNDUP((P$1)/10,0)*10,[1]Hugst!$R$4:$W$4,0))))</f>
        <v>0</v>
      </c>
      <c r="Q213">
        <f ca="1">IF($C213-Q$1&lt;År1,0,P212*(1-VLOOKUP($A213,[1]Hugst!$R$5:$W$9,MATCH(ROUNDUP((Q$1)/10,0)*10,[1]Hugst!$R$4:$W$4,0))))</f>
        <v>0</v>
      </c>
      <c r="R213">
        <f ca="1">IF($C213-R$1&lt;År1,0,Q212*(1-VLOOKUP($A213,[1]Hugst!$R$5:$W$9,MATCH(ROUNDUP((R$1)/10,0)*10,[1]Hugst!$R$4:$W$4,0))))</f>
        <v>0</v>
      </c>
      <c r="S213">
        <f ca="1">IF($C213-S$1&lt;År1,0,R212*(1-VLOOKUP($A213,[1]Hugst!$R$5:$W$9,MATCH(ROUNDUP((S$1)/10,0)*10,[1]Hugst!$R$4:$W$4,0))))</f>
        <v>0</v>
      </c>
      <c r="T213">
        <f ca="1">IF($C213-T$1&lt;År1,0,S212*(1-VLOOKUP($A213,[1]Hugst!$R$5:$W$9,MATCH(ROUNDUP((T$1)/10,0)*10,[1]Hugst!$R$4:$W$4,0))))</f>
        <v>0</v>
      </c>
      <c r="U213">
        <f ca="1">IF($C213-U$1&lt;År1,0,T212*(1-VLOOKUP($A213,[1]Hugst!$R$5:$W$9,MATCH(ROUNDUP((U$1)/10,0)*10,[1]Hugst!$R$4:$W$4,0))))</f>
        <v>0</v>
      </c>
      <c r="V213">
        <f ca="1">IF($C213-V$1&lt;År1,0,U212*(1-VLOOKUP($A213,[1]Hugst!$R$5:$W$9,MATCH(ROUNDUP((V$1)/10,0)*10,[1]Hugst!$R$4:$W$4,0))))</f>
        <v>0</v>
      </c>
      <c r="W213">
        <f ca="1">IF($C213-W$1&lt;År1,0,V212*(1-VLOOKUP($A213,[1]Hugst!$R$5:$W$9,MATCH(ROUNDUP((W$1)/10,0)*10,[1]Hugst!$R$4:$W$4,0))))</f>
        <v>0</v>
      </c>
      <c r="X213">
        <f ca="1">IF($C213-X$1&lt;År1,0,W212*(1-VLOOKUP($A213,[1]Hugst!$R$5:$W$9,MATCH(ROUNDUP((X$1)/10,0)*10,[1]Hugst!$R$4:$W$4,0))))</f>
        <v>0</v>
      </c>
      <c r="Y213">
        <f ca="1">IF($C213-Y$1&lt;År1,0,X212*(1-VLOOKUP($A213,[1]Hugst!$R$5:$W$9,MATCH(ROUNDUP((Y$1)/10,0)*10,[1]Hugst!$R$4:$W$4,0))))</f>
        <v>0</v>
      </c>
      <c r="Z213">
        <f ca="1">IF($C213-Z$1&lt;År1,0,Y212*(1-VLOOKUP($A213,[1]Hugst!$R$5:$W$9,MATCH(ROUNDUP((Z$1)/10,0)*10,[1]Hugst!$R$4:$W$4,0))))</f>
        <v>0</v>
      </c>
      <c r="AA213">
        <f ca="1">IF($C213-AA$1&lt;År1,0,Z212*(1-VLOOKUP($A213,[1]Hugst!$R$5:$W$9,MATCH(ROUNDUP((AA$1)/10,0)*10,[1]Hugst!$R$4:$W$4,0))))</f>
        <v>0</v>
      </c>
      <c r="AB213">
        <f ca="1">IF($C213-AB$1&lt;År1,0,AA212*(1-VLOOKUP($A213,[1]Hugst!$R$5:$W$9,MATCH(ROUNDUP((AB$1)/10,0)*10,[1]Hugst!$R$4:$W$4,0))))</f>
        <v>0</v>
      </c>
      <c r="AC213">
        <f ca="1">IF($C213-AC$1&lt;År1,0,AB212*(1-VLOOKUP($A213,[1]Hugst!$R$5:$W$9,MATCH(ROUNDUP((AC$1)/10,0)*10,[1]Hugst!$R$4:$W$4,0))))</f>
        <v>0</v>
      </c>
      <c r="AD213">
        <f ca="1">IF($C213-AD$1&lt;År1,0,AC212*(1-VLOOKUP($A213,[1]Hugst!$R$5:$W$9,MATCH(ROUNDUP((AD$1)/10,0)*10,[1]Hugst!$R$4:$W$4,0))))</f>
        <v>0</v>
      </c>
      <c r="AE213">
        <f ca="1">IF($C213-AE$1&lt;År1,0,AD212*(1-VLOOKUP($A213,[1]Hugst!$R$5:$W$9,MATCH(ROUNDUP((AE$1)/10,0)*10,[1]Hugst!$R$4:$W$4,0))))</f>
        <v>0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0</v>
      </c>
      <c r="E214">
        <f t="shared" ca="1" si="4"/>
        <v>0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>
        <f ca="1">IF($C214-G$1&lt;År1,0,F213*(1-VLOOKUP($A214,[1]Hugst!$R$5:$W$9,MATCH(ROUNDUP((G$1)/10,0)*10,[1]Hugst!$R$4:$W$4,0))))</f>
        <v>0</v>
      </c>
      <c r="H214">
        <f ca="1">IF($C214-H$1&lt;År1,0,G213*(1-VLOOKUP($A214,[1]Hugst!$R$5:$W$9,MATCH(ROUNDUP((H$1)/10,0)*10,[1]Hugst!$R$4:$W$4,0))))</f>
        <v>0</v>
      </c>
      <c r="I214">
        <f ca="1">IF($C214-I$1&lt;År1,0,H213*(1-VLOOKUP($A214,[1]Hugst!$R$5:$W$9,MATCH(ROUNDUP((I$1)/10,0)*10,[1]Hugst!$R$4:$W$4,0))))</f>
        <v>0</v>
      </c>
      <c r="J214">
        <f ca="1">IF($C214-J$1&lt;År1,0,I213*(1-VLOOKUP($A214,[1]Hugst!$R$5:$W$9,MATCH(ROUNDUP((J$1)/10,0)*10,[1]Hugst!$R$4:$W$4,0))))</f>
        <v>0</v>
      </c>
      <c r="K214">
        <f ca="1">IF($C214-K$1&lt;År1,0,J213*(1-VLOOKUP($A214,[1]Hugst!$R$5:$W$9,MATCH(ROUNDUP((K$1)/10,0)*10,[1]Hugst!$R$4:$W$4,0))))</f>
        <v>0</v>
      </c>
      <c r="L214">
        <f ca="1">IF($C214-L$1&lt;År1,0,K213*(1-VLOOKUP($A214,[1]Hugst!$R$5:$W$9,MATCH(ROUNDUP((L$1)/10,0)*10,[1]Hugst!$R$4:$W$4,0))))</f>
        <v>0</v>
      </c>
      <c r="M214">
        <f ca="1">IF($C214-M$1&lt;År1,0,L213*(1-VLOOKUP($A214,[1]Hugst!$R$5:$W$9,MATCH(ROUNDUP((M$1)/10,0)*10,[1]Hugst!$R$4:$W$4,0))))</f>
        <v>0</v>
      </c>
      <c r="N214">
        <f ca="1">IF($C214-N$1&lt;År1,0,M213*(1-VLOOKUP($A214,[1]Hugst!$R$5:$W$9,MATCH(ROUNDUP((N$1)/10,0)*10,[1]Hugst!$R$4:$W$4,0))))</f>
        <v>0</v>
      </c>
      <c r="O214">
        <f ca="1">IF($C214-O$1&lt;År1,0,N213*(1-VLOOKUP($A214,[1]Hugst!$R$5:$W$9,MATCH(ROUNDUP((O$1)/10,0)*10,[1]Hugst!$R$4:$W$4,0))))</f>
        <v>0</v>
      </c>
      <c r="P214">
        <f ca="1">IF($C214-P$1&lt;År1,0,O213*(1-VLOOKUP($A214,[1]Hugst!$R$5:$W$9,MATCH(ROUNDUP((P$1)/10,0)*10,[1]Hugst!$R$4:$W$4,0))))</f>
        <v>0</v>
      </c>
      <c r="Q214">
        <f ca="1">IF($C214-Q$1&lt;År1,0,P213*(1-VLOOKUP($A214,[1]Hugst!$R$5:$W$9,MATCH(ROUNDUP((Q$1)/10,0)*10,[1]Hugst!$R$4:$W$4,0))))</f>
        <v>0</v>
      </c>
      <c r="R214">
        <f ca="1">IF($C214-R$1&lt;År1,0,Q213*(1-VLOOKUP($A214,[1]Hugst!$R$5:$W$9,MATCH(ROUNDUP((R$1)/10,0)*10,[1]Hugst!$R$4:$W$4,0))))</f>
        <v>0</v>
      </c>
      <c r="S214">
        <f ca="1">IF($C214-S$1&lt;År1,0,R213*(1-VLOOKUP($A214,[1]Hugst!$R$5:$W$9,MATCH(ROUNDUP((S$1)/10,0)*10,[1]Hugst!$R$4:$W$4,0))))</f>
        <v>0</v>
      </c>
      <c r="T214">
        <f ca="1">IF($C214-T$1&lt;År1,0,S213*(1-VLOOKUP($A214,[1]Hugst!$R$5:$W$9,MATCH(ROUNDUP((T$1)/10,0)*10,[1]Hugst!$R$4:$W$4,0))))</f>
        <v>0</v>
      </c>
      <c r="U214">
        <f ca="1">IF($C214-U$1&lt;År1,0,T213*(1-VLOOKUP($A214,[1]Hugst!$R$5:$W$9,MATCH(ROUNDUP((U$1)/10,0)*10,[1]Hugst!$R$4:$W$4,0))))</f>
        <v>0</v>
      </c>
      <c r="V214">
        <f ca="1">IF($C214-V$1&lt;År1,0,U213*(1-VLOOKUP($A214,[1]Hugst!$R$5:$W$9,MATCH(ROUNDUP((V$1)/10,0)*10,[1]Hugst!$R$4:$W$4,0))))</f>
        <v>0</v>
      </c>
      <c r="W214">
        <f ca="1">IF($C214-W$1&lt;År1,0,V213*(1-VLOOKUP($A214,[1]Hugst!$R$5:$W$9,MATCH(ROUNDUP((W$1)/10,0)*10,[1]Hugst!$R$4:$W$4,0))))</f>
        <v>0</v>
      </c>
      <c r="X214">
        <f ca="1">IF($C214-X$1&lt;År1,0,W213*(1-VLOOKUP($A214,[1]Hugst!$R$5:$W$9,MATCH(ROUNDUP((X$1)/10,0)*10,[1]Hugst!$R$4:$W$4,0))))</f>
        <v>0</v>
      </c>
      <c r="Y214">
        <f ca="1">IF($C214-Y$1&lt;År1,0,X213*(1-VLOOKUP($A214,[1]Hugst!$R$5:$W$9,MATCH(ROUNDUP((Y$1)/10,0)*10,[1]Hugst!$R$4:$W$4,0))))</f>
        <v>0</v>
      </c>
      <c r="Z214">
        <f ca="1">IF($C214-Z$1&lt;År1,0,Y213*(1-VLOOKUP($A214,[1]Hugst!$R$5:$W$9,MATCH(ROUNDUP((Z$1)/10,0)*10,[1]Hugst!$R$4:$W$4,0))))</f>
        <v>0</v>
      </c>
      <c r="AA214">
        <f ca="1">IF($C214-AA$1&lt;År1,0,Z213*(1-VLOOKUP($A214,[1]Hugst!$R$5:$W$9,MATCH(ROUNDUP((AA$1)/10,0)*10,[1]Hugst!$R$4:$W$4,0))))</f>
        <v>0</v>
      </c>
      <c r="AB214">
        <f ca="1">IF($C214-AB$1&lt;År1,0,AA213*(1-VLOOKUP($A214,[1]Hugst!$R$5:$W$9,MATCH(ROUNDUP((AB$1)/10,0)*10,[1]Hugst!$R$4:$W$4,0))))</f>
        <v>0</v>
      </c>
      <c r="AC214">
        <f ca="1">IF($C214-AC$1&lt;År1,0,AB213*(1-VLOOKUP($A214,[1]Hugst!$R$5:$W$9,MATCH(ROUNDUP((AC$1)/10,0)*10,[1]Hugst!$R$4:$W$4,0))))</f>
        <v>0</v>
      </c>
      <c r="AD214">
        <f ca="1">IF($C214-AD$1&lt;År1,0,AC213*(1-VLOOKUP($A214,[1]Hugst!$R$5:$W$9,MATCH(ROUNDUP((AD$1)/10,0)*10,[1]Hugst!$R$4:$W$4,0))))</f>
        <v>0</v>
      </c>
      <c r="AE214">
        <f ca="1">IF($C214-AE$1&lt;År1,0,AD213*(1-VLOOKUP($A214,[1]Hugst!$R$5:$W$9,MATCH(ROUNDUP((AE$1)/10,0)*10,[1]Hugst!$R$4:$W$4,0))))</f>
        <v>0</v>
      </c>
      <c r="AF214">
        <f ca="1">IF($C214-AF$1&lt;År1,0,AE213*(1-VLOOKUP($A214,[1]Hugst!$R$5:$W$9,MATCH(ROUNDUP((AF$1)/10,0)*10,[1]Hugst!$R$4:$W$4,0))))</f>
        <v>0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0</v>
      </c>
      <c r="E215">
        <f t="shared" ca="1" si="4"/>
        <v>0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>
        <f ca="1">IF($C215-G$1&lt;År1,0,F214*(1-VLOOKUP($A215,[1]Hugst!$R$5:$W$9,MATCH(ROUNDUP((G$1)/10,0)*10,[1]Hugst!$R$4:$W$4,0))))</f>
        <v>0</v>
      </c>
      <c r="H215">
        <f ca="1">IF($C215-H$1&lt;År1,0,G214*(1-VLOOKUP($A215,[1]Hugst!$R$5:$W$9,MATCH(ROUNDUP((H$1)/10,0)*10,[1]Hugst!$R$4:$W$4,0))))</f>
        <v>0</v>
      </c>
      <c r="I215">
        <f ca="1">IF($C215-I$1&lt;År1,0,H214*(1-VLOOKUP($A215,[1]Hugst!$R$5:$W$9,MATCH(ROUNDUP((I$1)/10,0)*10,[1]Hugst!$R$4:$W$4,0))))</f>
        <v>0</v>
      </c>
      <c r="J215">
        <f ca="1">IF($C215-J$1&lt;År1,0,I214*(1-VLOOKUP($A215,[1]Hugst!$R$5:$W$9,MATCH(ROUNDUP((J$1)/10,0)*10,[1]Hugst!$R$4:$W$4,0))))</f>
        <v>0</v>
      </c>
      <c r="K215">
        <f ca="1">IF($C215-K$1&lt;År1,0,J214*(1-VLOOKUP($A215,[1]Hugst!$R$5:$W$9,MATCH(ROUNDUP((K$1)/10,0)*10,[1]Hugst!$R$4:$W$4,0))))</f>
        <v>0</v>
      </c>
      <c r="L215">
        <f ca="1">IF($C215-L$1&lt;År1,0,K214*(1-VLOOKUP($A215,[1]Hugst!$R$5:$W$9,MATCH(ROUNDUP((L$1)/10,0)*10,[1]Hugst!$R$4:$W$4,0))))</f>
        <v>0</v>
      </c>
      <c r="M215">
        <f ca="1">IF($C215-M$1&lt;År1,0,L214*(1-VLOOKUP($A215,[1]Hugst!$R$5:$W$9,MATCH(ROUNDUP((M$1)/10,0)*10,[1]Hugst!$R$4:$W$4,0))))</f>
        <v>0</v>
      </c>
      <c r="N215">
        <f ca="1">IF($C215-N$1&lt;År1,0,M214*(1-VLOOKUP($A215,[1]Hugst!$R$5:$W$9,MATCH(ROUNDUP((N$1)/10,0)*10,[1]Hugst!$R$4:$W$4,0))))</f>
        <v>0</v>
      </c>
      <c r="O215">
        <f ca="1">IF($C215-O$1&lt;År1,0,N214*(1-VLOOKUP($A215,[1]Hugst!$R$5:$W$9,MATCH(ROUNDUP((O$1)/10,0)*10,[1]Hugst!$R$4:$W$4,0))))</f>
        <v>0</v>
      </c>
      <c r="P215">
        <f ca="1">IF($C215-P$1&lt;År1,0,O214*(1-VLOOKUP($A215,[1]Hugst!$R$5:$W$9,MATCH(ROUNDUP((P$1)/10,0)*10,[1]Hugst!$R$4:$W$4,0))))</f>
        <v>0</v>
      </c>
      <c r="Q215">
        <f ca="1">IF($C215-Q$1&lt;År1,0,P214*(1-VLOOKUP($A215,[1]Hugst!$R$5:$W$9,MATCH(ROUNDUP((Q$1)/10,0)*10,[1]Hugst!$R$4:$W$4,0))))</f>
        <v>0</v>
      </c>
      <c r="R215">
        <f ca="1">IF($C215-R$1&lt;År1,0,Q214*(1-VLOOKUP($A215,[1]Hugst!$R$5:$W$9,MATCH(ROUNDUP((R$1)/10,0)*10,[1]Hugst!$R$4:$W$4,0))))</f>
        <v>0</v>
      </c>
      <c r="S215">
        <f ca="1">IF($C215-S$1&lt;År1,0,R214*(1-VLOOKUP($A215,[1]Hugst!$R$5:$W$9,MATCH(ROUNDUP((S$1)/10,0)*10,[1]Hugst!$R$4:$W$4,0))))</f>
        <v>0</v>
      </c>
      <c r="T215">
        <f ca="1">IF($C215-T$1&lt;År1,0,S214*(1-VLOOKUP($A215,[1]Hugst!$R$5:$W$9,MATCH(ROUNDUP((T$1)/10,0)*10,[1]Hugst!$R$4:$W$4,0))))</f>
        <v>0</v>
      </c>
      <c r="U215">
        <f ca="1">IF($C215-U$1&lt;År1,0,T214*(1-VLOOKUP($A215,[1]Hugst!$R$5:$W$9,MATCH(ROUNDUP((U$1)/10,0)*10,[1]Hugst!$R$4:$W$4,0))))</f>
        <v>0</v>
      </c>
      <c r="V215">
        <f ca="1">IF($C215-V$1&lt;År1,0,U214*(1-VLOOKUP($A215,[1]Hugst!$R$5:$W$9,MATCH(ROUNDUP((V$1)/10,0)*10,[1]Hugst!$R$4:$W$4,0))))</f>
        <v>0</v>
      </c>
      <c r="W215">
        <f ca="1">IF($C215-W$1&lt;År1,0,V214*(1-VLOOKUP($A215,[1]Hugst!$R$5:$W$9,MATCH(ROUNDUP((W$1)/10,0)*10,[1]Hugst!$R$4:$W$4,0))))</f>
        <v>0</v>
      </c>
      <c r="X215">
        <f ca="1">IF($C215-X$1&lt;År1,0,W214*(1-VLOOKUP($A215,[1]Hugst!$R$5:$W$9,MATCH(ROUNDUP((X$1)/10,0)*10,[1]Hugst!$R$4:$W$4,0))))</f>
        <v>0</v>
      </c>
      <c r="Y215">
        <f ca="1">IF($C215-Y$1&lt;År1,0,X214*(1-VLOOKUP($A215,[1]Hugst!$R$5:$W$9,MATCH(ROUNDUP((Y$1)/10,0)*10,[1]Hugst!$R$4:$W$4,0))))</f>
        <v>0</v>
      </c>
      <c r="Z215">
        <f ca="1">IF($C215-Z$1&lt;År1,0,Y214*(1-VLOOKUP($A215,[1]Hugst!$R$5:$W$9,MATCH(ROUNDUP((Z$1)/10,0)*10,[1]Hugst!$R$4:$W$4,0))))</f>
        <v>0</v>
      </c>
      <c r="AA215">
        <f ca="1">IF($C215-AA$1&lt;År1,0,Z214*(1-VLOOKUP($A215,[1]Hugst!$R$5:$W$9,MATCH(ROUNDUP((AA$1)/10,0)*10,[1]Hugst!$R$4:$W$4,0))))</f>
        <v>0</v>
      </c>
      <c r="AB215">
        <f ca="1">IF($C215-AB$1&lt;År1,0,AA214*(1-VLOOKUP($A215,[1]Hugst!$R$5:$W$9,MATCH(ROUNDUP((AB$1)/10,0)*10,[1]Hugst!$R$4:$W$4,0))))</f>
        <v>0</v>
      </c>
      <c r="AC215">
        <f ca="1">IF($C215-AC$1&lt;År1,0,AB214*(1-VLOOKUP($A215,[1]Hugst!$R$5:$W$9,MATCH(ROUNDUP((AC$1)/10,0)*10,[1]Hugst!$R$4:$W$4,0))))</f>
        <v>0</v>
      </c>
      <c r="AD215">
        <f ca="1">IF($C215-AD$1&lt;År1,0,AC214*(1-VLOOKUP($A215,[1]Hugst!$R$5:$W$9,MATCH(ROUNDUP((AD$1)/10,0)*10,[1]Hugst!$R$4:$W$4,0))))</f>
        <v>0</v>
      </c>
      <c r="AE215">
        <f ca="1">IF($C215-AE$1&lt;År1,0,AD214*(1-VLOOKUP($A215,[1]Hugst!$R$5:$W$9,MATCH(ROUNDUP((AE$1)/10,0)*10,[1]Hugst!$R$4:$W$4,0))))</f>
        <v>0</v>
      </c>
      <c r="AF215">
        <f ca="1">IF($C215-AF$1&lt;År1,0,AE214*(1-VLOOKUP($A215,[1]Hugst!$R$5:$W$9,MATCH(ROUNDUP((AF$1)/10,0)*10,[1]Hugst!$R$4:$W$4,0))))</f>
        <v>0</v>
      </c>
      <c r="AG215">
        <f ca="1">IF($C215-AG$1&lt;År1,0,AF214*(1-VLOOKUP($A215,[1]Hugst!$R$5:$W$9,MATCH(ROUNDUP((AG$1)/10,0)*10,[1]Hugst!$R$4:$W$4,0))))</f>
        <v>0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0</v>
      </c>
      <c r="E216">
        <f t="shared" ca="1" si="4"/>
        <v>0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>
        <f ca="1">IF($C216-G$1&lt;År1,0,F215*(1-VLOOKUP($A216,[1]Hugst!$R$5:$W$9,MATCH(ROUNDUP((G$1)/10,0)*10,[1]Hugst!$R$4:$W$4,0))))</f>
        <v>0</v>
      </c>
      <c r="H216">
        <f ca="1">IF($C216-H$1&lt;År1,0,G215*(1-VLOOKUP($A216,[1]Hugst!$R$5:$W$9,MATCH(ROUNDUP((H$1)/10,0)*10,[1]Hugst!$R$4:$W$4,0))))</f>
        <v>0</v>
      </c>
      <c r="I216">
        <f ca="1">IF($C216-I$1&lt;År1,0,H215*(1-VLOOKUP($A216,[1]Hugst!$R$5:$W$9,MATCH(ROUNDUP((I$1)/10,0)*10,[1]Hugst!$R$4:$W$4,0))))</f>
        <v>0</v>
      </c>
      <c r="J216">
        <f ca="1">IF($C216-J$1&lt;År1,0,I215*(1-VLOOKUP($A216,[1]Hugst!$R$5:$W$9,MATCH(ROUNDUP((J$1)/10,0)*10,[1]Hugst!$R$4:$W$4,0))))</f>
        <v>0</v>
      </c>
      <c r="K216">
        <f ca="1">IF($C216-K$1&lt;År1,0,J215*(1-VLOOKUP($A216,[1]Hugst!$R$5:$W$9,MATCH(ROUNDUP((K$1)/10,0)*10,[1]Hugst!$R$4:$W$4,0))))</f>
        <v>0</v>
      </c>
      <c r="L216">
        <f ca="1">IF($C216-L$1&lt;År1,0,K215*(1-VLOOKUP($A216,[1]Hugst!$R$5:$W$9,MATCH(ROUNDUP((L$1)/10,0)*10,[1]Hugst!$R$4:$W$4,0))))</f>
        <v>0</v>
      </c>
      <c r="M216">
        <f ca="1">IF($C216-M$1&lt;År1,0,L215*(1-VLOOKUP($A216,[1]Hugst!$R$5:$W$9,MATCH(ROUNDUP((M$1)/10,0)*10,[1]Hugst!$R$4:$W$4,0))))</f>
        <v>0</v>
      </c>
      <c r="N216">
        <f ca="1">IF($C216-N$1&lt;År1,0,M215*(1-VLOOKUP($A216,[1]Hugst!$R$5:$W$9,MATCH(ROUNDUP((N$1)/10,0)*10,[1]Hugst!$R$4:$W$4,0))))</f>
        <v>0</v>
      </c>
      <c r="O216">
        <f ca="1">IF($C216-O$1&lt;År1,0,N215*(1-VLOOKUP($A216,[1]Hugst!$R$5:$W$9,MATCH(ROUNDUP((O$1)/10,0)*10,[1]Hugst!$R$4:$W$4,0))))</f>
        <v>0</v>
      </c>
      <c r="P216">
        <f ca="1">IF($C216-P$1&lt;År1,0,O215*(1-VLOOKUP($A216,[1]Hugst!$R$5:$W$9,MATCH(ROUNDUP((P$1)/10,0)*10,[1]Hugst!$R$4:$W$4,0))))</f>
        <v>0</v>
      </c>
      <c r="Q216">
        <f ca="1">IF($C216-Q$1&lt;År1,0,P215*(1-VLOOKUP($A216,[1]Hugst!$R$5:$W$9,MATCH(ROUNDUP((Q$1)/10,0)*10,[1]Hugst!$R$4:$W$4,0))))</f>
        <v>0</v>
      </c>
      <c r="R216">
        <f ca="1">IF($C216-R$1&lt;År1,0,Q215*(1-VLOOKUP($A216,[1]Hugst!$R$5:$W$9,MATCH(ROUNDUP((R$1)/10,0)*10,[1]Hugst!$R$4:$W$4,0))))</f>
        <v>0</v>
      </c>
      <c r="S216">
        <f ca="1">IF($C216-S$1&lt;År1,0,R215*(1-VLOOKUP($A216,[1]Hugst!$R$5:$W$9,MATCH(ROUNDUP((S$1)/10,0)*10,[1]Hugst!$R$4:$W$4,0))))</f>
        <v>0</v>
      </c>
      <c r="T216">
        <f ca="1">IF($C216-T$1&lt;År1,0,S215*(1-VLOOKUP($A216,[1]Hugst!$R$5:$W$9,MATCH(ROUNDUP((T$1)/10,0)*10,[1]Hugst!$R$4:$W$4,0))))</f>
        <v>0</v>
      </c>
      <c r="U216">
        <f ca="1">IF($C216-U$1&lt;År1,0,T215*(1-VLOOKUP($A216,[1]Hugst!$R$5:$W$9,MATCH(ROUNDUP((U$1)/10,0)*10,[1]Hugst!$R$4:$W$4,0))))</f>
        <v>0</v>
      </c>
      <c r="V216">
        <f ca="1">IF($C216-V$1&lt;År1,0,U215*(1-VLOOKUP($A216,[1]Hugst!$R$5:$W$9,MATCH(ROUNDUP((V$1)/10,0)*10,[1]Hugst!$R$4:$W$4,0))))</f>
        <v>0</v>
      </c>
      <c r="W216">
        <f ca="1">IF($C216-W$1&lt;År1,0,V215*(1-VLOOKUP($A216,[1]Hugst!$R$5:$W$9,MATCH(ROUNDUP((W$1)/10,0)*10,[1]Hugst!$R$4:$W$4,0))))</f>
        <v>0</v>
      </c>
      <c r="X216">
        <f ca="1">IF($C216-X$1&lt;År1,0,W215*(1-VLOOKUP($A216,[1]Hugst!$R$5:$W$9,MATCH(ROUNDUP((X$1)/10,0)*10,[1]Hugst!$R$4:$W$4,0))))</f>
        <v>0</v>
      </c>
      <c r="Y216">
        <f ca="1">IF($C216-Y$1&lt;År1,0,X215*(1-VLOOKUP($A216,[1]Hugst!$R$5:$W$9,MATCH(ROUNDUP((Y$1)/10,0)*10,[1]Hugst!$R$4:$W$4,0))))</f>
        <v>0</v>
      </c>
      <c r="Z216">
        <f ca="1">IF($C216-Z$1&lt;År1,0,Y215*(1-VLOOKUP($A216,[1]Hugst!$R$5:$W$9,MATCH(ROUNDUP((Z$1)/10,0)*10,[1]Hugst!$R$4:$W$4,0))))</f>
        <v>0</v>
      </c>
      <c r="AA216">
        <f ca="1">IF($C216-AA$1&lt;År1,0,Z215*(1-VLOOKUP($A216,[1]Hugst!$R$5:$W$9,MATCH(ROUNDUP((AA$1)/10,0)*10,[1]Hugst!$R$4:$W$4,0))))</f>
        <v>0</v>
      </c>
      <c r="AB216">
        <f ca="1">IF($C216-AB$1&lt;År1,0,AA215*(1-VLOOKUP($A216,[1]Hugst!$R$5:$W$9,MATCH(ROUNDUP((AB$1)/10,0)*10,[1]Hugst!$R$4:$W$4,0))))</f>
        <v>0</v>
      </c>
      <c r="AC216">
        <f ca="1">IF($C216-AC$1&lt;År1,0,AB215*(1-VLOOKUP($A216,[1]Hugst!$R$5:$W$9,MATCH(ROUNDUP((AC$1)/10,0)*10,[1]Hugst!$R$4:$W$4,0))))</f>
        <v>0</v>
      </c>
      <c r="AD216">
        <f ca="1">IF($C216-AD$1&lt;År1,0,AC215*(1-VLOOKUP($A216,[1]Hugst!$R$5:$W$9,MATCH(ROUNDUP((AD$1)/10,0)*10,[1]Hugst!$R$4:$W$4,0))))</f>
        <v>0</v>
      </c>
      <c r="AE216">
        <f ca="1">IF($C216-AE$1&lt;År1,0,AD215*(1-VLOOKUP($A216,[1]Hugst!$R$5:$W$9,MATCH(ROUNDUP((AE$1)/10,0)*10,[1]Hugst!$R$4:$W$4,0))))</f>
        <v>0</v>
      </c>
      <c r="AF216">
        <f ca="1">IF($C216-AF$1&lt;År1,0,AE215*(1-VLOOKUP($A216,[1]Hugst!$R$5:$W$9,MATCH(ROUNDUP((AF$1)/10,0)*10,[1]Hugst!$R$4:$W$4,0))))</f>
        <v>0</v>
      </c>
      <c r="AG216">
        <f ca="1">IF($C216-AG$1&lt;År1,0,AF215*(1-VLOOKUP($A216,[1]Hugst!$R$5:$W$9,MATCH(ROUNDUP((AG$1)/10,0)*10,[1]Hugst!$R$4:$W$4,0))))</f>
        <v>0</v>
      </c>
      <c r="AH216">
        <f ca="1">IF($C216-AH$1&lt;År1,0,AG215*(1-VLOOKUP($A216,[1]Hugst!$R$5:$W$9,MATCH(ROUNDUP((AH$1)/10,0)*10,[1]Hugst!$R$4:$W$4,0))))</f>
        <v>0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0</v>
      </c>
      <c r="E217">
        <f t="shared" ca="1" si="4"/>
        <v>0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>
        <f ca="1">IF($C217-G$1&lt;År1,0,F216*(1-VLOOKUP($A217,[1]Hugst!$R$5:$W$9,MATCH(ROUNDUP((G$1)/10,0)*10,[1]Hugst!$R$4:$W$4,0))))</f>
        <v>0</v>
      </c>
      <c r="H217">
        <f ca="1">IF($C217-H$1&lt;År1,0,G216*(1-VLOOKUP($A217,[1]Hugst!$R$5:$W$9,MATCH(ROUNDUP((H$1)/10,0)*10,[1]Hugst!$R$4:$W$4,0))))</f>
        <v>0</v>
      </c>
      <c r="I217">
        <f ca="1">IF($C217-I$1&lt;År1,0,H216*(1-VLOOKUP($A217,[1]Hugst!$R$5:$W$9,MATCH(ROUNDUP((I$1)/10,0)*10,[1]Hugst!$R$4:$W$4,0))))</f>
        <v>0</v>
      </c>
      <c r="J217">
        <f ca="1">IF($C217-J$1&lt;År1,0,I216*(1-VLOOKUP($A217,[1]Hugst!$R$5:$W$9,MATCH(ROUNDUP((J$1)/10,0)*10,[1]Hugst!$R$4:$W$4,0))))</f>
        <v>0</v>
      </c>
      <c r="K217">
        <f ca="1">IF($C217-K$1&lt;År1,0,J216*(1-VLOOKUP($A217,[1]Hugst!$R$5:$W$9,MATCH(ROUNDUP((K$1)/10,0)*10,[1]Hugst!$R$4:$W$4,0))))</f>
        <v>0</v>
      </c>
      <c r="L217">
        <f ca="1">IF($C217-L$1&lt;År1,0,K216*(1-VLOOKUP($A217,[1]Hugst!$R$5:$W$9,MATCH(ROUNDUP((L$1)/10,0)*10,[1]Hugst!$R$4:$W$4,0))))</f>
        <v>0</v>
      </c>
      <c r="M217">
        <f ca="1">IF($C217-M$1&lt;År1,0,L216*(1-VLOOKUP($A217,[1]Hugst!$R$5:$W$9,MATCH(ROUNDUP((M$1)/10,0)*10,[1]Hugst!$R$4:$W$4,0))))</f>
        <v>0</v>
      </c>
      <c r="N217">
        <f ca="1">IF($C217-N$1&lt;År1,0,M216*(1-VLOOKUP($A217,[1]Hugst!$R$5:$W$9,MATCH(ROUNDUP((N$1)/10,0)*10,[1]Hugst!$R$4:$W$4,0))))</f>
        <v>0</v>
      </c>
      <c r="O217">
        <f ca="1">IF($C217-O$1&lt;År1,0,N216*(1-VLOOKUP($A217,[1]Hugst!$R$5:$W$9,MATCH(ROUNDUP((O$1)/10,0)*10,[1]Hugst!$R$4:$W$4,0))))</f>
        <v>0</v>
      </c>
      <c r="P217">
        <f ca="1">IF($C217-P$1&lt;År1,0,O216*(1-VLOOKUP($A217,[1]Hugst!$R$5:$W$9,MATCH(ROUNDUP((P$1)/10,0)*10,[1]Hugst!$R$4:$W$4,0))))</f>
        <v>0</v>
      </c>
      <c r="Q217">
        <f ca="1">IF($C217-Q$1&lt;År1,0,P216*(1-VLOOKUP($A217,[1]Hugst!$R$5:$W$9,MATCH(ROUNDUP((Q$1)/10,0)*10,[1]Hugst!$R$4:$W$4,0))))</f>
        <v>0</v>
      </c>
      <c r="R217">
        <f ca="1">IF($C217-R$1&lt;År1,0,Q216*(1-VLOOKUP($A217,[1]Hugst!$R$5:$W$9,MATCH(ROUNDUP((R$1)/10,0)*10,[1]Hugst!$R$4:$W$4,0))))</f>
        <v>0</v>
      </c>
      <c r="S217">
        <f ca="1">IF($C217-S$1&lt;År1,0,R216*(1-VLOOKUP($A217,[1]Hugst!$R$5:$W$9,MATCH(ROUNDUP((S$1)/10,0)*10,[1]Hugst!$R$4:$W$4,0))))</f>
        <v>0</v>
      </c>
      <c r="T217">
        <f ca="1">IF($C217-T$1&lt;År1,0,S216*(1-VLOOKUP($A217,[1]Hugst!$R$5:$W$9,MATCH(ROUNDUP((T$1)/10,0)*10,[1]Hugst!$R$4:$W$4,0))))</f>
        <v>0</v>
      </c>
      <c r="U217">
        <f ca="1">IF($C217-U$1&lt;År1,0,T216*(1-VLOOKUP($A217,[1]Hugst!$R$5:$W$9,MATCH(ROUNDUP((U$1)/10,0)*10,[1]Hugst!$R$4:$W$4,0))))</f>
        <v>0</v>
      </c>
      <c r="V217">
        <f ca="1">IF($C217-V$1&lt;År1,0,U216*(1-VLOOKUP($A217,[1]Hugst!$R$5:$W$9,MATCH(ROUNDUP((V$1)/10,0)*10,[1]Hugst!$R$4:$W$4,0))))</f>
        <v>0</v>
      </c>
      <c r="W217">
        <f ca="1">IF($C217-W$1&lt;År1,0,V216*(1-VLOOKUP($A217,[1]Hugst!$R$5:$W$9,MATCH(ROUNDUP((W$1)/10,0)*10,[1]Hugst!$R$4:$W$4,0))))</f>
        <v>0</v>
      </c>
      <c r="X217">
        <f ca="1">IF($C217-X$1&lt;År1,0,W216*(1-VLOOKUP($A217,[1]Hugst!$R$5:$W$9,MATCH(ROUNDUP((X$1)/10,0)*10,[1]Hugst!$R$4:$W$4,0))))</f>
        <v>0</v>
      </c>
      <c r="Y217">
        <f ca="1">IF($C217-Y$1&lt;År1,0,X216*(1-VLOOKUP($A217,[1]Hugst!$R$5:$W$9,MATCH(ROUNDUP((Y$1)/10,0)*10,[1]Hugst!$R$4:$W$4,0))))</f>
        <v>0</v>
      </c>
      <c r="Z217">
        <f ca="1">IF($C217-Z$1&lt;År1,0,Y216*(1-VLOOKUP($A217,[1]Hugst!$R$5:$W$9,MATCH(ROUNDUP((Z$1)/10,0)*10,[1]Hugst!$R$4:$W$4,0))))</f>
        <v>0</v>
      </c>
      <c r="AA217">
        <f ca="1">IF($C217-AA$1&lt;År1,0,Z216*(1-VLOOKUP($A217,[1]Hugst!$R$5:$W$9,MATCH(ROUNDUP((AA$1)/10,0)*10,[1]Hugst!$R$4:$W$4,0))))</f>
        <v>0</v>
      </c>
      <c r="AB217">
        <f ca="1">IF($C217-AB$1&lt;År1,0,AA216*(1-VLOOKUP($A217,[1]Hugst!$R$5:$W$9,MATCH(ROUNDUP((AB$1)/10,0)*10,[1]Hugst!$R$4:$W$4,0))))</f>
        <v>0</v>
      </c>
      <c r="AC217">
        <f ca="1">IF($C217-AC$1&lt;År1,0,AB216*(1-VLOOKUP($A217,[1]Hugst!$R$5:$W$9,MATCH(ROUNDUP((AC$1)/10,0)*10,[1]Hugst!$R$4:$W$4,0))))</f>
        <v>0</v>
      </c>
      <c r="AD217">
        <f ca="1">IF($C217-AD$1&lt;År1,0,AC216*(1-VLOOKUP($A217,[1]Hugst!$R$5:$W$9,MATCH(ROUNDUP((AD$1)/10,0)*10,[1]Hugst!$R$4:$W$4,0))))</f>
        <v>0</v>
      </c>
      <c r="AE217">
        <f ca="1">IF($C217-AE$1&lt;År1,0,AD216*(1-VLOOKUP($A217,[1]Hugst!$R$5:$W$9,MATCH(ROUNDUP((AE$1)/10,0)*10,[1]Hugst!$R$4:$W$4,0))))</f>
        <v>0</v>
      </c>
      <c r="AF217">
        <f ca="1">IF($C217-AF$1&lt;År1,0,AE216*(1-VLOOKUP($A217,[1]Hugst!$R$5:$W$9,MATCH(ROUNDUP((AF$1)/10,0)*10,[1]Hugst!$R$4:$W$4,0))))</f>
        <v>0</v>
      </c>
      <c r="AG217">
        <f ca="1">IF($C217-AG$1&lt;År1,0,AF216*(1-VLOOKUP($A217,[1]Hugst!$R$5:$W$9,MATCH(ROUNDUP((AG$1)/10,0)*10,[1]Hugst!$R$4:$W$4,0))))</f>
        <v>0</v>
      </c>
      <c r="AH217">
        <f ca="1">IF($C217-AH$1&lt;År1,0,AG216*(1-VLOOKUP($A217,[1]Hugst!$R$5:$W$9,MATCH(ROUNDUP((AH$1)/10,0)*10,[1]Hugst!$R$4:$W$4,0))))</f>
        <v>0</v>
      </c>
      <c r="AI217">
        <f ca="1">IF($C217-AI$1&lt;År1,0,AH216*(1-VLOOKUP($A217,[1]Hugst!$R$5:$W$9,MATCH(ROUNDUP((AI$1)/10,0)*10,[1]Hugst!$R$4:$W$4,0))))</f>
        <v>0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0</v>
      </c>
      <c r="E218">
        <f t="shared" ca="1" si="4"/>
        <v>0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>
        <f ca="1">IF($C218-G$1&lt;År1,0,F217*(1-VLOOKUP($A218,[1]Hugst!$R$5:$W$9,MATCH(ROUNDUP((G$1)/10,0)*10,[1]Hugst!$R$4:$W$4,0))))</f>
        <v>0</v>
      </c>
      <c r="H218">
        <f ca="1">IF($C218-H$1&lt;År1,0,G217*(1-VLOOKUP($A218,[1]Hugst!$R$5:$W$9,MATCH(ROUNDUP((H$1)/10,0)*10,[1]Hugst!$R$4:$W$4,0))))</f>
        <v>0</v>
      </c>
      <c r="I218">
        <f ca="1">IF($C218-I$1&lt;År1,0,H217*(1-VLOOKUP($A218,[1]Hugst!$R$5:$W$9,MATCH(ROUNDUP((I$1)/10,0)*10,[1]Hugst!$R$4:$W$4,0))))</f>
        <v>0</v>
      </c>
      <c r="J218">
        <f ca="1">IF($C218-J$1&lt;År1,0,I217*(1-VLOOKUP($A218,[1]Hugst!$R$5:$W$9,MATCH(ROUNDUP((J$1)/10,0)*10,[1]Hugst!$R$4:$W$4,0))))</f>
        <v>0</v>
      </c>
      <c r="K218">
        <f ca="1">IF($C218-K$1&lt;År1,0,J217*(1-VLOOKUP($A218,[1]Hugst!$R$5:$W$9,MATCH(ROUNDUP((K$1)/10,0)*10,[1]Hugst!$R$4:$W$4,0))))</f>
        <v>0</v>
      </c>
      <c r="L218">
        <f ca="1">IF($C218-L$1&lt;År1,0,K217*(1-VLOOKUP($A218,[1]Hugst!$R$5:$W$9,MATCH(ROUNDUP((L$1)/10,0)*10,[1]Hugst!$R$4:$W$4,0))))</f>
        <v>0</v>
      </c>
      <c r="M218">
        <f ca="1">IF($C218-M$1&lt;År1,0,L217*(1-VLOOKUP($A218,[1]Hugst!$R$5:$W$9,MATCH(ROUNDUP((M$1)/10,0)*10,[1]Hugst!$R$4:$W$4,0))))</f>
        <v>0</v>
      </c>
      <c r="N218">
        <f ca="1">IF($C218-N$1&lt;År1,0,M217*(1-VLOOKUP($A218,[1]Hugst!$R$5:$W$9,MATCH(ROUNDUP((N$1)/10,0)*10,[1]Hugst!$R$4:$W$4,0))))</f>
        <v>0</v>
      </c>
      <c r="O218">
        <f ca="1">IF($C218-O$1&lt;År1,0,N217*(1-VLOOKUP($A218,[1]Hugst!$R$5:$W$9,MATCH(ROUNDUP((O$1)/10,0)*10,[1]Hugst!$R$4:$W$4,0))))</f>
        <v>0</v>
      </c>
      <c r="P218">
        <f ca="1">IF($C218-P$1&lt;År1,0,O217*(1-VLOOKUP($A218,[1]Hugst!$R$5:$W$9,MATCH(ROUNDUP((P$1)/10,0)*10,[1]Hugst!$R$4:$W$4,0))))</f>
        <v>0</v>
      </c>
      <c r="Q218">
        <f ca="1">IF($C218-Q$1&lt;År1,0,P217*(1-VLOOKUP($A218,[1]Hugst!$R$5:$W$9,MATCH(ROUNDUP((Q$1)/10,0)*10,[1]Hugst!$R$4:$W$4,0))))</f>
        <v>0</v>
      </c>
      <c r="R218">
        <f ca="1">IF($C218-R$1&lt;År1,0,Q217*(1-VLOOKUP($A218,[1]Hugst!$R$5:$W$9,MATCH(ROUNDUP((R$1)/10,0)*10,[1]Hugst!$R$4:$W$4,0))))</f>
        <v>0</v>
      </c>
      <c r="S218">
        <f ca="1">IF($C218-S$1&lt;År1,0,R217*(1-VLOOKUP($A218,[1]Hugst!$R$5:$W$9,MATCH(ROUNDUP((S$1)/10,0)*10,[1]Hugst!$R$4:$W$4,0))))</f>
        <v>0</v>
      </c>
      <c r="T218">
        <f ca="1">IF($C218-T$1&lt;År1,0,S217*(1-VLOOKUP($A218,[1]Hugst!$R$5:$W$9,MATCH(ROUNDUP((T$1)/10,0)*10,[1]Hugst!$R$4:$W$4,0))))</f>
        <v>0</v>
      </c>
      <c r="U218">
        <f ca="1">IF($C218-U$1&lt;År1,0,T217*(1-VLOOKUP($A218,[1]Hugst!$R$5:$W$9,MATCH(ROUNDUP((U$1)/10,0)*10,[1]Hugst!$R$4:$W$4,0))))</f>
        <v>0</v>
      </c>
      <c r="V218">
        <f ca="1">IF($C218-V$1&lt;År1,0,U217*(1-VLOOKUP($A218,[1]Hugst!$R$5:$W$9,MATCH(ROUNDUP((V$1)/10,0)*10,[1]Hugst!$R$4:$W$4,0))))</f>
        <v>0</v>
      </c>
      <c r="W218">
        <f ca="1">IF($C218-W$1&lt;År1,0,V217*(1-VLOOKUP($A218,[1]Hugst!$R$5:$W$9,MATCH(ROUNDUP((W$1)/10,0)*10,[1]Hugst!$R$4:$W$4,0))))</f>
        <v>0</v>
      </c>
      <c r="X218">
        <f ca="1">IF($C218-X$1&lt;År1,0,W217*(1-VLOOKUP($A218,[1]Hugst!$R$5:$W$9,MATCH(ROUNDUP((X$1)/10,0)*10,[1]Hugst!$R$4:$W$4,0))))</f>
        <v>0</v>
      </c>
      <c r="Y218">
        <f ca="1">IF($C218-Y$1&lt;År1,0,X217*(1-VLOOKUP($A218,[1]Hugst!$R$5:$W$9,MATCH(ROUNDUP((Y$1)/10,0)*10,[1]Hugst!$R$4:$W$4,0))))</f>
        <v>0</v>
      </c>
      <c r="Z218">
        <f ca="1">IF($C218-Z$1&lt;År1,0,Y217*(1-VLOOKUP($A218,[1]Hugst!$R$5:$W$9,MATCH(ROUNDUP((Z$1)/10,0)*10,[1]Hugst!$R$4:$W$4,0))))</f>
        <v>0</v>
      </c>
      <c r="AA218">
        <f ca="1">IF($C218-AA$1&lt;År1,0,Z217*(1-VLOOKUP($A218,[1]Hugst!$R$5:$W$9,MATCH(ROUNDUP((AA$1)/10,0)*10,[1]Hugst!$R$4:$W$4,0))))</f>
        <v>0</v>
      </c>
      <c r="AB218">
        <f ca="1">IF($C218-AB$1&lt;År1,0,AA217*(1-VLOOKUP($A218,[1]Hugst!$R$5:$W$9,MATCH(ROUNDUP((AB$1)/10,0)*10,[1]Hugst!$R$4:$W$4,0))))</f>
        <v>0</v>
      </c>
      <c r="AC218">
        <f ca="1">IF($C218-AC$1&lt;År1,0,AB217*(1-VLOOKUP($A218,[1]Hugst!$R$5:$W$9,MATCH(ROUNDUP((AC$1)/10,0)*10,[1]Hugst!$R$4:$W$4,0))))</f>
        <v>0</v>
      </c>
      <c r="AD218">
        <f ca="1">IF($C218-AD$1&lt;År1,0,AC217*(1-VLOOKUP($A218,[1]Hugst!$R$5:$W$9,MATCH(ROUNDUP((AD$1)/10,0)*10,[1]Hugst!$R$4:$W$4,0))))</f>
        <v>0</v>
      </c>
      <c r="AE218">
        <f ca="1">IF($C218-AE$1&lt;År1,0,AD217*(1-VLOOKUP($A218,[1]Hugst!$R$5:$W$9,MATCH(ROUNDUP((AE$1)/10,0)*10,[1]Hugst!$R$4:$W$4,0))))</f>
        <v>0</v>
      </c>
      <c r="AF218">
        <f ca="1">IF($C218-AF$1&lt;År1,0,AE217*(1-VLOOKUP($A218,[1]Hugst!$R$5:$W$9,MATCH(ROUNDUP((AF$1)/10,0)*10,[1]Hugst!$R$4:$W$4,0))))</f>
        <v>0</v>
      </c>
      <c r="AG218">
        <f ca="1">IF($C218-AG$1&lt;År1,0,AF217*(1-VLOOKUP($A218,[1]Hugst!$R$5:$W$9,MATCH(ROUNDUP((AG$1)/10,0)*10,[1]Hugst!$R$4:$W$4,0))))</f>
        <v>0</v>
      </c>
      <c r="AH218">
        <f ca="1">IF($C218-AH$1&lt;År1,0,AG217*(1-VLOOKUP($A218,[1]Hugst!$R$5:$W$9,MATCH(ROUNDUP((AH$1)/10,0)*10,[1]Hugst!$R$4:$W$4,0))))</f>
        <v>0</v>
      </c>
      <c r="AI218">
        <f ca="1">IF($C218-AI$1&lt;År1,0,AH217*(1-VLOOKUP($A218,[1]Hugst!$R$5:$W$9,MATCH(ROUNDUP((AI$1)/10,0)*10,[1]Hugst!$R$4:$W$4,0))))</f>
        <v>0</v>
      </c>
      <c r="AJ218">
        <f ca="1">IF($C218-AJ$1&lt;År1,0,AI217*(1-VLOOKUP($A218,[1]Hugst!$R$5:$W$9,MATCH(ROUNDUP((AJ$1)/10,0)*10,[1]Hugst!$R$4:$W$4,0))))</f>
        <v>0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0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0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>
        <f ca="1">IF($C220-G$1&lt;År1,0,F219*(1-VLOOKUP($A220,[1]Hugst!$R$5:$W$9,MATCH(ROUNDUP((G$1)/10,0)*10,[1]Hugst!$R$4:$W$4,0))))</f>
        <v>0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0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>
        <f ca="1">IF($C221-G$1&lt;År1,0,F220*(1-VLOOKUP($A221,[1]Hugst!$R$5:$W$9,MATCH(ROUNDUP((G$1)/10,0)*10,[1]Hugst!$R$4:$W$4,0))))</f>
        <v>0</v>
      </c>
      <c r="H221">
        <f ca="1">IF($C221-H$1&lt;År1,0,G220*(1-VLOOKUP($A221,[1]Hugst!$R$5:$W$9,MATCH(ROUNDUP((H$1)/10,0)*10,[1]Hugst!$R$4:$W$4,0))))</f>
        <v>0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0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>
        <f ca="1">IF($C222-G$1&lt;År1,0,F221*(1-VLOOKUP($A222,[1]Hugst!$R$5:$W$9,MATCH(ROUNDUP((G$1)/10,0)*10,[1]Hugst!$R$4:$W$4,0))))</f>
        <v>0</v>
      </c>
      <c r="H222">
        <f ca="1">IF($C222-H$1&lt;År1,0,G221*(1-VLOOKUP($A222,[1]Hugst!$R$5:$W$9,MATCH(ROUNDUP((H$1)/10,0)*10,[1]Hugst!$R$4:$W$4,0))))</f>
        <v>0</v>
      </c>
      <c r="I222">
        <f ca="1">IF($C222-I$1&lt;År1,0,H221*(1-VLOOKUP($A222,[1]Hugst!$R$5:$W$9,MATCH(ROUNDUP((I$1)/10,0)*10,[1]Hugst!$R$4:$W$4,0))))</f>
        <v>0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0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>
        <f ca="1">IF($C223-G$1&lt;År1,0,F222*(1-VLOOKUP($A223,[1]Hugst!$R$5:$W$9,MATCH(ROUNDUP((G$1)/10,0)*10,[1]Hugst!$R$4:$W$4,0))))</f>
        <v>0</v>
      </c>
      <c r="H223">
        <f ca="1">IF($C223-H$1&lt;År1,0,G222*(1-VLOOKUP($A223,[1]Hugst!$R$5:$W$9,MATCH(ROUNDUP((H$1)/10,0)*10,[1]Hugst!$R$4:$W$4,0))))</f>
        <v>0</v>
      </c>
      <c r="I223">
        <f ca="1">IF($C223-I$1&lt;År1,0,H222*(1-VLOOKUP($A223,[1]Hugst!$R$5:$W$9,MATCH(ROUNDUP((I$1)/10,0)*10,[1]Hugst!$R$4:$W$4,0))))</f>
        <v>0</v>
      </c>
      <c r="J223">
        <f ca="1">IF($C223-J$1&lt;År1,0,I222*(1-VLOOKUP($A223,[1]Hugst!$R$5:$W$9,MATCH(ROUNDUP((J$1)/10,0)*10,[1]Hugst!$R$4:$W$4,0))))</f>
        <v>0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0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>
        <f ca="1">IF($C224-G$1&lt;År1,0,F223*(1-VLOOKUP($A224,[1]Hugst!$R$5:$W$9,MATCH(ROUNDUP((G$1)/10,0)*10,[1]Hugst!$R$4:$W$4,0))))</f>
        <v>0</v>
      </c>
      <c r="H224">
        <f ca="1">IF($C224-H$1&lt;År1,0,G223*(1-VLOOKUP($A224,[1]Hugst!$R$5:$W$9,MATCH(ROUNDUP((H$1)/10,0)*10,[1]Hugst!$R$4:$W$4,0))))</f>
        <v>0</v>
      </c>
      <c r="I224">
        <f ca="1">IF($C224-I$1&lt;År1,0,H223*(1-VLOOKUP($A224,[1]Hugst!$R$5:$W$9,MATCH(ROUNDUP((I$1)/10,0)*10,[1]Hugst!$R$4:$W$4,0))))</f>
        <v>0</v>
      </c>
      <c r="J224">
        <f ca="1">IF($C224-J$1&lt;År1,0,I223*(1-VLOOKUP($A224,[1]Hugst!$R$5:$W$9,MATCH(ROUNDUP((J$1)/10,0)*10,[1]Hugst!$R$4:$W$4,0))))</f>
        <v>0</v>
      </c>
      <c r="K224">
        <f ca="1">IF($C224-K$1&lt;År1,0,J223*(1-VLOOKUP($A224,[1]Hugst!$R$5:$W$9,MATCH(ROUNDUP((K$1)/10,0)*10,[1]Hugst!$R$4:$W$4,0))))</f>
        <v>0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0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>
        <f ca="1">IF($C225-G$1&lt;År1,0,F224*(1-VLOOKUP($A225,[1]Hugst!$R$5:$W$9,MATCH(ROUNDUP((G$1)/10,0)*10,[1]Hugst!$R$4:$W$4,0))))</f>
        <v>0</v>
      </c>
      <c r="H225">
        <f ca="1">IF($C225-H$1&lt;År1,0,G224*(1-VLOOKUP($A225,[1]Hugst!$R$5:$W$9,MATCH(ROUNDUP((H$1)/10,0)*10,[1]Hugst!$R$4:$W$4,0))))</f>
        <v>0</v>
      </c>
      <c r="I225">
        <f ca="1">IF($C225-I$1&lt;År1,0,H224*(1-VLOOKUP($A225,[1]Hugst!$R$5:$W$9,MATCH(ROUNDUP((I$1)/10,0)*10,[1]Hugst!$R$4:$W$4,0))))</f>
        <v>0</v>
      </c>
      <c r="J225">
        <f ca="1">IF($C225-J$1&lt;År1,0,I224*(1-VLOOKUP($A225,[1]Hugst!$R$5:$W$9,MATCH(ROUNDUP((J$1)/10,0)*10,[1]Hugst!$R$4:$W$4,0))))</f>
        <v>0</v>
      </c>
      <c r="K225">
        <f ca="1">IF($C225-K$1&lt;År1,0,J224*(1-VLOOKUP($A225,[1]Hugst!$R$5:$W$9,MATCH(ROUNDUP((K$1)/10,0)*10,[1]Hugst!$R$4:$W$4,0))))</f>
        <v>0</v>
      </c>
      <c r="L225">
        <f ca="1">IF($C225-L$1&lt;År1,0,K224*(1-VLOOKUP($A225,[1]Hugst!$R$5:$W$9,MATCH(ROUNDUP((L$1)/10,0)*10,[1]Hugst!$R$4:$W$4,0))))</f>
        <v>0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0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>
        <f ca="1">IF($C226-G$1&lt;År1,0,F225*(1-VLOOKUP($A226,[1]Hugst!$R$5:$W$9,MATCH(ROUNDUP((G$1)/10,0)*10,[1]Hugst!$R$4:$W$4,0))))</f>
        <v>0</v>
      </c>
      <c r="H226">
        <f ca="1">IF($C226-H$1&lt;År1,0,G225*(1-VLOOKUP($A226,[1]Hugst!$R$5:$W$9,MATCH(ROUNDUP((H$1)/10,0)*10,[1]Hugst!$R$4:$W$4,0))))</f>
        <v>0</v>
      </c>
      <c r="I226">
        <f ca="1">IF($C226-I$1&lt;År1,0,H225*(1-VLOOKUP($A226,[1]Hugst!$R$5:$W$9,MATCH(ROUNDUP((I$1)/10,0)*10,[1]Hugst!$R$4:$W$4,0))))</f>
        <v>0</v>
      </c>
      <c r="J226">
        <f ca="1">IF($C226-J$1&lt;År1,0,I225*(1-VLOOKUP($A226,[1]Hugst!$R$5:$W$9,MATCH(ROUNDUP((J$1)/10,0)*10,[1]Hugst!$R$4:$W$4,0))))</f>
        <v>0</v>
      </c>
      <c r="K226">
        <f ca="1">IF($C226-K$1&lt;År1,0,J225*(1-VLOOKUP($A226,[1]Hugst!$R$5:$W$9,MATCH(ROUNDUP((K$1)/10,0)*10,[1]Hugst!$R$4:$W$4,0))))</f>
        <v>0</v>
      </c>
      <c r="L226">
        <f ca="1">IF($C226-L$1&lt;År1,0,K225*(1-VLOOKUP($A226,[1]Hugst!$R$5:$W$9,MATCH(ROUNDUP((L$1)/10,0)*10,[1]Hugst!$R$4:$W$4,0))))</f>
        <v>0</v>
      </c>
      <c r="M226">
        <f ca="1">IF($C226-M$1&lt;År1,0,L225*(1-VLOOKUP($A226,[1]Hugst!$R$5:$W$9,MATCH(ROUNDUP((M$1)/10,0)*10,[1]Hugst!$R$4:$W$4,0))))</f>
        <v>0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0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>
        <f ca="1">IF($C227-G$1&lt;År1,0,F226*(1-VLOOKUP($A227,[1]Hugst!$R$5:$W$9,MATCH(ROUNDUP((G$1)/10,0)*10,[1]Hugst!$R$4:$W$4,0))))</f>
        <v>0</v>
      </c>
      <c r="H227">
        <f ca="1">IF($C227-H$1&lt;År1,0,G226*(1-VLOOKUP($A227,[1]Hugst!$R$5:$W$9,MATCH(ROUNDUP((H$1)/10,0)*10,[1]Hugst!$R$4:$W$4,0))))</f>
        <v>0</v>
      </c>
      <c r="I227">
        <f ca="1">IF($C227-I$1&lt;År1,0,H226*(1-VLOOKUP($A227,[1]Hugst!$R$5:$W$9,MATCH(ROUNDUP((I$1)/10,0)*10,[1]Hugst!$R$4:$W$4,0))))</f>
        <v>0</v>
      </c>
      <c r="J227">
        <f ca="1">IF($C227-J$1&lt;År1,0,I226*(1-VLOOKUP($A227,[1]Hugst!$R$5:$W$9,MATCH(ROUNDUP((J$1)/10,0)*10,[1]Hugst!$R$4:$W$4,0))))</f>
        <v>0</v>
      </c>
      <c r="K227">
        <f ca="1">IF($C227-K$1&lt;År1,0,J226*(1-VLOOKUP($A227,[1]Hugst!$R$5:$W$9,MATCH(ROUNDUP((K$1)/10,0)*10,[1]Hugst!$R$4:$W$4,0))))</f>
        <v>0</v>
      </c>
      <c r="L227">
        <f ca="1">IF($C227-L$1&lt;År1,0,K226*(1-VLOOKUP($A227,[1]Hugst!$R$5:$W$9,MATCH(ROUNDUP((L$1)/10,0)*10,[1]Hugst!$R$4:$W$4,0))))</f>
        <v>0</v>
      </c>
      <c r="M227">
        <f ca="1">IF($C227-M$1&lt;År1,0,L226*(1-VLOOKUP($A227,[1]Hugst!$R$5:$W$9,MATCH(ROUNDUP((M$1)/10,0)*10,[1]Hugst!$R$4:$W$4,0))))</f>
        <v>0</v>
      </c>
      <c r="N227">
        <f ca="1">IF($C227-N$1&lt;År1,0,M226*(1-VLOOKUP($A227,[1]Hugst!$R$5:$W$9,MATCH(ROUNDUP((N$1)/10,0)*10,[1]Hugst!$R$4:$W$4,0))))</f>
        <v>0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0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>
        <f ca="1">IF($C228-G$1&lt;År1,0,F227*(1-VLOOKUP($A228,[1]Hugst!$R$5:$W$9,MATCH(ROUNDUP((G$1)/10,0)*10,[1]Hugst!$R$4:$W$4,0))))</f>
        <v>0</v>
      </c>
      <c r="H228">
        <f ca="1">IF($C228-H$1&lt;År1,0,G227*(1-VLOOKUP($A228,[1]Hugst!$R$5:$W$9,MATCH(ROUNDUP((H$1)/10,0)*10,[1]Hugst!$R$4:$W$4,0))))</f>
        <v>0</v>
      </c>
      <c r="I228">
        <f ca="1">IF($C228-I$1&lt;År1,0,H227*(1-VLOOKUP($A228,[1]Hugst!$R$5:$W$9,MATCH(ROUNDUP((I$1)/10,0)*10,[1]Hugst!$R$4:$W$4,0))))</f>
        <v>0</v>
      </c>
      <c r="J228">
        <f ca="1">IF($C228-J$1&lt;År1,0,I227*(1-VLOOKUP($A228,[1]Hugst!$R$5:$W$9,MATCH(ROUNDUP((J$1)/10,0)*10,[1]Hugst!$R$4:$W$4,0))))</f>
        <v>0</v>
      </c>
      <c r="K228">
        <f ca="1">IF($C228-K$1&lt;År1,0,J227*(1-VLOOKUP($A228,[1]Hugst!$R$5:$W$9,MATCH(ROUNDUP((K$1)/10,0)*10,[1]Hugst!$R$4:$W$4,0))))</f>
        <v>0</v>
      </c>
      <c r="L228">
        <f ca="1">IF($C228-L$1&lt;År1,0,K227*(1-VLOOKUP($A228,[1]Hugst!$R$5:$W$9,MATCH(ROUNDUP((L$1)/10,0)*10,[1]Hugst!$R$4:$W$4,0))))</f>
        <v>0</v>
      </c>
      <c r="M228">
        <f ca="1">IF($C228-M$1&lt;År1,0,L227*(1-VLOOKUP($A228,[1]Hugst!$R$5:$W$9,MATCH(ROUNDUP((M$1)/10,0)*10,[1]Hugst!$R$4:$W$4,0))))</f>
        <v>0</v>
      </c>
      <c r="N228">
        <f ca="1">IF($C228-N$1&lt;År1,0,M227*(1-VLOOKUP($A228,[1]Hugst!$R$5:$W$9,MATCH(ROUNDUP((N$1)/10,0)*10,[1]Hugst!$R$4:$W$4,0))))</f>
        <v>0</v>
      </c>
      <c r="O228">
        <f ca="1">IF($C228-O$1&lt;År1,0,N227*(1-VLOOKUP($A228,[1]Hugst!$R$5:$W$9,MATCH(ROUNDUP((O$1)/10,0)*10,[1]Hugst!$R$4:$W$4,0))))</f>
        <v>0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0</v>
      </c>
      <c r="E229">
        <f t="shared" ca="1" si="5"/>
        <v>0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>
        <f ca="1">IF($C229-G$1&lt;År1,0,F228*(1-VLOOKUP($A229,[1]Hugst!$R$5:$W$9,MATCH(ROUNDUP((G$1)/10,0)*10,[1]Hugst!$R$4:$W$4,0))))</f>
        <v>0</v>
      </c>
      <c r="H229">
        <f ca="1">IF($C229-H$1&lt;År1,0,G228*(1-VLOOKUP($A229,[1]Hugst!$R$5:$W$9,MATCH(ROUNDUP((H$1)/10,0)*10,[1]Hugst!$R$4:$W$4,0))))</f>
        <v>0</v>
      </c>
      <c r="I229">
        <f ca="1">IF($C229-I$1&lt;År1,0,H228*(1-VLOOKUP($A229,[1]Hugst!$R$5:$W$9,MATCH(ROUNDUP((I$1)/10,0)*10,[1]Hugst!$R$4:$W$4,0))))</f>
        <v>0</v>
      </c>
      <c r="J229">
        <f ca="1">IF($C229-J$1&lt;År1,0,I228*(1-VLOOKUP($A229,[1]Hugst!$R$5:$W$9,MATCH(ROUNDUP((J$1)/10,0)*10,[1]Hugst!$R$4:$W$4,0))))</f>
        <v>0</v>
      </c>
      <c r="K229">
        <f ca="1">IF($C229-K$1&lt;År1,0,J228*(1-VLOOKUP($A229,[1]Hugst!$R$5:$W$9,MATCH(ROUNDUP((K$1)/10,0)*10,[1]Hugst!$R$4:$W$4,0))))</f>
        <v>0</v>
      </c>
      <c r="L229">
        <f ca="1">IF($C229-L$1&lt;År1,0,K228*(1-VLOOKUP($A229,[1]Hugst!$R$5:$W$9,MATCH(ROUNDUP((L$1)/10,0)*10,[1]Hugst!$R$4:$W$4,0))))</f>
        <v>0</v>
      </c>
      <c r="M229">
        <f ca="1">IF($C229-M$1&lt;År1,0,L228*(1-VLOOKUP($A229,[1]Hugst!$R$5:$W$9,MATCH(ROUNDUP((M$1)/10,0)*10,[1]Hugst!$R$4:$W$4,0))))</f>
        <v>0</v>
      </c>
      <c r="N229">
        <f ca="1">IF($C229-N$1&lt;År1,0,M228*(1-VLOOKUP($A229,[1]Hugst!$R$5:$W$9,MATCH(ROUNDUP((N$1)/10,0)*10,[1]Hugst!$R$4:$W$4,0))))</f>
        <v>0</v>
      </c>
      <c r="O229">
        <f ca="1">IF($C229-O$1&lt;År1,0,N228*(1-VLOOKUP($A229,[1]Hugst!$R$5:$W$9,MATCH(ROUNDUP((O$1)/10,0)*10,[1]Hugst!$R$4:$W$4,0))))</f>
        <v>0</v>
      </c>
      <c r="P229">
        <f ca="1">IF($C229-P$1&lt;År1,0,O228*(1-VLOOKUP($A229,[1]Hugst!$R$5:$W$9,MATCH(ROUNDUP((P$1)/10,0)*10,[1]Hugst!$R$4:$W$4,0))))</f>
        <v>0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0</v>
      </c>
      <c r="E230">
        <f t="shared" ca="1" si="5"/>
        <v>0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>
        <f ca="1">IF($C230-G$1&lt;År1,0,F229*(1-VLOOKUP($A230,[1]Hugst!$R$5:$W$9,MATCH(ROUNDUP((G$1)/10,0)*10,[1]Hugst!$R$4:$W$4,0))))</f>
        <v>0</v>
      </c>
      <c r="H230">
        <f ca="1">IF($C230-H$1&lt;År1,0,G229*(1-VLOOKUP($A230,[1]Hugst!$R$5:$W$9,MATCH(ROUNDUP((H$1)/10,0)*10,[1]Hugst!$R$4:$W$4,0))))</f>
        <v>0</v>
      </c>
      <c r="I230">
        <f ca="1">IF($C230-I$1&lt;År1,0,H229*(1-VLOOKUP($A230,[1]Hugst!$R$5:$W$9,MATCH(ROUNDUP((I$1)/10,0)*10,[1]Hugst!$R$4:$W$4,0))))</f>
        <v>0</v>
      </c>
      <c r="J230">
        <f ca="1">IF($C230-J$1&lt;År1,0,I229*(1-VLOOKUP($A230,[1]Hugst!$R$5:$W$9,MATCH(ROUNDUP((J$1)/10,0)*10,[1]Hugst!$R$4:$W$4,0))))</f>
        <v>0</v>
      </c>
      <c r="K230">
        <f ca="1">IF($C230-K$1&lt;År1,0,J229*(1-VLOOKUP($A230,[1]Hugst!$R$5:$W$9,MATCH(ROUNDUP((K$1)/10,0)*10,[1]Hugst!$R$4:$W$4,0))))</f>
        <v>0</v>
      </c>
      <c r="L230">
        <f ca="1">IF($C230-L$1&lt;År1,0,K229*(1-VLOOKUP($A230,[1]Hugst!$R$5:$W$9,MATCH(ROUNDUP((L$1)/10,0)*10,[1]Hugst!$R$4:$W$4,0))))</f>
        <v>0</v>
      </c>
      <c r="M230">
        <f ca="1">IF($C230-M$1&lt;År1,0,L229*(1-VLOOKUP($A230,[1]Hugst!$R$5:$W$9,MATCH(ROUNDUP((M$1)/10,0)*10,[1]Hugst!$R$4:$W$4,0))))</f>
        <v>0</v>
      </c>
      <c r="N230">
        <f ca="1">IF($C230-N$1&lt;År1,0,M229*(1-VLOOKUP($A230,[1]Hugst!$R$5:$W$9,MATCH(ROUNDUP((N$1)/10,0)*10,[1]Hugst!$R$4:$W$4,0))))</f>
        <v>0</v>
      </c>
      <c r="O230">
        <f ca="1">IF($C230-O$1&lt;År1,0,N229*(1-VLOOKUP($A230,[1]Hugst!$R$5:$W$9,MATCH(ROUNDUP((O$1)/10,0)*10,[1]Hugst!$R$4:$W$4,0))))</f>
        <v>0</v>
      </c>
      <c r="P230">
        <f ca="1">IF($C230-P$1&lt;År1,0,O229*(1-VLOOKUP($A230,[1]Hugst!$R$5:$W$9,MATCH(ROUNDUP((P$1)/10,0)*10,[1]Hugst!$R$4:$W$4,0))))</f>
        <v>0</v>
      </c>
      <c r="Q230">
        <f ca="1">IF($C230-Q$1&lt;År1,0,P229*(1-VLOOKUP($A230,[1]Hugst!$R$5:$W$9,MATCH(ROUNDUP((Q$1)/10,0)*10,[1]Hugst!$R$4:$W$4,0))))</f>
        <v>0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0</v>
      </c>
      <c r="E231">
        <f t="shared" ca="1" si="5"/>
        <v>0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>
        <f ca="1">IF($C231-G$1&lt;År1,0,F230*(1-VLOOKUP($A231,[1]Hugst!$R$5:$W$9,MATCH(ROUNDUP((G$1)/10,0)*10,[1]Hugst!$R$4:$W$4,0))))</f>
        <v>0</v>
      </c>
      <c r="H231">
        <f ca="1">IF($C231-H$1&lt;År1,0,G230*(1-VLOOKUP($A231,[1]Hugst!$R$5:$W$9,MATCH(ROUNDUP((H$1)/10,0)*10,[1]Hugst!$R$4:$W$4,0))))</f>
        <v>0</v>
      </c>
      <c r="I231">
        <f ca="1">IF($C231-I$1&lt;År1,0,H230*(1-VLOOKUP($A231,[1]Hugst!$R$5:$W$9,MATCH(ROUNDUP((I$1)/10,0)*10,[1]Hugst!$R$4:$W$4,0))))</f>
        <v>0</v>
      </c>
      <c r="J231">
        <f ca="1">IF($C231-J$1&lt;År1,0,I230*(1-VLOOKUP($A231,[1]Hugst!$R$5:$W$9,MATCH(ROUNDUP((J$1)/10,0)*10,[1]Hugst!$R$4:$W$4,0))))</f>
        <v>0</v>
      </c>
      <c r="K231">
        <f ca="1">IF($C231-K$1&lt;År1,0,J230*(1-VLOOKUP($A231,[1]Hugst!$R$5:$W$9,MATCH(ROUNDUP((K$1)/10,0)*10,[1]Hugst!$R$4:$W$4,0))))</f>
        <v>0</v>
      </c>
      <c r="L231">
        <f ca="1">IF($C231-L$1&lt;År1,0,K230*(1-VLOOKUP($A231,[1]Hugst!$R$5:$W$9,MATCH(ROUNDUP((L$1)/10,0)*10,[1]Hugst!$R$4:$W$4,0))))</f>
        <v>0</v>
      </c>
      <c r="M231">
        <f ca="1">IF($C231-M$1&lt;År1,0,L230*(1-VLOOKUP($A231,[1]Hugst!$R$5:$W$9,MATCH(ROUNDUP((M$1)/10,0)*10,[1]Hugst!$R$4:$W$4,0))))</f>
        <v>0</v>
      </c>
      <c r="N231">
        <f ca="1">IF($C231-N$1&lt;År1,0,M230*(1-VLOOKUP($A231,[1]Hugst!$R$5:$W$9,MATCH(ROUNDUP((N$1)/10,0)*10,[1]Hugst!$R$4:$W$4,0))))</f>
        <v>0</v>
      </c>
      <c r="O231">
        <f ca="1">IF($C231-O$1&lt;År1,0,N230*(1-VLOOKUP($A231,[1]Hugst!$R$5:$W$9,MATCH(ROUNDUP((O$1)/10,0)*10,[1]Hugst!$R$4:$W$4,0))))</f>
        <v>0</v>
      </c>
      <c r="P231">
        <f ca="1">IF($C231-P$1&lt;År1,0,O230*(1-VLOOKUP($A231,[1]Hugst!$R$5:$W$9,MATCH(ROUNDUP((P$1)/10,0)*10,[1]Hugst!$R$4:$W$4,0))))</f>
        <v>0</v>
      </c>
      <c r="Q231">
        <f ca="1">IF($C231-Q$1&lt;År1,0,P230*(1-VLOOKUP($A231,[1]Hugst!$R$5:$W$9,MATCH(ROUNDUP((Q$1)/10,0)*10,[1]Hugst!$R$4:$W$4,0))))</f>
        <v>0</v>
      </c>
      <c r="R231">
        <f ca="1">IF($C231-R$1&lt;År1,0,Q230*(1-VLOOKUP($A231,[1]Hugst!$R$5:$W$9,MATCH(ROUNDUP((R$1)/10,0)*10,[1]Hugst!$R$4:$W$4,0))))</f>
        <v>0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0</v>
      </c>
      <c r="E232">
        <f t="shared" ca="1" si="5"/>
        <v>0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>
        <f ca="1">IF($C232-G$1&lt;År1,0,F231*(1-VLOOKUP($A232,[1]Hugst!$R$5:$W$9,MATCH(ROUNDUP((G$1)/10,0)*10,[1]Hugst!$R$4:$W$4,0))))</f>
        <v>0</v>
      </c>
      <c r="H232">
        <f ca="1">IF($C232-H$1&lt;År1,0,G231*(1-VLOOKUP($A232,[1]Hugst!$R$5:$W$9,MATCH(ROUNDUP((H$1)/10,0)*10,[1]Hugst!$R$4:$W$4,0))))</f>
        <v>0</v>
      </c>
      <c r="I232">
        <f ca="1">IF($C232-I$1&lt;År1,0,H231*(1-VLOOKUP($A232,[1]Hugst!$R$5:$W$9,MATCH(ROUNDUP((I$1)/10,0)*10,[1]Hugst!$R$4:$W$4,0))))</f>
        <v>0</v>
      </c>
      <c r="J232">
        <f ca="1">IF($C232-J$1&lt;År1,0,I231*(1-VLOOKUP($A232,[1]Hugst!$R$5:$W$9,MATCH(ROUNDUP((J$1)/10,0)*10,[1]Hugst!$R$4:$W$4,0))))</f>
        <v>0</v>
      </c>
      <c r="K232">
        <f ca="1">IF($C232-K$1&lt;År1,0,J231*(1-VLOOKUP($A232,[1]Hugst!$R$5:$W$9,MATCH(ROUNDUP((K$1)/10,0)*10,[1]Hugst!$R$4:$W$4,0))))</f>
        <v>0</v>
      </c>
      <c r="L232">
        <f ca="1">IF($C232-L$1&lt;År1,0,K231*(1-VLOOKUP($A232,[1]Hugst!$R$5:$W$9,MATCH(ROUNDUP((L$1)/10,0)*10,[1]Hugst!$R$4:$W$4,0))))</f>
        <v>0</v>
      </c>
      <c r="M232">
        <f ca="1">IF($C232-M$1&lt;År1,0,L231*(1-VLOOKUP($A232,[1]Hugst!$R$5:$W$9,MATCH(ROUNDUP((M$1)/10,0)*10,[1]Hugst!$R$4:$W$4,0))))</f>
        <v>0</v>
      </c>
      <c r="N232">
        <f ca="1">IF($C232-N$1&lt;År1,0,M231*(1-VLOOKUP($A232,[1]Hugst!$R$5:$W$9,MATCH(ROUNDUP((N$1)/10,0)*10,[1]Hugst!$R$4:$W$4,0))))</f>
        <v>0</v>
      </c>
      <c r="O232">
        <f ca="1">IF($C232-O$1&lt;År1,0,N231*(1-VLOOKUP($A232,[1]Hugst!$R$5:$W$9,MATCH(ROUNDUP((O$1)/10,0)*10,[1]Hugst!$R$4:$W$4,0))))</f>
        <v>0</v>
      </c>
      <c r="P232">
        <f ca="1">IF($C232-P$1&lt;År1,0,O231*(1-VLOOKUP($A232,[1]Hugst!$R$5:$W$9,MATCH(ROUNDUP((P$1)/10,0)*10,[1]Hugst!$R$4:$W$4,0))))</f>
        <v>0</v>
      </c>
      <c r="Q232">
        <f ca="1">IF($C232-Q$1&lt;År1,0,P231*(1-VLOOKUP($A232,[1]Hugst!$R$5:$W$9,MATCH(ROUNDUP((Q$1)/10,0)*10,[1]Hugst!$R$4:$W$4,0))))</f>
        <v>0</v>
      </c>
      <c r="R232">
        <f ca="1">IF($C232-R$1&lt;År1,0,Q231*(1-VLOOKUP($A232,[1]Hugst!$R$5:$W$9,MATCH(ROUNDUP((R$1)/10,0)*10,[1]Hugst!$R$4:$W$4,0))))</f>
        <v>0</v>
      </c>
      <c r="S232">
        <f ca="1">IF($C232-S$1&lt;År1,0,R231*(1-VLOOKUP($A232,[1]Hugst!$R$5:$W$9,MATCH(ROUNDUP((S$1)/10,0)*10,[1]Hugst!$R$4:$W$4,0))))</f>
        <v>0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0</v>
      </c>
      <c r="E233">
        <f t="shared" ca="1" si="5"/>
        <v>0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>
        <f ca="1">IF($C233-G$1&lt;År1,0,F232*(1-VLOOKUP($A233,[1]Hugst!$R$5:$W$9,MATCH(ROUNDUP((G$1)/10,0)*10,[1]Hugst!$R$4:$W$4,0))))</f>
        <v>0</v>
      </c>
      <c r="H233">
        <f ca="1">IF($C233-H$1&lt;År1,0,G232*(1-VLOOKUP($A233,[1]Hugst!$R$5:$W$9,MATCH(ROUNDUP((H$1)/10,0)*10,[1]Hugst!$R$4:$W$4,0))))</f>
        <v>0</v>
      </c>
      <c r="I233">
        <f ca="1">IF($C233-I$1&lt;År1,0,H232*(1-VLOOKUP($A233,[1]Hugst!$R$5:$W$9,MATCH(ROUNDUP((I$1)/10,0)*10,[1]Hugst!$R$4:$W$4,0))))</f>
        <v>0</v>
      </c>
      <c r="J233">
        <f ca="1">IF($C233-J$1&lt;År1,0,I232*(1-VLOOKUP($A233,[1]Hugst!$R$5:$W$9,MATCH(ROUNDUP((J$1)/10,0)*10,[1]Hugst!$R$4:$W$4,0))))</f>
        <v>0</v>
      </c>
      <c r="K233">
        <f ca="1">IF($C233-K$1&lt;År1,0,J232*(1-VLOOKUP($A233,[1]Hugst!$R$5:$W$9,MATCH(ROUNDUP((K$1)/10,0)*10,[1]Hugst!$R$4:$W$4,0))))</f>
        <v>0</v>
      </c>
      <c r="L233">
        <f ca="1">IF($C233-L$1&lt;År1,0,K232*(1-VLOOKUP($A233,[1]Hugst!$R$5:$W$9,MATCH(ROUNDUP((L$1)/10,0)*10,[1]Hugst!$R$4:$W$4,0))))</f>
        <v>0</v>
      </c>
      <c r="M233">
        <f ca="1">IF($C233-M$1&lt;År1,0,L232*(1-VLOOKUP($A233,[1]Hugst!$R$5:$W$9,MATCH(ROUNDUP((M$1)/10,0)*10,[1]Hugst!$R$4:$W$4,0))))</f>
        <v>0</v>
      </c>
      <c r="N233">
        <f ca="1">IF($C233-N$1&lt;År1,0,M232*(1-VLOOKUP($A233,[1]Hugst!$R$5:$W$9,MATCH(ROUNDUP((N$1)/10,0)*10,[1]Hugst!$R$4:$W$4,0))))</f>
        <v>0</v>
      </c>
      <c r="O233">
        <f ca="1">IF($C233-O$1&lt;År1,0,N232*(1-VLOOKUP($A233,[1]Hugst!$R$5:$W$9,MATCH(ROUNDUP((O$1)/10,0)*10,[1]Hugst!$R$4:$W$4,0))))</f>
        <v>0</v>
      </c>
      <c r="P233">
        <f ca="1">IF($C233-P$1&lt;År1,0,O232*(1-VLOOKUP($A233,[1]Hugst!$R$5:$W$9,MATCH(ROUNDUP((P$1)/10,0)*10,[1]Hugst!$R$4:$W$4,0))))</f>
        <v>0</v>
      </c>
      <c r="Q233">
        <f ca="1">IF($C233-Q$1&lt;År1,0,P232*(1-VLOOKUP($A233,[1]Hugst!$R$5:$W$9,MATCH(ROUNDUP((Q$1)/10,0)*10,[1]Hugst!$R$4:$W$4,0))))</f>
        <v>0</v>
      </c>
      <c r="R233">
        <f ca="1">IF($C233-R$1&lt;År1,0,Q232*(1-VLOOKUP($A233,[1]Hugst!$R$5:$W$9,MATCH(ROUNDUP((R$1)/10,0)*10,[1]Hugst!$R$4:$W$4,0))))</f>
        <v>0</v>
      </c>
      <c r="S233">
        <f ca="1">IF($C233-S$1&lt;År1,0,R232*(1-VLOOKUP($A233,[1]Hugst!$R$5:$W$9,MATCH(ROUNDUP((S$1)/10,0)*10,[1]Hugst!$R$4:$W$4,0))))</f>
        <v>0</v>
      </c>
      <c r="T233">
        <f ca="1">IF($C233-T$1&lt;År1,0,S232*(1-VLOOKUP($A233,[1]Hugst!$R$5:$W$9,MATCH(ROUNDUP((T$1)/10,0)*10,[1]Hugst!$R$4:$W$4,0))))</f>
        <v>0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0</v>
      </c>
      <c r="E234">
        <f t="shared" ca="1" si="5"/>
        <v>0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>
        <f ca="1">IF($C234-G$1&lt;År1,0,F233*(1-VLOOKUP($A234,[1]Hugst!$R$5:$W$9,MATCH(ROUNDUP((G$1)/10,0)*10,[1]Hugst!$R$4:$W$4,0))))</f>
        <v>0</v>
      </c>
      <c r="H234">
        <f ca="1">IF($C234-H$1&lt;År1,0,G233*(1-VLOOKUP($A234,[1]Hugst!$R$5:$W$9,MATCH(ROUNDUP((H$1)/10,0)*10,[1]Hugst!$R$4:$W$4,0))))</f>
        <v>0</v>
      </c>
      <c r="I234">
        <f ca="1">IF($C234-I$1&lt;År1,0,H233*(1-VLOOKUP($A234,[1]Hugst!$R$5:$W$9,MATCH(ROUNDUP((I$1)/10,0)*10,[1]Hugst!$R$4:$W$4,0))))</f>
        <v>0</v>
      </c>
      <c r="J234">
        <f ca="1">IF($C234-J$1&lt;År1,0,I233*(1-VLOOKUP($A234,[1]Hugst!$R$5:$W$9,MATCH(ROUNDUP((J$1)/10,0)*10,[1]Hugst!$R$4:$W$4,0))))</f>
        <v>0</v>
      </c>
      <c r="K234">
        <f ca="1">IF($C234-K$1&lt;År1,0,J233*(1-VLOOKUP($A234,[1]Hugst!$R$5:$W$9,MATCH(ROUNDUP((K$1)/10,0)*10,[1]Hugst!$R$4:$W$4,0))))</f>
        <v>0</v>
      </c>
      <c r="L234">
        <f ca="1">IF($C234-L$1&lt;År1,0,K233*(1-VLOOKUP($A234,[1]Hugst!$R$5:$W$9,MATCH(ROUNDUP((L$1)/10,0)*10,[1]Hugst!$R$4:$W$4,0))))</f>
        <v>0</v>
      </c>
      <c r="M234">
        <f ca="1">IF($C234-M$1&lt;År1,0,L233*(1-VLOOKUP($A234,[1]Hugst!$R$5:$W$9,MATCH(ROUNDUP((M$1)/10,0)*10,[1]Hugst!$R$4:$W$4,0))))</f>
        <v>0</v>
      </c>
      <c r="N234">
        <f ca="1">IF($C234-N$1&lt;År1,0,M233*(1-VLOOKUP($A234,[1]Hugst!$R$5:$W$9,MATCH(ROUNDUP((N$1)/10,0)*10,[1]Hugst!$R$4:$W$4,0))))</f>
        <v>0</v>
      </c>
      <c r="O234">
        <f ca="1">IF($C234-O$1&lt;År1,0,N233*(1-VLOOKUP($A234,[1]Hugst!$R$5:$W$9,MATCH(ROUNDUP((O$1)/10,0)*10,[1]Hugst!$R$4:$W$4,0))))</f>
        <v>0</v>
      </c>
      <c r="P234">
        <f ca="1">IF($C234-P$1&lt;År1,0,O233*(1-VLOOKUP($A234,[1]Hugst!$R$5:$W$9,MATCH(ROUNDUP((P$1)/10,0)*10,[1]Hugst!$R$4:$W$4,0))))</f>
        <v>0</v>
      </c>
      <c r="Q234">
        <f ca="1">IF($C234-Q$1&lt;År1,0,P233*(1-VLOOKUP($A234,[1]Hugst!$R$5:$W$9,MATCH(ROUNDUP((Q$1)/10,0)*10,[1]Hugst!$R$4:$W$4,0))))</f>
        <v>0</v>
      </c>
      <c r="R234">
        <f ca="1">IF($C234-R$1&lt;År1,0,Q233*(1-VLOOKUP($A234,[1]Hugst!$R$5:$W$9,MATCH(ROUNDUP((R$1)/10,0)*10,[1]Hugst!$R$4:$W$4,0))))</f>
        <v>0</v>
      </c>
      <c r="S234">
        <f ca="1">IF($C234-S$1&lt;År1,0,R233*(1-VLOOKUP($A234,[1]Hugst!$R$5:$W$9,MATCH(ROUNDUP((S$1)/10,0)*10,[1]Hugst!$R$4:$W$4,0))))</f>
        <v>0</v>
      </c>
      <c r="T234">
        <f ca="1">IF($C234-T$1&lt;År1,0,S233*(1-VLOOKUP($A234,[1]Hugst!$R$5:$W$9,MATCH(ROUNDUP((T$1)/10,0)*10,[1]Hugst!$R$4:$W$4,0))))</f>
        <v>0</v>
      </c>
      <c r="U234">
        <f ca="1">IF($C234-U$1&lt;År1,0,T233*(1-VLOOKUP($A234,[1]Hugst!$R$5:$W$9,MATCH(ROUNDUP((U$1)/10,0)*10,[1]Hugst!$R$4:$W$4,0))))</f>
        <v>0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0</v>
      </c>
      <c r="E235">
        <f t="shared" ca="1" si="5"/>
        <v>0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>
        <f ca="1">IF($C235-G$1&lt;År1,0,F234*(1-VLOOKUP($A235,[1]Hugst!$R$5:$W$9,MATCH(ROUNDUP((G$1)/10,0)*10,[1]Hugst!$R$4:$W$4,0))))</f>
        <v>0</v>
      </c>
      <c r="H235">
        <f ca="1">IF($C235-H$1&lt;År1,0,G234*(1-VLOOKUP($A235,[1]Hugst!$R$5:$W$9,MATCH(ROUNDUP((H$1)/10,0)*10,[1]Hugst!$R$4:$W$4,0))))</f>
        <v>0</v>
      </c>
      <c r="I235">
        <f ca="1">IF($C235-I$1&lt;År1,0,H234*(1-VLOOKUP($A235,[1]Hugst!$R$5:$W$9,MATCH(ROUNDUP((I$1)/10,0)*10,[1]Hugst!$R$4:$W$4,0))))</f>
        <v>0</v>
      </c>
      <c r="J235">
        <f ca="1">IF($C235-J$1&lt;År1,0,I234*(1-VLOOKUP($A235,[1]Hugst!$R$5:$W$9,MATCH(ROUNDUP((J$1)/10,0)*10,[1]Hugst!$R$4:$W$4,0))))</f>
        <v>0</v>
      </c>
      <c r="K235">
        <f ca="1">IF($C235-K$1&lt;År1,0,J234*(1-VLOOKUP($A235,[1]Hugst!$R$5:$W$9,MATCH(ROUNDUP((K$1)/10,0)*10,[1]Hugst!$R$4:$W$4,0))))</f>
        <v>0</v>
      </c>
      <c r="L235">
        <f ca="1">IF($C235-L$1&lt;År1,0,K234*(1-VLOOKUP($A235,[1]Hugst!$R$5:$W$9,MATCH(ROUNDUP((L$1)/10,0)*10,[1]Hugst!$R$4:$W$4,0))))</f>
        <v>0</v>
      </c>
      <c r="M235">
        <f ca="1">IF($C235-M$1&lt;År1,0,L234*(1-VLOOKUP($A235,[1]Hugst!$R$5:$W$9,MATCH(ROUNDUP((M$1)/10,0)*10,[1]Hugst!$R$4:$W$4,0))))</f>
        <v>0</v>
      </c>
      <c r="N235">
        <f ca="1">IF($C235-N$1&lt;År1,0,M234*(1-VLOOKUP($A235,[1]Hugst!$R$5:$W$9,MATCH(ROUNDUP((N$1)/10,0)*10,[1]Hugst!$R$4:$W$4,0))))</f>
        <v>0</v>
      </c>
      <c r="O235">
        <f ca="1">IF($C235-O$1&lt;År1,0,N234*(1-VLOOKUP($A235,[1]Hugst!$R$5:$W$9,MATCH(ROUNDUP((O$1)/10,0)*10,[1]Hugst!$R$4:$W$4,0))))</f>
        <v>0</v>
      </c>
      <c r="P235">
        <f ca="1">IF($C235-P$1&lt;År1,0,O234*(1-VLOOKUP($A235,[1]Hugst!$R$5:$W$9,MATCH(ROUNDUP((P$1)/10,0)*10,[1]Hugst!$R$4:$W$4,0))))</f>
        <v>0</v>
      </c>
      <c r="Q235">
        <f ca="1">IF($C235-Q$1&lt;År1,0,P234*(1-VLOOKUP($A235,[1]Hugst!$R$5:$W$9,MATCH(ROUNDUP((Q$1)/10,0)*10,[1]Hugst!$R$4:$W$4,0))))</f>
        <v>0</v>
      </c>
      <c r="R235">
        <f ca="1">IF($C235-R$1&lt;År1,0,Q234*(1-VLOOKUP($A235,[1]Hugst!$R$5:$W$9,MATCH(ROUNDUP((R$1)/10,0)*10,[1]Hugst!$R$4:$W$4,0))))</f>
        <v>0</v>
      </c>
      <c r="S235">
        <f ca="1">IF($C235-S$1&lt;År1,0,R234*(1-VLOOKUP($A235,[1]Hugst!$R$5:$W$9,MATCH(ROUNDUP((S$1)/10,0)*10,[1]Hugst!$R$4:$W$4,0))))</f>
        <v>0</v>
      </c>
      <c r="T235">
        <f ca="1">IF($C235-T$1&lt;År1,0,S234*(1-VLOOKUP($A235,[1]Hugst!$R$5:$W$9,MATCH(ROUNDUP((T$1)/10,0)*10,[1]Hugst!$R$4:$W$4,0))))</f>
        <v>0</v>
      </c>
      <c r="U235">
        <f ca="1">IF($C235-U$1&lt;År1,0,T234*(1-VLOOKUP($A235,[1]Hugst!$R$5:$W$9,MATCH(ROUNDUP((U$1)/10,0)*10,[1]Hugst!$R$4:$W$4,0))))</f>
        <v>0</v>
      </c>
      <c r="V235">
        <f ca="1">IF($C235-V$1&lt;År1,0,U234*(1-VLOOKUP($A235,[1]Hugst!$R$5:$W$9,MATCH(ROUNDUP((V$1)/10,0)*10,[1]Hugst!$R$4:$W$4,0))))</f>
        <v>0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0</v>
      </c>
      <c r="E236">
        <f t="shared" ca="1" si="5"/>
        <v>0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>
        <f ca="1">IF($C236-G$1&lt;År1,0,F235*(1-VLOOKUP($A236,[1]Hugst!$R$5:$W$9,MATCH(ROUNDUP((G$1)/10,0)*10,[1]Hugst!$R$4:$W$4,0))))</f>
        <v>0</v>
      </c>
      <c r="H236">
        <f ca="1">IF($C236-H$1&lt;År1,0,G235*(1-VLOOKUP($A236,[1]Hugst!$R$5:$W$9,MATCH(ROUNDUP((H$1)/10,0)*10,[1]Hugst!$R$4:$W$4,0))))</f>
        <v>0</v>
      </c>
      <c r="I236">
        <f ca="1">IF($C236-I$1&lt;År1,0,H235*(1-VLOOKUP($A236,[1]Hugst!$R$5:$W$9,MATCH(ROUNDUP((I$1)/10,0)*10,[1]Hugst!$R$4:$W$4,0))))</f>
        <v>0</v>
      </c>
      <c r="J236">
        <f ca="1">IF($C236-J$1&lt;År1,0,I235*(1-VLOOKUP($A236,[1]Hugst!$R$5:$W$9,MATCH(ROUNDUP((J$1)/10,0)*10,[1]Hugst!$R$4:$W$4,0))))</f>
        <v>0</v>
      </c>
      <c r="K236">
        <f ca="1">IF($C236-K$1&lt;År1,0,J235*(1-VLOOKUP($A236,[1]Hugst!$R$5:$W$9,MATCH(ROUNDUP((K$1)/10,0)*10,[1]Hugst!$R$4:$W$4,0))))</f>
        <v>0</v>
      </c>
      <c r="L236">
        <f ca="1">IF($C236-L$1&lt;År1,0,K235*(1-VLOOKUP($A236,[1]Hugst!$R$5:$W$9,MATCH(ROUNDUP((L$1)/10,0)*10,[1]Hugst!$R$4:$W$4,0))))</f>
        <v>0</v>
      </c>
      <c r="M236">
        <f ca="1">IF($C236-M$1&lt;År1,0,L235*(1-VLOOKUP($A236,[1]Hugst!$R$5:$W$9,MATCH(ROUNDUP((M$1)/10,0)*10,[1]Hugst!$R$4:$W$4,0))))</f>
        <v>0</v>
      </c>
      <c r="N236">
        <f ca="1">IF($C236-N$1&lt;År1,0,M235*(1-VLOOKUP($A236,[1]Hugst!$R$5:$W$9,MATCH(ROUNDUP((N$1)/10,0)*10,[1]Hugst!$R$4:$W$4,0))))</f>
        <v>0</v>
      </c>
      <c r="O236">
        <f ca="1">IF($C236-O$1&lt;År1,0,N235*(1-VLOOKUP($A236,[1]Hugst!$R$5:$W$9,MATCH(ROUNDUP((O$1)/10,0)*10,[1]Hugst!$R$4:$W$4,0))))</f>
        <v>0</v>
      </c>
      <c r="P236">
        <f ca="1">IF($C236-P$1&lt;År1,0,O235*(1-VLOOKUP($A236,[1]Hugst!$R$5:$W$9,MATCH(ROUNDUP((P$1)/10,0)*10,[1]Hugst!$R$4:$W$4,0))))</f>
        <v>0</v>
      </c>
      <c r="Q236">
        <f ca="1">IF($C236-Q$1&lt;År1,0,P235*(1-VLOOKUP($A236,[1]Hugst!$R$5:$W$9,MATCH(ROUNDUP((Q$1)/10,0)*10,[1]Hugst!$R$4:$W$4,0))))</f>
        <v>0</v>
      </c>
      <c r="R236">
        <f ca="1">IF($C236-R$1&lt;År1,0,Q235*(1-VLOOKUP($A236,[1]Hugst!$R$5:$W$9,MATCH(ROUNDUP((R$1)/10,0)*10,[1]Hugst!$R$4:$W$4,0))))</f>
        <v>0</v>
      </c>
      <c r="S236">
        <f ca="1">IF($C236-S$1&lt;År1,0,R235*(1-VLOOKUP($A236,[1]Hugst!$R$5:$W$9,MATCH(ROUNDUP((S$1)/10,0)*10,[1]Hugst!$R$4:$W$4,0))))</f>
        <v>0</v>
      </c>
      <c r="T236">
        <f ca="1">IF($C236-T$1&lt;År1,0,S235*(1-VLOOKUP($A236,[1]Hugst!$R$5:$W$9,MATCH(ROUNDUP((T$1)/10,0)*10,[1]Hugst!$R$4:$W$4,0))))</f>
        <v>0</v>
      </c>
      <c r="U236">
        <f ca="1">IF($C236-U$1&lt;År1,0,T235*(1-VLOOKUP($A236,[1]Hugst!$R$5:$W$9,MATCH(ROUNDUP((U$1)/10,0)*10,[1]Hugst!$R$4:$W$4,0))))</f>
        <v>0</v>
      </c>
      <c r="V236">
        <f ca="1">IF($C236-V$1&lt;År1,0,U235*(1-VLOOKUP($A236,[1]Hugst!$R$5:$W$9,MATCH(ROUNDUP((V$1)/10,0)*10,[1]Hugst!$R$4:$W$4,0))))</f>
        <v>0</v>
      </c>
      <c r="W236">
        <f ca="1">IF($C236-W$1&lt;År1,0,V235*(1-VLOOKUP($A236,[1]Hugst!$R$5:$W$9,MATCH(ROUNDUP((W$1)/10,0)*10,[1]Hugst!$R$4:$W$4,0))))</f>
        <v>0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0</v>
      </c>
      <c r="E237">
        <f t="shared" ca="1" si="5"/>
        <v>0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>
        <f ca="1">IF($C237-G$1&lt;År1,0,F236*(1-VLOOKUP($A237,[1]Hugst!$R$5:$W$9,MATCH(ROUNDUP((G$1)/10,0)*10,[1]Hugst!$R$4:$W$4,0))))</f>
        <v>0</v>
      </c>
      <c r="H237">
        <f ca="1">IF($C237-H$1&lt;År1,0,G236*(1-VLOOKUP($A237,[1]Hugst!$R$5:$W$9,MATCH(ROUNDUP((H$1)/10,0)*10,[1]Hugst!$R$4:$W$4,0))))</f>
        <v>0</v>
      </c>
      <c r="I237">
        <f ca="1">IF($C237-I$1&lt;År1,0,H236*(1-VLOOKUP($A237,[1]Hugst!$R$5:$W$9,MATCH(ROUNDUP((I$1)/10,0)*10,[1]Hugst!$R$4:$W$4,0))))</f>
        <v>0</v>
      </c>
      <c r="J237">
        <f ca="1">IF($C237-J$1&lt;År1,0,I236*(1-VLOOKUP($A237,[1]Hugst!$R$5:$W$9,MATCH(ROUNDUP((J$1)/10,0)*10,[1]Hugst!$R$4:$W$4,0))))</f>
        <v>0</v>
      </c>
      <c r="K237">
        <f ca="1">IF($C237-K$1&lt;År1,0,J236*(1-VLOOKUP($A237,[1]Hugst!$R$5:$W$9,MATCH(ROUNDUP((K$1)/10,0)*10,[1]Hugst!$R$4:$W$4,0))))</f>
        <v>0</v>
      </c>
      <c r="L237">
        <f ca="1">IF($C237-L$1&lt;År1,0,K236*(1-VLOOKUP($A237,[1]Hugst!$R$5:$W$9,MATCH(ROUNDUP((L$1)/10,0)*10,[1]Hugst!$R$4:$W$4,0))))</f>
        <v>0</v>
      </c>
      <c r="M237">
        <f ca="1">IF($C237-M$1&lt;År1,0,L236*(1-VLOOKUP($A237,[1]Hugst!$R$5:$W$9,MATCH(ROUNDUP((M$1)/10,0)*10,[1]Hugst!$R$4:$W$4,0))))</f>
        <v>0</v>
      </c>
      <c r="N237">
        <f ca="1">IF($C237-N$1&lt;År1,0,M236*(1-VLOOKUP($A237,[1]Hugst!$R$5:$W$9,MATCH(ROUNDUP((N$1)/10,0)*10,[1]Hugst!$R$4:$W$4,0))))</f>
        <v>0</v>
      </c>
      <c r="O237">
        <f ca="1">IF($C237-O$1&lt;År1,0,N236*(1-VLOOKUP($A237,[1]Hugst!$R$5:$W$9,MATCH(ROUNDUP((O$1)/10,0)*10,[1]Hugst!$R$4:$W$4,0))))</f>
        <v>0</v>
      </c>
      <c r="P237">
        <f ca="1">IF($C237-P$1&lt;År1,0,O236*(1-VLOOKUP($A237,[1]Hugst!$R$5:$W$9,MATCH(ROUNDUP((P$1)/10,0)*10,[1]Hugst!$R$4:$W$4,0))))</f>
        <v>0</v>
      </c>
      <c r="Q237">
        <f ca="1">IF($C237-Q$1&lt;År1,0,P236*(1-VLOOKUP($A237,[1]Hugst!$R$5:$W$9,MATCH(ROUNDUP((Q$1)/10,0)*10,[1]Hugst!$R$4:$W$4,0))))</f>
        <v>0</v>
      </c>
      <c r="R237">
        <f ca="1">IF($C237-R$1&lt;År1,0,Q236*(1-VLOOKUP($A237,[1]Hugst!$R$5:$W$9,MATCH(ROUNDUP((R$1)/10,0)*10,[1]Hugst!$R$4:$W$4,0))))</f>
        <v>0</v>
      </c>
      <c r="S237">
        <f ca="1">IF($C237-S$1&lt;År1,0,R236*(1-VLOOKUP($A237,[1]Hugst!$R$5:$W$9,MATCH(ROUNDUP((S$1)/10,0)*10,[1]Hugst!$R$4:$W$4,0))))</f>
        <v>0</v>
      </c>
      <c r="T237">
        <f ca="1">IF($C237-T$1&lt;År1,0,S236*(1-VLOOKUP($A237,[1]Hugst!$R$5:$W$9,MATCH(ROUNDUP((T$1)/10,0)*10,[1]Hugst!$R$4:$W$4,0))))</f>
        <v>0</v>
      </c>
      <c r="U237">
        <f ca="1">IF($C237-U$1&lt;År1,0,T236*(1-VLOOKUP($A237,[1]Hugst!$R$5:$W$9,MATCH(ROUNDUP((U$1)/10,0)*10,[1]Hugst!$R$4:$W$4,0))))</f>
        <v>0</v>
      </c>
      <c r="V237">
        <f ca="1">IF($C237-V$1&lt;År1,0,U236*(1-VLOOKUP($A237,[1]Hugst!$R$5:$W$9,MATCH(ROUNDUP((V$1)/10,0)*10,[1]Hugst!$R$4:$W$4,0))))</f>
        <v>0</v>
      </c>
      <c r="W237">
        <f ca="1">IF($C237-W$1&lt;År1,0,V236*(1-VLOOKUP($A237,[1]Hugst!$R$5:$W$9,MATCH(ROUNDUP((W$1)/10,0)*10,[1]Hugst!$R$4:$W$4,0))))</f>
        <v>0</v>
      </c>
      <c r="X237">
        <f ca="1">IF($C237-X$1&lt;År1,0,W236*(1-VLOOKUP($A237,[1]Hugst!$R$5:$W$9,MATCH(ROUNDUP((X$1)/10,0)*10,[1]Hugst!$R$4:$W$4,0))))</f>
        <v>0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0</v>
      </c>
      <c r="E238">
        <f t="shared" ca="1" si="5"/>
        <v>0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>
        <f ca="1">IF($C238-G$1&lt;År1,0,F237*(1-VLOOKUP($A238,[1]Hugst!$R$5:$W$9,MATCH(ROUNDUP((G$1)/10,0)*10,[1]Hugst!$R$4:$W$4,0))))</f>
        <v>0</v>
      </c>
      <c r="H238">
        <f ca="1">IF($C238-H$1&lt;År1,0,G237*(1-VLOOKUP($A238,[1]Hugst!$R$5:$W$9,MATCH(ROUNDUP((H$1)/10,0)*10,[1]Hugst!$R$4:$W$4,0))))</f>
        <v>0</v>
      </c>
      <c r="I238">
        <f ca="1">IF($C238-I$1&lt;År1,0,H237*(1-VLOOKUP($A238,[1]Hugst!$R$5:$W$9,MATCH(ROUNDUP((I$1)/10,0)*10,[1]Hugst!$R$4:$W$4,0))))</f>
        <v>0</v>
      </c>
      <c r="J238">
        <f ca="1">IF($C238-J$1&lt;År1,0,I237*(1-VLOOKUP($A238,[1]Hugst!$R$5:$W$9,MATCH(ROUNDUP((J$1)/10,0)*10,[1]Hugst!$R$4:$W$4,0))))</f>
        <v>0</v>
      </c>
      <c r="K238">
        <f ca="1">IF($C238-K$1&lt;År1,0,J237*(1-VLOOKUP($A238,[1]Hugst!$R$5:$W$9,MATCH(ROUNDUP((K$1)/10,0)*10,[1]Hugst!$R$4:$W$4,0))))</f>
        <v>0</v>
      </c>
      <c r="L238">
        <f ca="1">IF($C238-L$1&lt;År1,0,K237*(1-VLOOKUP($A238,[1]Hugst!$R$5:$W$9,MATCH(ROUNDUP((L$1)/10,0)*10,[1]Hugst!$R$4:$W$4,0))))</f>
        <v>0</v>
      </c>
      <c r="M238">
        <f ca="1">IF($C238-M$1&lt;År1,0,L237*(1-VLOOKUP($A238,[1]Hugst!$R$5:$W$9,MATCH(ROUNDUP((M$1)/10,0)*10,[1]Hugst!$R$4:$W$4,0))))</f>
        <v>0</v>
      </c>
      <c r="N238">
        <f ca="1">IF($C238-N$1&lt;År1,0,M237*(1-VLOOKUP($A238,[1]Hugst!$R$5:$W$9,MATCH(ROUNDUP((N$1)/10,0)*10,[1]Hugst!$R$4:$W$4,0))))</f>
        <v>0</v>
      </c>
      <c r="O238">
        <f ca="1">IF($C238-O$1&lt;År1,0,N237*(1-VLOOKUP($A238,[1]Hugst!$R$5:$W$9,MATCH(ROUNDUP((O$1)/10,0)*10,[1]Hugst!$R$4:$W$4,0))))</f>
        <v>0</v>
      </c>
      <c r="P238">
        <f ca="1">IF($C238-P$1&lt;År1,0,O237*(1-VLOOKUP($A238,[1]Hugst!$R$5:$W$9,MATCH(ROUNDUP((P$1)/10,0)*10,[1]Hugst!$R$4:$W$4,0))))</f>
        <v>0</v>
      </c>
      <c r="Q238">
        <f ca="1">IF($C238-Q$1&lt;År1,0,P237*(1-VLOOKUP($A238,[1]Hugst!$R$5:$W$9,MATCH(ROUNDUP((Q$1)/10,0)*10,[1]Hugst!$R$4:$W$4,0))))</f>
        <v>0</v>
      </c>
      <c r="R238">
        <f ca="1">IF($C238-R$1&lt;År1,0,Q237*(1-VLOOKUP($A238,[1]Hugst!$R$5:$W$9,MATCH(ROUNDUP((R$1)/10,0)*10,[1]Hugst!$R$4:$W$4,0))))</f>
        <v>0</v>
      </c>
      <c r="S238">
        <f ca="1">IF($C238-S$1&lt;År1,0,R237*(1-VLOOKUP($A238,[1]Hugst!$R$5:$W$9,MATCH(ROUNDUP((S$1)/10,0)*10,[1]Hugst!$R$4:$W$4,0))))</f>
        <v>0</v>
      </c>
      <c r="T238">
        <f ca="1">IF($C238-T$1&lt;År1,0,S237*(1-VLOOKUP($A238,[1]Hugst!$R$5:$W$9,MATCH(ROUNDUP((T$1)/10,0)*10,[1]Hugst!$R$4:$W$4,0))))</f>
        <v>0</v>
      </c>
      <c r="U238">
        <f ca="1">IF($C238-U$1&lt;År1,0,T237*(1-VLOOKUP($A238,[1]Hugst!$R$5:$W$9,MATCH(ROUNDUP((U$1)/10,0)*10,[1]Hugst!$R$4:$W$4,0))))</f>
        <v>0</v>
      </c>
      <c r="V238">
        <f ca="1">IF($C238-V$1&lt;År1,0,U237*(1-VLOOKUP($A238,[1]Hugst!$R$5:$W$9,MATCH(ROUNDUP((V$1)/10,0)*10,[1]Hugst!$R$4:$W$4,0))))</f>
        <v>0</v>
      </c>
      <c r="W238">
        <f ca="1">IF($C238-W$1&lt;År1,0,V237*(1-VLOOKUP($A238,[1]Hugst!$R$5:$W$9,MATCH(ROUNDUP((W$1)/10,0)*10,[1]Hugst!$R$4:$W$4,0))))</f>
        <v>0</v>
      </c>
      <c r="X238">
        <f ca="1">IF($C238-X$1&lt;År1,0,W237*(1-VLOOKUP($A238,[1]Hugst!$R$5:$W$9,MATCH(ROUNDUP((X$1)/10,0)*10,[1]Hugst!$R$4:$W$4,0))))</f>
        <v>0</v>
      </c>
      <c r="Y238">
        <f ca="1">IF($C238-Y$1&lt;År1,0,X237*(1-VLOOKUP($A238,[1]Hugst!$R$5:$W$9,MATCH(ROUNDUP((Y$1)/10,0)*10,[1]Hugst!$R$4:$W$4,0))))</f>
        <v>0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0</v>
      </c>
      <c r="E239">
        <f t="shared" ca="1" si="5"/>
        <v>0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>
        <f ca="1">IF($C239-G$1&lt;År1,0,F238*(1-VLOOKUP($A239,[1]Hugst!$R$5:$W$9,MATCH(ROUNDUP((G$1)/10,0)*10,[1]Hugst!$R$4:$W$4,0))))</f>
        <v>0</v>
      </c>
      <c r="H239">
        <f ca="1">IF($C239-H$1&lt;År1,0,G238*(1-VLOOKUP($A239,[1]Hugst!$R$5:$W$9,MATCH(ROUNDUP((H$1)/10,0)*10,[1]Hugst!$R$4:$W$4,0))))</f>
        <v>0</v>
      </c>
      <c r="I239">
        <f ca="1">IF($C239-I$1&lt;År1,0,H238*(1-VLOOKUP($A239,[1]Hugst!$R$5:$W$9,MATCH(ROUNDUP((I$1)/10,0)*10,[1]Hugst!$R$4:$W$4,0))))</f>
        <v>0</v>
      </c>
      <c r="J239">
        <f ca="1">IF($C239-J$1&lt;År1,0,I238*(1-VLOOKUP($A239,[1]Hugst!$R$5:$W$9,MATCH(ROUNDUP((J$1)/10,0)*10,[1]Hugst!$R$4:$W$4,0))))</f>
        <v>0</v>
      </c>
      <c r="K239">
        <f ca="1">IF($C239-K$1&lt;År1,0,J238*(1-VLOOKUP($A239,[1]Hugst!$R$5:$W$9,MATCH(ROUNDUP((K$1)/10,0)*10,[1]Hugst!$R$4:$W$4,0))))</f>
        <v>0</v>
      </c>
      <c r="L239">
        <f ca="1">IF($C239-L$1&lt;År1,0,K238*(1-VLOOKUP($A239,[1]Hugst!$R$5:$W$9,MATCH(ROUNDUP((L$1)/10,0)*10,[1]Hugst!$R$4:$W$4,0))))</f>
        <v>0</v>
      </c>
      <c r="M239">
        <f ca="1">IF($C239-M$1&lt;År1,0,L238*(1-VLOOKUP($A239,[1]Hugst!$R$5:$W$9,MATCH(ROUNDUP((M$1)/10,0)*10,[1]Hugst!$R$4:$W$4,0))))</f>
        <v>0</v>
      </c>
      <c r="N239">
        <f ca="1">IF($C239-N$1&lt;År1,0,M238*(1-VLOOKUP($A239,[1]Hugst!$R$5:$W$9,MATCH(ROUNDUP((N$1)/10,0)*10,[1]Hugst!$R$4:$W$4,0))))</f>
        <v>0</v>
      </c>
      <c r="O239">
        <f ca="1">IF($C239-O$1&lt;År1,0,N238*(1-VLOOKUP($A239,[1]Hugst!$R$5:$W$9,MATCH(ROUNDUP((O$1)/10,0)*10,[1]Hugst!$R$4:$W$4,0))))</f>
        <v>0</v>
      </c>
      <c r="P239">
        <f ca="1">IF($C239-P$1&lt;År1,0,O238*(1-VLOOKUP($A239,[1]Hugst!$R$5:$W$9,MATCH(ROUNDUP((P$1)/10,0)*10,[1]Hugst!$R$4:$W$4,0))))</f>
        <v>0</v>
      </c>
      <c r="Q239">
        <f ca="1">IF($C239-Q$1&lt;År1,0,P238*(1-VLOOKUP($A239,[1]Hugst!$R$5:$W$9,MATCH(ROUNDUP((Q$1)/10,0)*10,[1]Hugst!$R$4:$W$4,0))))</f>
        <v>0</v>
      </c>
      <c r="R239">
        <f ca="1">IF($C239-R$1&lt;År1,0,Q238*(1-VLOOKUP($A239,[1]Hugst!$R$5:$W$9,MATCH(ROUNDUP((R$1)/10,0)*10,[1]Hugst!$R$4:$W$4,0))))</f>
        <v>0</v>
      </c>
      <c r="S239">
        <f ca="1">IF($C239-S$1&lt;År1,0,R238*(1-VLOOKUP($A239,[1]Hugst!$R$5:$W$9,MATCH(ROUNDUP((S$1)/10,0)*10,[1]Hugst!$R$4:$W$4,0))))</f>
        <v>0</v>
      </c>
      <c r="T239">
        <f ca="1">IF($C239-T$1&lt;År1,0,S238*(1-VLOOKUP($A239,[1]Hugst!$R$5:$W$9,MATCH(ROUNDUP((T$1)/10,0)*10,[1]Hugst!$R$4:$W$4,0))))</f>
        <v>0</v>
      </c>
      <c r="U239">
        <f ca="1">IF($C239-U$1&lt;År1,0,T238*(1-VLOOKUP($A239,[1]Hugst!$R$5:$W$9,MATCH(ROUNDUP((U$1)/10,0)*10,[1]Hugst!$R$4:$W$4,0))))</f>
        <v>0</v>
      </c>
      <c r="V239">
        <f ca="1">IF($C239-V$1&lt;År1,0,U238*(1-VLOOKUP($A239,[1]Hugst!$R$5:$W$9,MATCH(ROUNDUP((V$1)/10,0)*10,[1]Hugst!$R$4:$W$4,0))))</f>
        <v>0</v>
      </c>
      <c r="W239">
        <f ca="1">IF($C239-W$1&lt;År1,0,V238*(1-VLOOKUP($A239,[1]Hugst!$R$5:$W$9,MATCH(ROUNDUP((W$1)/10,0)*10,[1]Hugst!$R$4:$W$4,0))))</f>
        <v>0</v>
      </c>
      <c r="X239">
        <f ca="1">IF($C239-X$1&lt;År1,0,W238*(1-VLOOKUP($A239,[1]Hugst!$R$5:$W$9,MATCH(ROUNDUP((X$1)/10,0)*10,[1]Hugst!$R$4:$W$4,0))))</f>
        <v>0</v>
      </c>
      <c r="Y239">
        <f ca="1">IF($C239-Y$1&lt;År1,0,X238*(1-VLOOKUP($A239,[1]Hugst!$R$5:$W$9,MATCH(ROUNDUP((Y$1)/10,0)*10,[1]Hugst!$R$4:$W$4,0))))</f>
        <v>0</v>
      </c>
      <c r="Z239">
        <f ca="1">IF($C239-Z$1&lt;År1,0,Y238*(1-VLOOKUP($A239,[1]Hugst!$R$5:$W$9,MATCH(ROUNDUP((Z$1)/10,0)*10,[1]Hugst!$R$4:$W$4,0))))</f>
        <v>0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0</v>
      </c>
      <c r="E240">
        <f t="shared" ca="1" si="5"/>
        <v>0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>
        <f ca="1">IF($C240-G$1&lt;År1,0,F239*(1-VLOOKUP($A240,[1]Hugst!$R$5:$W$9,MATCH(ROUNDUP((G$1)/10,0)*10,[1]Hugst!$R$4:$W$4,0))))</f>
        <v>0</v>
      </c>
      <c r="H240">
        <f ca="1">IF($C240-H$1&lt;År1,0,G239*(1-VLOOKUP($A240,[1]Hugst!$R$5:$W$9,MATCH(ROUNDUP((H$1)/10,0)*10,[1]Hugst!$R$4:$W$4,0))))</f>
        <v>0</v>
      </c>
      <c r="I240">
        <f ca="1">IF($C240-I$1&lt;År1,0,H239*(1-VLOOKUP($A240,[1]Hugst!$R$5:$W$9,MATCH(ROUNDUP((I$1)/10,0)*10,[1]Hugst!$R$4:$W$4,0))))</f>
        <v>0</v>
      </c>
      <c r="J240">
        <f ca="1">IF($C240-J$1&lt;År1,0,I239*(1-VLOOKUP($A240,[1]Hugst!$R$5:$W$9,MATCH(ROUNDUP((J$1)/10,0)*10,[1]Hugst!$R$4:$W$4,0))))</f>
        <v>0</v>
      </c>
      <c r="K240">
        <f ca="1">IF($C240-K$1&lt;År1,0,J239*(1-VLOOKUP($A240,[1]Hugst!$R$5:$W$9,MATCH(ROUNDUP((K$1)/10,0)*10,[1]Hugst!$R$4:$W$4,0))))</f>
        <v>0</v>
      </c>
      <c r="L240">
        <f ca="1">IF($C240-L$1&lt;År1,0,K239*(1-VLOOKUP($A240,[1]Hugst!$R$5:$W$9,MATCH(ROUNDUP((L$1)/10,0)*10,[1]Hugst!$R$4:$W$4,0))))</f>
        <v>0</v>
      </c>
      <c r="M240">
        <f ca="1">IF($C240-M$1&lt;År1,0,L239*(1-VLOOKUP($A240,[1]Hugst!$R$5:$W$9,MATCH(ROUNDUP((M$1)/10,0)*10,[1]Hugst!$R$4:$W$4,0))))</f>
        <v>0</v>
      </c>
      <c r="N240">
        <f ca="1">IF($C240-N$1&lt;År1,0,M239*(1-VLOOKUP($A240,[1]Hugst!$R$5:$W$9,MATCH(ROUNDUP((N$1)/10,0)*10,[1]Hugst!$R$4:$W$4,0))))</f>
        <v>0</v>
      </c>
      <c r="O240">
        <f ca="1">IF($C240-O$1&lt;År1,0,N239*(1-VLOOKUP($A240,[1]Hugst!$R$5:$W$9,MATCH(ROUNDUP((O$1)/10,0)*10,[1]Hugst!$R$4:$W$4,0))))</f>
        <v>0</v>
      </c>
      <c r="P240">
        <f ca="1">IF($C240-P$1&lt;År1,0,O239*(1-VLOOKUP($A240,[1]Hugst!$R$5:$W$9,MATCH(ROUNDUP((P$1)/10,0)*10,[1]Hugst!$R$4:$W$4,0))))</f>
        <v>0</v>
      </c>
      <c r="Q240">
        <f ca="1">IF($C240-Q$1&lt;År1,0,P239*(1-VLOOKUP($A240,[1]Hugst!$R$5:$W$9,MATCH(ROUNDUP((Q$1)/10,0)*10,[1]Hugst!$R$4:$W$4,0))))</f>
        <v>0</v>
      </c>
      <c r="R240">
        <f ca="1">IF($C240-R$1&lt;År1,0,Q239*(1-VLOOKUP($A240,[1]Hugst!$R$5:$W$9,MATCH(ROUNDUP((R$1)/10,0)*10,[1]Hugst!$R$4:$W$4,0))))</f>
        <v>0</v>
      </c>
      <c r="S240">
        <f ca="1">IF($C240-S$1&lt;År1,0,R239*(1-VLOOKUP($A240,[1]Hugst!$R$5:$W$9,MATCH(ROUNDUP((S$1)/10,0)*10,[1]Hugst!$R$4:$W$4,0))))</f>
        <v>0</v>
      </c>
      <c r="T240">
        <f ca="1">IF($C240-T$1&lt;År1,0,S239*(1-VLOOKUP($A240,[1]Hugst!$R$5:$W$9,MATCH(ROUNDUP((T$1)/10,0)*10,[1]Hugst!$R$4:$W$4,0))))</f>
        <v>0</v>
      </c>
      <c r="U240">
        <f ca="1">IF($C240-U$1&lt;År1,0,T239*(1-VLOOKUP($A240,[1]Hugst!$R$5:$W$9,MATCH(ROUNDUP((U$1)/10,0)*10,[1]Hugst!$R$4:$W$4,0))))</f>
        <v>0</v>
      </c>
      <c r="V240">
        <f ca="1">IF($C240-V$1&lt;År1,0,U239*(1-VLOOKUP($A240,[1]Hugst!$R$5:$W$9,MATCH(ROUNDUP((V$1)/10,0)*10,[1]Hugst!$R$4:$W$4,0))))</f>
        <v>0</v>
      </c>
      <c r="W240">
        <f ca="1">IF($C240-W$1&lt;År1,0,V239*(1-VLOOKUP($A240,[1]Hugst!$R$5:$W$9,MATCH(ROUNDUP((W$1)/10,0)*10,[1]Hugst!$R$4:$W$4,0))))</f>
        <v>0</v>
      </c>
      <c r="X240">
        <f ca="1">IF($C240-X$1&lt;År1,0,W239*(1-VLOOKUP($A240,[1]Hugst!$R$5:$W$9,MATCH(ROUNDUP((X$1)/10,0)*10,[1]Hugst!$R$4:$W$4,0))))</f>
        <v>0</v>
      </c>
      <c r="Y240">
        <f ca="1">IF($C240-Y$1&lt;År1,0,X239*(1-VLOOKUP($A240,[1]Hugst!$R$5:$W$9,MATCH(ROUNDUP((Y$1)/10,0)*10,[1]Hugst!$R$4:$W$4,0))))</f>
        <v>0</v>
      </c>
      <c r="Z240">
        <f ca="1">IF($C240-Z$1&lt;År1,0,Y239*(1-VLOOKUP($A240,[1]Hugst!$R$5:$W$9,MATCH(ROUNDUP((Z$1)/10,0)*10,[1]Hugst!$R$4:$W$4,0))))</f>
        <v>0</v>
      </c>
      <c r="AA240">
        <f ca="1">IF($C240-AA$1&lt;År1,0,Z239*(1-VLOOKUP($A240,[1]Hugst!$R$5:$W$9,MATCH(ROUNDUP((AA$1)/10,0)*10,[1]Hugst!$R$4:$W$4,0))))</f>
        <v>0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0</v>
      </c>
      <c r="E241">
        <f t="shared" ca="1" si="5"/>
        <v>0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>
        <f ca="1">IF($C241-G$1&lt;År1,0,F240*(1-VLOOKUP($A241,[1]Hugst!$R$5:$W$9,MATCH(ROUNDUP((G$1)/10,0)*10,[1]Hugst!$R$4:$W$4,0))))</f>
        <v>0</v>
      </c>
      <c r="H241">
        <f ca="1">IF($C241-H$1&lt;År1,0,G240*(1-VLOOKUP($A241,[1]Hugst!$R$5:$W$9,MATCH(ROUNDUP((H$1)/10,0)*10,[1]Hugst!$R$4:$W$4,0))))</f>
        <v>0</v>
      </c>
      <c r="I241">
        <f ca="1">IF($C241-I$1&lt;År1,0,H240*(1-VLOOKUP($A241,[1]Hugst!$R$5:$W$9,MATCH(ROUNDUP((I$1)/10,0)*10,[1]Hugst!$R$4:$W$4,0))))</f>
        <v>0</v>
      </c>
      <c r="J241">
        <f ca="1">IF($C241-J$1&lt;År1,0,I240*(1-VLOOKUP($A241,[1]Hugst!$R$5:$W$9,MATCH(ROUNDUP((J$1)/10,0)*10,[1]Hugst!$R$4:$W$4,0))))</f>
        <v>0</v>
      </c>
      <c r="K241">
        <f ca="1">IF($C241-K$1&lt;År1,0,J240*(1-VLOOKUP($A241,[1]Hugst!$R$5:$W$9,MATCH(ROUNDUP((K$1)/10,0)*10,[1]Hugst!$R$4:$W$4,0))))</f>
        <v>0</v>
      </c>
      <c r="L241">
        <f ca="1">IF($C241-L$1&lt;År1,0,K240*(1-VLOOKUP($A241,[1]Hugst!$R$5:$W$9,MATCH(ROUNDUP((L$1)/10,0)*10,[1]Hugst!$R$4:$W$4,0))))</f>
        <v>0</v>
      </c>
      <c r="M241">
        <f ca="1">IF($C241-M$1&lt;År1,0,L240*(1-VLOOKUP($A241,[1]Hugst!$R$5:$W$9,MATCH(ROUNDUP((M$1)/10,0)*10,[1]Hugst!$R$4:$W$4,0))))</f>
        <v>0</v>
      </c>
      <c r="N241">
        <f ca="1">IF($C241-N$1&lt;År1,0,M240*(1-VLOOKUP($A241,[1]Hugst!$R$5:$W$9,MATCH(ROUNDUP((N$1)/10,0)*10,[1]Hugst!$R$4:$W$4,0))))</f>
        <v>0</v>
      </c>
      <c r="O241">
        <f ca="1">IF($C241-O$1&lt;År1,0,N240*(1-VLOOKUP($A241,[1]Hugst!$R$5:$W$9,MATCH(ROUNDUP((O$1)/10,0)*10,[1]Hugst!$R$4:$W$4,0))))</f>
        <v>0</v>
      </c>
      <c r="P241">
        <f ca="1">IF($C241-P$1&lt;År1,0,O240*(1-VLOOKUP($A241,[1]Hugst!$R$5:$W$9,MATCH(ROUNDUP((P$1)/10,0)*10,[1]Hugst!$R$4:$W$4,0))))</f>
        <v>0</v>
      </c>
      <c r="Q241">
        <f ca="1">IF($C241-Q$1&lt;År1,0,P240*(1-VLOOKUP($A241,[1]Hugst!$R$5:$W$9,MATCH(ROUNDUP((Q$1)/10,0)*10,[1]Hugst!$R$4:$W$4,0))))</f>
        <v>0</v>
      </c>
      <c r="R241">
        <f ca="1">IF($C241-R$1&lt;År1,0,Q240*(1-VLOOKUP($A241,[1]Hugst!$R$5:$W$9,MATCH(ROUNDUP((R$1)/10,0)*10,[1]Hugst!$R$4:$W$4,0))))</f>
        <v>0</v>
      </c>
      <c r="S241">
        <f ca="1">IF($C241-S$1&lt;År1,0,R240*(1-VLOOKUP($A241,[1]Hugst!$R$5:$W$9,MATCH(ROUNDUP((S$1)/10,0)*10,[1]Hugst!$R$4:$W$4,0))))</f>
        <v>0</v>
      </c>
      <c r="T241">
        <f ca="1">IF($C241-T$1&lt;År1,0,S240*(1-VLOOKUP($A241,[1]Hugst!$R$5:$W$9,MATCH(ROUNDUP((T$1)/10,0)*10,[1]Hugst!$R$4:$W$4,0))))</f>
        <v>0</v>
      </c>
      <c r="U241">
        <f ca="1">IF($C241-U$1&lt;År1,0,T240*(1-VLOOKUP($A241,[1]Hugst!$R$5:$W$9,MATCH(ROUNDUP((U$1)/10,0)*10,[1]Hugst!$R$4:$W$4,0))))</f>
        <v>0</v>
      </c>
      <c r="V241">
        <f ca="1">IF($C241-V$1&lt;År1,0,U240*(1-VLOOKUP($A241,[1]Hugst!$R$5:$W$9,MATCH(ROUNDUP((V$1)/10,0)*10,[1]Hugst!$R$4:$W$4,0))))</f>
        <v>0</v>
      </c>
      <c r="W241">
        <f ca="1">IF($C241-W$1&lt;År1,0,V240*(1-VLOOKUP($A241,[1]Hugst!$R$5:$W$9,MATCH(ROUNDUP((W$1)/10,0)*10,[1]Hugst!$R$4:$W$4,0))))</f>
        <v>0</v>
      </c>
      <c r="X241">
        <f ca="1">IF($C241-X$1&lt;År1,0,W240*(1-VLOOKUP($A241,[1]Hugst!$R$5:$W$9,MATCH(ROUNDUP((X$1)/10,0)*10,[1]Hugst!$R$4:$W$4,0))))</f>
        <v>0</v>
      </c>
      <c r="Y241">
        <f ca="1">IF($C241-Y$1&lt;År1,0,X240*(1-VLOOKUP($A241,[1]Hugst!$R$5:$W$9,MATCH(ROUNDUP((Y$1)/10,0)*10,[1]Hugst!$R$4:$W$4,0))))</f>
        <v>0</v>
      </c>
      <c r="Z241">
        <f ca="1">IF($C241-Z$1&lt;År1,0,Y240*(1-VLOOKUP($A241,[1]Hugst!$R$5:$W$9,MATCH(ROUNDUP((Z$1)/10,0)*10,[1]Hugst!$R$4:$W$4,0))))</f>
        <v>0</v>
      </c>
      <c r="AA241">
        <f ca="1">IF($C241-AA$1&lt;År1,0,Z240*(1-VLOOKUP($A241,[1]Hugst!$R$5:$W$9,MATCH(ROUNDUP((AA$1)/10,0)*10,[1]Hugst!$R$4:$W$4,0))))</f>
        <v>0</v>
      </c>
      <c r="AB241">
        <f ca="1">IF($C241-AB$1&lt;År1,0,AA240*(1-VLOOKUP($A241,[1]Hugst!$R$5:$W$9,MATCH(ROUNDUP((AB$1)/10,0)*10,[1]Hugst!$R$4:$W$4,0))))</f>
        <v>0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0</v>
      </c>
      <c r="E242">
        <f t="shared" ca="1" si="5"/>
        <v>0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>
        <f ca="1">IF($C242-G$1&lt;År1,0,F241*(1-VLOOKUP($A242,[1]Hugst!$R$5:$W$9,MATCH(ROUNDUP((G$1)/10,0)*10,[1]Hugst!$R$4:$W$4,0))))</f>
        <v>0</v>
      </c>
      <c r="H242">
        <f ca="1">IF($C242-H$1&lt;År1,0,G241*(1-VLOOKUP($A242,[1]Hugst!$R$5:$W$9,MATCH(ROUNDUP((H$1)/10,0)*10,[1]Hugst!$R$4:$W$4,0))))</f>
        <v>0</v>
      </c>
      <c r="I242">
        <f ca="1">IF($C242-I$1&lt;År1,0,H241*(1-VLOOKUP($A242,[1]Hugst!$R$5:$W$9,MATCH(ROUNDUP((I$1)/10,0)*10,[1]Hugst!$R$4:$W$4,0))))</f>
        <v>0</v>
      </c>
      <c r="J242">
        <f ca="1">IF($C242-J$1&lt;År1,0,I241*(1-VLOOKUP($A242,[1]Hugst!$R$5:$W$9,MATCH(ROUNDUP((J$1)/10,0)*10,[1]Hugst!$R$4:$W$4,0))))</f>
        <v>0</v>
      </c>
      <c r="K242">
        <f ca="1">IF($C242-K$1&lt;År1,0,J241*(1-VLOOKUP($A242,[1]Hugst!$R$5:$W$9,MATCH(ROUNDUP((K$1)/10,0)*10,[1]Hugst!$R$4:$W$4,0))))</f>
        <v>0</v>
      </c>
      <c r="L242">
        <f ca="1">IF($C242-L$1&lt;År1,0,K241*(1-VLOOKUP($A242,[1]Hugst!$R$5:$W$9,MATCH(ROUNDUP((L$1)/10,0)*10,[1]Hugst!$R$4:$W$4,0))))</f>
        <v>0</v>
      </c>
      <c r="M242">
        <f ca="1">IF($C242-M$1&lt;År1,0,L241*(1-VLOOKUP($A242,[1]Hugst!$R$5:$W$9,MATCH(ROUNDUP((M$1)/10,0)*10,[1]Hugst!$R$4:$W$4,0))))</f>
        <v>0</v>
      </c>
      <c r="N242">
        <f ca="1">IF($C242-N$1&lt;År1,0,M241*(1-VLOOKUP($A242,[1]Hugst!$R$5:$W$9,MATCH(ROUNDUP((N$1)/10,0)*10,[1]Hugst!$R$4:$W$4,0))))</f>
        <v>0</v>
      </c>
      <c r="O242">
        <f ca="1">IF($C242-O$1&lt;År1,0,N241*(1-VLOOKUP($A242,[1]Hugst!$R$5:$W$9,MATCH(ROUNDUP((O$1)/10,0)*10,[1]Hugst!$R$4:$W$4,0))))</f>
        <v>0</v>
      </c>
      <c r="P242">
        <f ca="1">IF($C242-P$1&lt;År1,0,O241*(1-VLOOKUP($A242,[1]Hugst!$R$5:$W$9,MATCH(ROUNDUP((P$1)/10,0)*10,[1]Hugst!$R$4:$W$4,0))))</f>
        <v>0</v>
      </c>
      <c r="Q242">
        <f ca="1">IF($C242-Q$1&lt;År1,0,P241*(1-VLOOKUP($A242,[1]Hugst!$R$5:$W$9,MATCH(ROUNDUP((Q$1)/10,0)*10,[1]Hugst!$R$4:$W$4,0))))</f>
        <v>0</v>
      </c>
      <c r="R242">
        <f ca="1">IF($C242-R$1&lt;År1,0,Q241*(1-VLOOKUP($A242,[1]Hugst!$R$5:$W$9,MATCH(ROUNDUP((R$1)/10,0)*10,[1]Hugst!$R$4:$W$4,0))))</f>
        <v>0</v>
      </c>
      <c r="S242">
        <f ca="1">IF($C242-S$1&lt;År1,0,R241*(1-VLOOKUP($A242,[1]Hugst!$R$5:$W$9,MATCH(ROUNDUP((S$1)/10,0)*10,[1]Hugst!$R$4:$W$4,0))))</f>
        <v>0</v>
      </c>
      <c r="T242">
        <f ca="1">IF($C242-T$1&lt;År1,0,S241*(1-VLOOKUP($A242,[1]Hugst!$R$5:$W$9,MATCH(ROUNDUP((T$1)/10,0)*10,[1]Hugst!$R$4:$W$4,0))))</f>
        <v>0</v>
      </c>
      <c r="U242">
        <f ca="1">IF($C242-U$1&lt;År1,0,T241*(1-VLOOKUP($A242,[1]Hugst!$R$5:$W$9,MATCH(ROUNDUP((U$1)/10,0)*10,[1]Hugst!$R$4:$W$4,0))))</f>
        <v>0</v>
      </c>
      <c r="V242">
        <f ca="1">IF($C242-V$1&lt;År1,0,U241*(1-VLOOKUP($A242,[1]Hugst!$R$5:$W$9,MATCH(ROUNDUP((V$1)/10,0)*10,[1]Hugst!$R$4:$W$4,0))))</f>
        <v>0</v>
      </c>
      <c r="W242">
        <f ca="1">IF($C242-W$1&lt;År1,0,V241*(1-VLOOKUP($A242,[1]Hugst!$R$5:$W$9,MATCH(ROUNDUP((W$1)/10,0)*10,[1]Hugst!$R$4:$W$4,0))))</f>
        <v>0</v>
      </c>
      <c r="X242">
        <f ca="1">IF($C242-X$1&lt;År1,0,W241*(1-VLOOKUP($A242,[1]Hugst!$R$5:$W$9,MATCH(ROUNDUP((X$1)/10,0)*10,[1]Hugst!$R$4:$W$4,0))))</f>
        <v>0</v>
      </c>
      <c r="Y242">
        <f ca="1">IF($C242-Y$1&lt;År1,0,X241*(1-VLOOKUP($A242,[1]Hugst!$R$5:$W$9,MATCH(ROUNDUP((Y$1)/10,0)*10,[1]Hugst!$R$4:$W$4,0))))</f>
        <v>0</v>
      </c>
      <c r="Z242">
        <f ca="1">IF($C242-Z$1&lt;År1,0,Y241*(1-VLOOKUP($A242,[1]Hugst!$R$5:$W$9,MATCH(ROUNDUP((Z$1)/10,0)*10,[1]Hugst!$R$4:$W$4,0))))</f>
        <v>0</v>
      </c>
      <c r="AA242">
        <f ca="1">IF($C242-AA$1&lt;År1,0,Z241*(1-VLOOKUP($A242,[1]Hugst!$R$5:$W$9,MATCH(ROUNDUP((AA$1)/10,0)*10,[1]Hugst!$R$4:$W$4,0))))</f>
        <v>0</v>
      </c>
      <c r="AB242">
        <f ca="1">IF($C242-AB$1&lt;År1,0,AA241*(1-VLOOKUP($A242,[1]Hugst!$R$5:$W$9,MATCH(ROUNDUP((AB$1)/10,0)*10,[1]Hugst!$R$4:$W$4,0))))</f>
        <v>0</v>
      </c>
      <c r="AC242">
        <f ca="1">IF($C242-AC$1&lt;År1,0,AB241*(1-VLOOKUP($A242,[1]Hugst!$R$5:$W$9,MATCH(ROUNDUP((AC$1)/10,0)*10,[1]Hugst!$R$4:$W$4,0))))</f>
        <v>0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0</v>
      </c>
      <c r="E243">
        <f t="shared" ca="1" si="5"/>
        <v>0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>
        <f ca="1">IF($C243-G$1&lt;År1,0,F242*(1-VLOOKUP($A243,[1]Hugst!$R$5:$W$9,MATCH(ROUNDUP((G$1)/10,0)*10,[1]Hugst!$R$4:$W$4,0))))</f>
        <v>0</v>
      </c>
      <c r="H243">
        <f ca="1">IF($C243-H$1&lt;År1,0,G242*(1-VLOOKUP($A243,[1]Hugst!$R$5:$W$9,MATCH(ROUNDUP((H$1)/10,0)*10,[1]Hugst!$R$4:$W$4,0))))</f>
        <v>0</v>
      </c>
      <c r="I243">
        <f ca="1">IF($C243-I$1&lt;År1,0,H242*(1-VLOOKUP($A243,[1]Hugst!$R$5:$W$9,MATCH(ROUNDUP((I$1)/10,0)*10,[1]Hugst!$R$4:$W$4,0))))</f>
        <v>0</v>
      </c>
      <c r="J243">
        <f ca="1">IF($C243-J$1&lt;År1,0,I242*(1-VLOOKUP($A243,[1]Hugst!$R$5:$W$9,MATCH(ROUNDUP((J$1)/10,0)*10,[1]Hugst!$R$4:$W$4,0))))</f>
        <v>0</v>
      </c>
      <c r="K243">
        <f ca="1">IF($C243-K$1&lt;År1,0,J242*(1-VLOOKUP($A243,[1]Hugst!$R$5:$W$9,MATCH(ROUNDUP((K$1)/10,0)*10,[1]Hugst!$R$4:$W$4,0))))</f>
        <v>0</v>
      </c>
      <c r="L243">
        <f ca="1">IF($C243-L$1&lt;År1,0,K242*(1-VLOOKUP($A243,[1]Hugst!$R$5:$W$9,MATCH(ROUNDUP((L$1)/10,0)*10,[1]Hugst!$R$4:$W$4,0))))</f>
        <v>0</v>
      </c>
      <c r="M243">
        <f ca="1">IF($C243-M$1&lt;År1,0,L242*(1-VLOOKUP($A243,[1]Hugst!$R$5:$W$9,MATCH(ROUNDUP((M$1)/10,0)*10,[1]Hugst!$R$4:$W$4,0))))</f>
        <v>0</v>
      </c>
      <c r="N243">
        <f ca="1">IF($C243-N$1&lt;År1,0,M242*(1-VLOOKUP($A243,[1]Hugst!$R$5:$W$9,MATCH(ROUNDUP((N$1)/10,0)*10,[1]Hugst!$R$4:$W$4,0))))</f>
        <v>0</v>
      </c>
      <c r="O243">
        <f ca="1">IF($C243-O$1&lt;År1,0,N242*(1-VLOOKUP($A243,[1]Hugst!$R$5:$W$9,MATCH(ROUNDUP((O$1)/10,0)*10,[1]Hugst!$R$4:$W$4,0))))</f>
        <v>0</v>
      </c>
      <c r="P243">
        <f ca="1">IF($C243-P$1&lt;År1,0,O242*(1-VLOOKUP($A243,[1]Hugst!$R$5:$W$9,MATCH(ROUNDUP((P$1)/10,0)*10,[1]Hugst!$R$4:$W$4,0))))</f>
        <v>0</v>
      </c>
      <c r="Q243">
        <f ca="1">IF($C243-Q$1&lt;År1,0,P242*(1-VLOOKUP($A243,[1]Hugst!$R$5:$W$9,MATCH(ROUNDUP((Q$1)/10,0)*10,[1]Hugst!$R$4:$W$4,0))))</f>
        <v>0</v>
      </c>
      <c r="R243">
        <f ca="1">IF($C243-R$1&lt;År1,0,Q242*(1-VLOOKUP($A243,[1]Hugst!$R$5:$W$9,MATCH(ROUNDUP((R$1)/10,0)*10,[1]Hugst!$R$4:$W$4,0))))</f>
        <v>0</v>
      </c>
      <c r="S243">
        <f ca="1">IF($C243-S$1&lt;År1,0,R242*(1-VLOOKUP($A243,[1]Hugst!$R$5:$W$9,MATCH(ROUNDUP((S$1)/10,0)*10,[1]Hugst!$R$4:$W$4,0))))</f>
        <v>0</v>
      </c>
      <c r="T243">
        <f ca="1">IF($C243-T$1&lt;År1,0,S242*(1-VLOOKUP($A243,[1]Hugst!$R$5:$W$9,MATCH(ROUNDUP((T$1)/10,0)*10,[1]Hugst!$R$4:$W$4,0))))</f>
        <v>0</v>
      </c>
      <c r="U243">
        <f ca="1">IF($C243-U$1&lt;År1,0,T242*(1-VLOOKUP($A243,[1]Hugst!$R$5:$W$9,MATCH(ROUNDUP((U$1)/10,0)*10,[1]Hugst!$R$4:$W$4,0))))</f>
        <v>0</v>
      </c>
      <c r="V243">
        <f ca="1">IF($C243-V$1&lt;År1,0,U242*(1-VLOOKUP($A243,[1]Hugst!$R$5:$W$9,MATCH(ROUNDUP((V$1)/10,0)*10,[1]Hugst!$R$4:$W$4,0))))</f>
        <v>0</v>
      </c>
      <c r="W243">
        <f ca="1">IF($C243-W$1&lt;År1,0,V242*(1-VLOOKUP($A243,[1]Hugst!$R$5:$W$9,MATCH(ROUNDUP((W$1)/10,0)*10,[1]Hugst!$R$4:$W$4,0))))</f>
        <v>0</v>
      </c>
      <c r="X243">
        <f ca="1">IF($C243-X$1&lt;År1,0,W242*(1-VLOOKUP($A243,[1]Hugst!$R$5:$W$9,MATCH(ROUNDUP((X$1)/10,0)*10,[1]Hugst!$R$4:$W$4,0))))</f>
        <v>0</v>
      </c>
      <c r="Y243">
        <f ca="1">IF($C243-Y$1&lt;År1,0,X242*(1-VLOOKUP($A243,[1]Hugst!$R$5:$W$9,MATCH(ROUNDUP((Y$1)/10,0)*10,[1]Hugst!$R$4:$W$4,0))))</f>
        <v>0</v>
      </c>
      <c r="Z243">
        <f ca="1">IF($C243-Z$1&lt;År1,0,Y242*(1-VLOOKUP($A243,[1]Hugst!$R$5:$W$9,MATCH(ROUNDUP((Z$1)/10,0)*10,[1]Hugst!$R$4:$W$4,0))))</f>
        <v>0</v>
      </c>
      <c r="AA243">
        <f ca="1">IF($C243-AA$1&lt;År1,0,Z242*(1-VLOOKUP($A243,[1]Hugst!$R$5:$W$9,MATCH(ROUNDUP((AA$1)/10,0)*10,[1]Hugst!$R$4:$W$4,0))))</f>
        <v>0</v>
      </c>
      <c r="AB243">
        <f ca="1">IF($C243-AB$1&lt;År1,0,AA242*(1-VLOOKUP($A243,[1]Hugst!$R$5:$W$9,MATCH(ROUNDUP((AB$1)/10,0)*10,[1]Hugst!$R$4:$W$4,0))))</f>
        <v>0</v>
      </c>
      <c r="AC243">
        <f ca="1">IF($C243-AC$1&lt;År1,0,AB242*(1-VLOOKUP($A243,[1]Hugst!$R$5:$W$9,MATCH(ROUNDUP((AC$1)/10,0)*10,[1]Hugst!$R$4:$W$4,0))))</f>
        <v>0</v>
      </c>
      <c r="AD243">
        <f ca="1">IF($C243-AD$1&lt;År1,0,AC242*(1-VLOOKUP($A243,[1]Hugst!$R$5:$W$9,MATCH(ROUNDUP((AD$1)/10,0)*10,[1]Hugst!$R$4:$W$4,0))))</f>
        <v>0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0</v>
      </c>
      <c r="E244">
        <f t="shared" ca="1" si="5"/>
        <v>0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>
        <f ca="1">IF($C244-G$1&lt;År1,0,F243*(1-VLOOKUP($A244,[1]Hugst!$R$5:$W$9,MATCH(ROUNDUP((G$1)/10,0)*10,[1]Hugst!$R$4:$W$4,0))))</f>
        <v>0</v>
      </c>
      <c r="H244">
        <f ca="1">IF($C244-H$1&lt;År1,0,G243*(1-VLOOKUP($A244,[1]Hugst!$R$5:$W$9,MATCH(ROUNDUP((H$1)/10,0)*10,[1]Hugst!$R$4:$W$4,0))))</f>
        <v>0</v>
      </c>
      <c r="I244">
        <f ca="1">IF($C244-I$1&lt;År1,0,H243*(1-VLOOKUP($A244,[1]Hugst!$R$5:$W$9,MATCH(ROUNDUP((I$1)/10,0)*10,[1]Hugst!$R$4:$W$4,0))))</f>
        <v>0</v>
      </c>
      <c r="J244">
        <f ca="1">IF($C244-J$1&lt;År1,0,I243*(1-VLOOKUP($A244,[1]Hugst!$R$5:$W$9,MATCH(ROUNDUP((J$1)/10,0)*10,[1]Hugst!$R$4:$W$4,0))))</f>
        <v>0</v>
      </c>
      <c r="K244">
        <f ca="1">IF($C244-K$1&lt;År1,0,J243*(1-VLOOKUP($A244,[1]Hugst!$R$5:$W$9,MATCH(ROUNDUP((K$1)/10,0)*10,[1]Hugst!$R$4:$W$4,0))))</f>
        <v>0</v>
      </c>
      <c r="L244">
        <f ca="1">IF($C244-L$1&lt;År1,0,K243*(1-VLOOKUP($A244,[1]Hugst!$R$5:$W$9,MATCH(ROUNDUP((L$1)/10,0)*10,[1]Hugst!$R$4:$W$4,0))))</f>
        <v>0</v>
      </c>
      <c r="M244">
        <f ca="1">IF($C244-M$1&lt;År1,0,L243*(1-VLOOKUP($A244,[1]Hugst!$R$5:$W$9,MATCH(ROUNDUP((M$1)/10,0)*10,[1]Hugst!$R$4:$W$4,0))))</f>
        <v>0</v>
      </c>
      <c r="N244">
        <f ca="1">IF($C244-N$1&lt;År1,0,M243*(1-VLOOKUP($A244,[1]Hugst!$R$5:$W$9,MATCH(ROUNDUP((N$1)/10,0)*10,[1]Hugst!$R$4:$W$4,0))))</f>
        <v>0</v>
      </c>
      <c r="O244">
        <f ca="1">IF($C244-O$1&lt;År1,0,N243*(1-VLOOKUP($A244,[1]Hugst!$R$5:$W$9,MATCH(ROUNDUP((O$1)/10,0)*10,[1]Hugst!$R$4:$W$4,0))))</f>
        <v>0</v>
      </c>
      <c r="P244">
        <f ca="1">IF($C244-P$1&lt;År1,0,O243*(1-VLOOKUP($A244,[1]Hugst!$R$5:$W$9,MATCH(ROUNDUP((P$1)/10,0)*10,[1]Hugst!$R$4:$W$4,0))))</f>
        <v>0</v>
      </c>
      <c r="Q244">
        <f ca="1">IF($C244-Q$1&lt;År1,0,P243*(1-VLOOKUP($A244,[1]Hugst!$R$5:$W$9,MATCH(ROUNDUP((Q$1)/10,0)*10,[1]Hugst!$R$4:$W$4,0))))</f>
        <v>0</v>
      </c>
      <c r="R244">
        <f ca="1">IF($C244-R$1&lt;År1,0,Q243*(1-VLOOKUP($A244,[1]Hugst!$R$5:$W$9,MATCH(ROUNDUP((R$1)/10,0)*10,[1]Hugst!$R$4:$W$4,0))))</f>
        <v>0</v>
      </c>
      <c r="S244">
        <f ca="1">IF($C244-S$1&lt;År1,0,R243*(1-VLOOKUP($A244,[1]Hugst!$R$5:$W$9,MATCH(ROUNDUP((S$1)/10,0)*10,[1]Hugst!$R$4:$W$4,0))))</f>
        <v>0</v>
      </c>
      <c r="T244">
        <f ca="1">IF($C244-T$1&lt;År1,0,S243*(1-VLOOKUP($A244,[1]Hugst!$R$5:$W$9,MATCH(ROUNDUP((T$1)/10,0)*10,[1]Hugst!$R$4:$W$4,0))))</f>
        <v>0</v>
      </c>
      <c r="U244">
        <f ca="1">IF($C244-U$1&lt;År1,0,T243*(1-VLOOKUP($A244,[1]Hugst!$R$5:$W$9,MATCH(ROUNDUP((U$1)/10,0)*10,[1]Hugst!$R$4:$W$4,0))))</f>
        <v>0</v>
      </c>
      <c r="V244">
        <f ca="1">IF($C244-V$1&lt;År1,0,U243*(1-VLOOKUP($A244,[1]Hugst!$R$5:$W$9,MATCH(ROUNDUP((V$1)/10,0)*10,[1]Hugst!$R$4:$W$4,0))))</f>
        <v>0</v>
      </c>
      <c r="W244">
        <f ca="1">IF($C244-W$1&lt;År1,0,V243*(1-VLOOKUP($A244,[1]Hugst!$R$5:$W$9,MATCH(ROUNDUP((W$1)/10,0)*10,[1]Hugst!$R$4:$W$4,0))))</f>
        <v>0</v>
      </c>
      <c r="X244">
        <f ca="1">IF($C244-X$1&lt;År1,0,W243*(1-VLOOKUP($A244,[1]Hugst!$R$5:$W$9,MATCH(ROUNDUP((X$1)/10,0)*10,[1]Hugst!$R$4:$W$4,0))))</f>
        <v>0</v>
      </c>
      <c r="Y244">
        <f ca="1">IF($C244-Y$1&lt;År1,0,X243*(1-VLOOKUP($A244,[1]Hugst!$R$5:$W$9,MATCH(ROUNDUP((Y$1)/10,0)*10,[1]Hugst!$R$4:$W$4,0))))</f>
        <v>0</v>
      </c>
      <c r="Z244">
        <f ca="1">IF($C244-Z$1&lt;År1,0,Y243*(1-VLOOKUP($A244,[1]Hugst!$R$5:$W$9,MATCH(ROUNDUP((Z$1)/10,0)*10,[1]Hugst!$R$4:$W$4,0))))</f>
        <v>0</v>
      </c>
      <c r="AA244">
        <f ca="1">IF($C244-AA$1&lt;År1,0,Z243*(1-VLOOKUP($A244,[1]Hugst!$R$5:$W$9,MATCH(ROUNDUP((AA$1)/10,0)*10,[1]Hugst!$R$4:$W$4,0))))</f>
        <v>0</v>
      </c>
      <c r="AB244">
        <f ca="1">IF($C244-AB$1&lt;År1,0,AA243*(1-VLOOKUP($A244,[1]Hugst!$R$5:$W$9,MATCH(ROUNDUP((AB$1)/10,0)*10,[1]Hugst!$R$4:$W$4,0))))</f>
        <v>0</v>
      </c>
      <c r="AC244">
        <f ca="1">IF($C244-AC$1&lt;År1,0,AB243*(1-VLOOKUP($A244,[1]Hugst!$R$5:$W$9,MATCH(ROUNDUP((AC$1)/10,0)*10,[1]Hugst!$R$4:$W$4,0))))</f>
        <v>0</v>
      </c>
      <c r="AD244">
        <f ca="1">IF($C244-AD$1&lt;År1,0,AC243*(1-VLOOKUP($A244,[1]Hugst!$R$5:$W$9,MATCH(ROUNDUP((AD$1)/10,0)*10,[1]Hugst!$R$4:$W$4,0))))</f>
        <v>0</v>
      </c>
      <c r="AE244">
        <f ca="1">IF($C244-AE$1&lt;År1,0,AD243*(1-VLOOKUP($A244,[1]Hugst!$R$5:$W$9,MATCH(ROUNDUP((AE$1)/10,0)*10,[1]Hugst!$R$4:$W$4,0))))</f>
        <v>0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0</v>
      </c>
      <c r="E245">
        <f t="shared" ca="1" si="5"/>
        <v>0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>
        <f ca="1">IF($C245-G$1&lt;År1,0,F244*(1-VLOOKUP($A245,[1]Hugst!$R$5:$W$9,MATCH(ROUNDUP((G$1)/10,0)*10,[1]Hugst!$R$4:$W$4,0))))</f>
        <v>0</v>
      </c>
      <c r="H245">
        <f ca="1">IF($C245-H$1&lt;År1,0,G244*(1-VLOOKUP($A245,[1]Hugst!$R$5:$W$9,MATCH(ROUNDUP((H$1)/10,0)*10,[1]Hugst!$R$4:$W$4,0))))</f>
        <v>0</v>
      </c>
      <c r="I245">
        <f ca="1">IF($C245-I$1&lt;År1,0,H244*(1-VLOOKUP($A245,[1]Hugst!$R$5:$W$9,MATCH(ROUNDUP((I$1)/10,0)*10,[1]Hugst!$R$4:$W$4,0))))</f>
        <v>0</v>
      </c>
      <c r="J245">
        <f ca="1">IF($C245-J$1&lt;År1,0,I244*(1-VLOOKUP($A245,[1]Hugst!$R$5:$W$9,MATCH(ROUNDUP((J$1)/10,0)*10,[1]Hugst!$R$4:$W$4,0))))</f>
        <v>0</v>
      </c>
      <c r="K245">
        <f ca="1">IF($C245-K$1&lt;År1,0,J244*(1-VLOOKUP($A245,[1]Hugst!$R$5:$W$9,MATCH(ROUNDUP((K$1)/10,0)*10,[1]Hugst!$R$4:$W$4,0))))</f>
        <v>0</v>
      </c>
      <c r="L245">
        <f ca="1">IF($C245-L$1&lt;År1,0,K244*(1-VLOOKUP($A245,[1]Hugst!$R$5:$W$9,MATCH(ROUNDUP((L$1)/10,0)*10,[1]Hugst!$R$4:$W$4,0))))</f>
        <v>0</v>
      </c>
      <c r="M245">
        <f ca="1">IF($C245-M$1&lt;År1,0,L244*(1-VLOOKUP($A245,[1]Hugst!$R$5:$W$9,MATCH(ROUNDUP((M$1)/10,0)*10,[1]Hugst!$R$4:$W$4,0))))</f>
        <v>0</v>
      </c>
      <c r="N245">
        <f ca="1">IF($C245-N$1&lt;År1,0,M244*(1-VLOOKUP($A245,[1]Hugst!$R$5:$W$9,MATCH(ROUNDUP((N$1)/10,0)*10,[1]Hugst!$R$4:$W$4,0))))</f>
        <v>0</v>
      </c>
      <c r="O245">
        <f ca="1">IF($C245-O$1&lt;År1,0,N244*(1-VLOOKUP($A245,[1]Hugst!$R$5:$W$9,MATCH(ROUNDUP((O$1)/10,0)*10,[1]Hugst!$R$4:$W$4,0))))</f>
        <v>0</v>
      </c>
      <c r="P245">
        <f ca="1">IF($C245-P$1&lt;År1,0,O244*(1-VLOOKUP($A245,[1]Hugst!$R$5:$W$9,MATCH(ROUNDUP((P$1)/10,0)*10,[1]Hugst!$R$4:$W$4,0))))</f>
        <v>0</v>
      </c>
      <c r="Q245">
        <f ca="1">IF($C245-Q$1&lt;År1,0,P244*(1-VLOOKUP($A245,[1]Hugst!$R$5:$W$9,MATCH(ROUNDUP((Q$1)/10,0)*10,[1]Hugst!$R$4:$W$4,0))))</f>
        <v>0</v>
      </c>
      <c r="R245">
        <f ca="1">IF($C245-R$1&lt;År1,0,Q244*(1-VLOOKUP($A245,[1]Hugst!$R$5:$W$9,MATCH(ROUNDUP((R$1)/10,0)*10,[1]Hugst!$R$4:$W$4,0))))</f>
        <v>0</v>
      </c>
      <c r="S245">
        <f ca="1">IF($C245-S$1&lt;År1,0,R244*(1-VLOOKUP($A245,[1]Hugst!$R$5:$W$9,MATCH(ROUNDUP((S$1)/10,0)*10,[1]Hugst!$R$4:$W$4,0))))</f>
        <v>0</v>
      </c>
      <c r="T245">
        <f ca="1">IF($C245-T$1&lt;År1,0,S244*(1-VLOOKUP($A245,[1]Hugst!$R$5:$W$9,MATCH(ROUNDUP((T$1)/10,0)*10,[1]Hugst!$R$4:$W$4,0))))</f>
        <v>0</v>
      </c>
      <c r="U245">
        <f ca="1">IF($C245-U$1&lt;År1,0,T244*(1-VLOOKUP($A245,[1]Hugst!$R$5:$W$9,MATCH(ROUNDUP((U$1)/10,0)*10,[1]Hugst!$R$4:$W$4,0))))</f>
        <v>0</v>
      </c>
      <c r="V245">
        <f ca="1">IF($C245-V$1&lt;År1,0,U244*(1-VLOOKUP($A245,[1]Hugst!$R$5:$W$9,MATCH(ROUNDUP((V$1)/10,0)*10,[1]Hugst!$R$4:$W$4,0))))</f>
        <v>0</v>
      </c>
      <c r="W245">
        <f ca="1">IF($C245-W$1&lt;År1,0,V244*(1-VLOOKUP($A245,[1]Hugst!$R$5:$W$9,MATCH(ROUNDUP((W$1)/10,0)*10,[1]Hugst!$R$4:$W$4,0))))</f>
        <v>0</v>
      </c>
      <c r="X245">
        <f ca="1">IF($C245-X$1&lt;År1,0,W244*(1-VLOOKUP($A245,[1]Hugst!$R$5:$W$9,MATCH(ROUNDUP((X$1)/10,0)*10,[1]Hugst!$R$4:$W$4,0))))</f>
        <v>0</v>
      </c>
      <c r="Y245">
        <f ca="1">IF($C245-Y$1&lt;År1,0,X244*(1-VLOOKUP($A245,[1]Hugst!$R$5:$W$9,MATCH(ROUNDUP((Y$1)/10,0)*10,[1]Hugst!$R$4:$W$4,0))))</f>
        <v>0</v>
      </c>
      <c r="Z245">
        <f ca="1">IF($C245-Z$1&lt;År1,0,Y244*(1-VLOOKUP($A245,[1]Hugst!$R$5:$W$9,MATCH(ROUNDUP((Z$1)/10,0)*10,[1]Hugst!$R$4:$W$4,0))))</f>
        <v>0</v>
      </c>
      <c r="AA245">
        <f ca="1">IF($C245-AA$1&lt;År1,0,Z244*(1-VLOOKUP($A245,[1]Hugst!$R$5:$W$9,MATCH(ROUNDUP((AA$1)/10,0)*10,[1]Hugst!$R$4:$W$4,0))))</f>
        <v>0</v>
      </c>
      <c r="AB245">
        <f ca="1">IF($C245-AB$1&lt;År1,0,AA244*(1-VLOOKUP($A245,[1]Hugst!$R$5:$W$9,MATCH(ROUNDUP((AB$1)/10,0)*10,[1]Hugst!$R$4:$W$4,0))))</f>
        <v>0</v>
      </c>
      <c r="AC245">
        <f ca="1">IF($C245-AC$1&lt;År1,0,AB244*(1-VLOOKUP($A245,[1]Hugst!$R$5:$W$9,MATCH(ROUNDUP((AC$1)/10,0)*10,[1]Hugst!$R$4:$W$4,0))))</f>
        <v>0</v>
      </c>
      <c r="AD245">
        <f ca="1">IF($C245-AD$1&lt;År1,0,AC244*(1-VLOOKUP($A245,[1]Hugst!$R$5:$W$9,MATCH(ROUNDUP((AD$1)/10,0)*10,[1]Hugst!$R$4:$W$4,0))))</f>
        <v>0</v>
      </c>
      <c r="AE245">
        <f ca="1">IF($C245-AE$1&lt;År1,0,AD244*(1-VLOOKUP($A245,[1]Hugst!$R$5:$W$9,MATCH(ROUNDUP((AE$1)/10,0)*10,[1]Hugst!$R$4:$W$4,0))))</f>
        <v>0</v>
      </c>
      <c r="AF245">
        <f ca="1">IF($C245-AF$1&lt;År1,0,AE244*(1-VLOOKUP($A245,[1]Hugst!$R$5:$W$9,MATCH(ROUNDUP((AF$1)/10,0)*10,[1]Hugst!$R$4:$W$4,0))))</f>
        <v>0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0</v>
      </c>
      <c r="E246">
        <f t="shared" ca="1" si="5"/>
        <v>0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>
        <f ca="1">IF($C246-G$1&lt;År1,0,F245*(1-VLOOKUP($A246,[1]Hugst!$R$5:$W$9,MATCH(ROUNDUP((G$1)/10,0)*10,[1]Hugst!$R$4:$W$4,0))))</f>
        <v>0</v>
      </c>
      <c r="H246">
        <f ca="1">IF($C246-H$1&lt;År1,0,G245*(1-VLOOKUP($A246,[1]Hugst!$R$5:$W$9,MATCH(ROUNDUP((H$1)/10,0)*10,[1]Hugst!$R$4:$W$4,0))))</f>
        <v>0</v>
      </c>
      <c r="I246">
        <f ca="1">IF($C246-I$1&lt;År1,0,H245*(1-VLOOKUP($A246,[1]Hugst!$R$5:$W$9,MATCH(ROUNDUP((I$1)/10,0)*10,[1]Hugst!$R$4:$W$4,0))))</f>
        <v>0</v>
      </c>
      <c r="J246">
        <f ca="1">IF($C246-J$1&lt;År1,0,I245*(1-VLOOKUP($A246,[1]Hugst!$R$5:$W$9,MATCH(ROUNDUP((J$1)/10,0)*10,[1]Hugst!$R$4:$W$4,0))))</f>
        <v>0</v>
      </c>
      <c r="K246">
        <f ca="1">IF($C246-K$1&lt;År1,0,J245*(1-VLOOKUP($A246,[1]Hugst!$R$5:$W$9,MATCH(ROUNDUP((K$1)/10,0)*10,[1]Hugst!$R$4:$W$4,0))))</f>
        <v>0</v>
      </c>
      <c r="L246">
        <f ca="1">IF($C246-L$1&lt;År1,0,K245*(1-VLOOKUP($A246,[1]Hugst!$R$5:$W$9,MATCH(ROUNDUP((L$1)/10,0)*10,[1]Hugst!$R$4:$W$4,0))))</f>
        <v>0</v>
      </c>
      <c r="M246">
        <f ca="1">IF($C246-M$1&lt;År1,0,L245*(1-VLOOKUP($A246,[1]Hugst!$R$5:$W$9,MATCH(ROUNDUP((M$1)/10,0)*10,[1]Hugst!$R$4:$W$4,0))))</f>
        <v>0</v>
      </c>
      <c r="N246">
        <f ca="1">IF($C246-N$1&lt;År1,0,M245*(1-VLOOKUP($A246,[1]Hugst!$R$5:$W$9,MATCH(ROUNDUP((N$1)/10,0)*10,[1]Hugst!$R$4:$W$4,0))))</f>
        <v>0</v>
      </c>
      <c r="O246">
        <f ca="1">IF($C246-O$1&lt;År1,0,N245*(1-VLOOKUP($A246,[1]Hugst!$R$5:$W$9,MATCH(ROUNDUP((O$1)/10,0)*10,[1]Hugst!$R$4:$W$4,0))))</f>
        <v>0</v>
      </c>
      <c r="P246">
        <f ca="1">IF($C246-P$1&lt;År1,0,O245*(1-VLOOKUP($A246,[1]Hugst!$R$5:$W$9,MATCH(ROUNDUP((P$1)/10,0)*10,[1]Hugst!$R$4:$W$4,0))))</f>
        <v>0</v>
      </c>
      <c r="Q246">
        <f ca="1">IF($C246-Q$1&lt;År1,0,P245*(1-VLOOKUP($A246,[1]Hugst!$R$5:$W$9,MATCH(ROUNDUP((Q$1)/10,0)*10,[1]Hugst!$R$4:$W$4,0))))</f>
        <v>0</v>
      </c>
      <c r="R246">
        <f ca="1">IF($C246-R$1&lt;År1,0,Q245*(1-VLOOKUP($A246,[1]Hugst!$R$5:$W$9,MATCH(ROUNDUP((R$1)/10,0)*10,[1]Hugst!$R$4:$W$4,0))))</f>
        <v>0</v>
      </c>
      <c r="S246">
        <f ca="1">IF($C246-S$1&lt;År1,0,R245*(1-VLOOKUP($A246,[1]Hugst!$R$5:$W$9,MATCH(ROUNDUP((S$1)/10,0)*10,[1]Hugst!$R$4:$W$4,0))))</f>
        <v>0</v>
      </c>
      <c r="T246">
        <f ca="1">IF($C246-T$1&lt;År1,0,S245*(1-VLOOKUP($A246,[1]Hugst!$R$5:$W$9,MATCH(ROUNDUP((T$1)/10,0)*10,[1]Hugst!$R$4:$W$4,0))))</f>
        <v>0</v>
      </c>
      <c r="U246">
        <f ca="1">IF($C246-U$1&lt;År1,0,T245*(1-VLOOKUP($A246,[1]Hugst!$R$5:$W$9,MATCH(ROUNDUP((U$1)/10,0)*10,[1]Hugst!$R$4:$W$4,0))))</f>
        <v>0</v>
      </c>
      <c r="V246">
        <f ca="1">IF($C246-V$1&lt;År1,0,U245*(1-VLOOKUP($A246,[1]Hugst!$R$5:$W$9,MATCH(ROUNDUP((V$1)/10,0)*10,[1]Hugst!$R$4:$W$4,0))))</f>
        <v>0</v>
      </c>
      <c r="W246">
        <f ca="1">IF($C246-W$1&lt;År1,0,V245*(1-VLOOKUP($A246,[1]Hugst!$R$5:$W$9,MATCH(ROUNDUP((W$1)/10,0)*10,[1]Hugst!$R$4:$W$4,0))))</f>
        <v>0</v>
      </c>
      <c r="X246">
        <f ca="1">IF($C246-X$1&lt;År1,0,W245*(1-VLOOKUP($A246,[1]Hugst!$R$5:$W$9,MATCH(ROUNDUP((X$1)/10,0)*10,[1]Hugst!$R$4:$W$4,0))))</f>
        <v>0</v>
      </c>
      <c r="Y246">
        <f ca="1">IF($C246-Y$1&lt;År1,0,X245*(1-VLOOKUP($A246,[1]Hugst!$R$5:$W$9,MATCH(ROUNDUP((Y$1)/10,0)*10,[1]Hugst!$R$4:$W$4,0))))</f>
        <v>0</v>
      </c>
      <c r="Z246">
        <f ca="1">IF($C246-Z$1&lt;År1,0,Y245*(1-VLOOKUP($A246,[1]Hugst!$R$5:$W$9,MATCH(ROUNDUP((Z$1)/10,0)*10,[1]Hugst!$R$4:$W$4,0))))</f>
        <v>0</v>
      </c>
      <c r="AA246">
        <f ca="1">IF($C246-AA$1&lt;År1,0,Z245*(1-VLOOKUP($A246,[1]Hugst!$R$5:$W$9,MATCH(ROUNDUP((AA$1)/10,0)*10,[1]Hugst!$R$4:$W$4,0))))</f>
        <v>0</v>
      </c>
      <c r="AB246">
        <f ca="1">IF($C246-AB$1&lt;År1,0,AA245*(1-VLOOKUP($A246,[1]Hugst!$R$5:$W$9,MATCH(ROUNDUP((AB$1)/10,0)*10,[1]Hugst!$R$4:$W$4,0))))</f>
        <v>0</v>
      </c>
      <c r="AC246">
        <f ca="1">IF($C246-AC$1&lt;År1,0,AB245*(1-VLOOKUP($A246,[1]Hugst!$R$5:$W$9,MATCH(ROUNDUP((AC$1)/10,0)*10,[1]Hugst!$R$4:$W$4,0))))</f>
        <v>0</v>
      </c>
      <c r="AD246">
        <f ca="1">IF($C246-AD$1&lt;År1,0,AC245*(1-VLOOKUP($A246,[1]Hugst!$R$5:$W$9,MATCH(ROUNDUP((AD$1)/10,0)*10,[1]Hugst!$R$4:$W$4,0))))</f>
        <v>0</v>
      </c>
      <c r="AE246">
        <f ca="1">IF($C246-AE$1&lt;År1,0,AD245*(1-VLOOKUP($A246,[1]Hugst!$R$5:$W$9,MATCH(ROUNDUP((AE$1)/10,0)*10,[1]Hugst!$R$4:$W$4,0))))</f>
        <v>0</v>
      </c>
      <c r="AF246">
        <f ca="1">IF($C246-AF$1&lt;År1,0,AE245*(1-VLOOKUP($A246,[1]Hugst!$R$5:$W$9,MATCH(ROUNDUP((AF$1)/10,0)*10,[1]Hugst!$R$4:$W$4,0))))</f>
        <v>0</v>
      </c>
      <c r="AG246">
        <f ca="1">IF($C246-AG$1&lt;År1,0,AF245*(1-VLOOKUP($A246,[1]Hugst!$R$5:$W$9,MATCH(ROUNDUP((AG$1)/10,0)*10,[1]Hugst!$R$4:$W$4,0))))</f>
        <v>0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0</v>
      </c>
      <c r="E247">
        <f t="shared" ca="1" si="5"/>
        <v>0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>
        <f ca="1">IF($C247-G$1&lt;År1,0,F246*(1-VLOOKUP($A247,[1]Hugst!$R$5:$W$9,MATCH(ROUNDUP((G$1)/10,0)*10,[1]Hugst!$R$4:$W$4,0))))</f>
        <v>0</v>
      </c>
      <c r="H247">
        <f ca="1">IF($C247-H$1&lt;År1,0,G246*(1-VLOOKUP($A247,[1]Hugst!$R$5:$W$9,MATCH(ROUNDUP((H$1)/10,0)*10,[1]Hugst!$R$4:$W$4,0))))</f>
        <v>0</v>
      </c>
      <c r="I247">
        <f ca="1">IF($C247-I$1&lt;År1,0,H246*(1-VLOOKUP($A247,[1]Hugst!$R$5:$W$9,MATCH(ROUNDUP((I$1)/10,0)*10,[1]Hugst!$R$4:$W$4,0))))</f>
        <v>0</v>
      </c>
      <c r="J247">
        <f ca="1">IF($C247-J$1&lt;År1,0,I246*(1-VLOOKUP($A247,[1]Hugst!$R$5:$W$9,MATCH(ROUNDUP((J$1)/10,0)*10,[1]Hugst!$R$4:$W$4,0))))</f>
        <v>0</v>
      </c>
      <c r="K247">
        <f ca="1">IF($C247-K$1&lt;År1,0,J246*(1-VLOOKUP($A247,[1]Hugst!$R$5:$W$9,MATCH(ROUNDUP((K$1)/10,0)*10,[1]Hugst!$R$4:$W$4,0))))</f>
        <v>0</v>
      </c>
      <c r="L247">
        <f ca="1">IF($C247-L$1&lt;År1,0,K246*(1-VLOOKUP($A247,[1]Hugst!$R$5:$W$9,MATCH(ROUNDUP((L$1)/10,0)*10,[1]Hugst!$R$4:$W$4,0))))</f>
        <v>0</v>
      </c>
      <c r="M247">
        <f ca="1">IF($C247-M$1&lt;År1,0,L246*(1-VLOOKUP($A247,[1]Hugst!$R$5:$W$9,MATCH(ROUNDUP((M$1)/10,0)*10,[1]Hugst!$R$4:$W$4,0))))</f>
        <v>0</v>
      </c>
      <c r="N247">
        <f ca="1">IF($C247-N$1&lt;År1,0,M246*(1-VLOOKUP($A247,[1]Hugst!$R$5:$W$9,MATCH(ROUNDUP((N$1)/10,0)*10,[1]Hugst!$R$4:$W$4,0))))</f>
        <v>0</v>
      </c>
      <c r="O247">
        <f ca="1">IF($C247-O$1&lt;År1,0,N246*(1-VLOOKUP($A247,[1]Hugst!$R$5:$W$9,MATCH(ROUNDUP((O$1)/10,0)*10,[1]Hugst!$R$4:$W$4,0))))</f>
        <v>0</v>
      </c>
      <c r="P247">
        <f ca="1">IF($C247-P$1&lt;År1,0,O246*(1-VLOOKUP($A247,[1]Hugst!$R$5:$W$9,MATCH(ROUNDUP((P$1)/10,0)*10,[1]Hugst!$R$4:$W$4,0))))</f>
        <v>0</v>
      </c>
      <c r="Q247">
        <f ca="1">IF($C247-Q$1&lt;År1,0,P246*(1-VLOOKUP($A247,[1]Hugst!$R$5:$W$9,MATCH(ROUNDUP((Q$1)/10,0)*10,[1]Hugst!$R$4:$W$4,0))))</f>
        <v>0</v>
      </c>
      <c r="R247">
        <f ca="1">IF($C247-R$1&lt;År1,0,Q246*(1-VLOOKUP($A247,[1]Hugst!$R$5:$W$9,MATCH(ROUNDUP((R$1)/10,0)*10,[1]Hugst!$R$4:$W$4,0))))</f>
        <v>0</v>
      </c>
      <c r="S247">
        <f ca="1">IF($C247-S$1&lt;År1,0,R246*(1-VLOOKUP($A247,[1]Hugst!$R$5:$W$9,MATCH(ROUNDUP((S$1)/10,0)*10,[1]Hugst!$R$4:$W$4,0))))</f>
        <v>0</v>
      </c>
      <c r="T247">
        <f ca="1">IF($C247-T$1&lt;År1,0,S246*(1-VLOOKUP($A247,[1]Hugst!$R$5:$W$9,MATCH(ROUNDUP((T$1)/10,0)*10,[1]Hugst!$R$4:$W$4,0))))</f>
        <v>0</v>
      </c>
      <c r="U247">
        <f ca="1">IF($C247-U$1&lt;År1,0,T246*(1-VLOOKUP($A247,[1]Hugst!$R$5:$W$9,MATCH(ROUNDUP((U$1)/10,0)*10,[1]Hugst!$R$4:$W$4,0))))</f>
        <v>0</v>
      </c>
      <c r="V247">
        <f ca="1">IF($C247-V$1&lt;År1,0,U246*(1-VLOOKUP($A247,[1]Hugst!$R$5:$W$9,MATCH(ROUNDUP((V$1)/10,0)*10,[1]Hugst!$R$4:$W$4,0))))</f>
        <v>0</v>
      </c>
      <c r="W247">
        <f ca="1">IF($C247-W$1&lt;År1,0,V246*(1-VLOOKUP($A247,[1]Hugst!$R$5:$W$9,MATCH(ROUNDUP((W$1)/10,0)*10,[1]Hugst!$R$4:$W$4,0))))</f>
        <v>0</v>
      </c>
      <c r="X247">
        <f ca="1">IF($C247-X$1&lt;År1,0,W246*(1-VLOOKUP($A247,[1]Hugst!$R$5:$W$9,MATCH(ROUNDUP((X$1)/10,0)*10,[1]Hugst!$R$4:$W$4,0))))</f>
        <v>0</v>
      </c>
      <c r="Y247">
        <f ca="1">IF($C247-Y$1&lt;År1,0,X246*(1-VLOOKUP($A247,[1]Hugst!$R$5:$W$9,MATCH(ROUNDUP((Y$1)/10,0)*10,[1]Hugst!$R$4:$W$4,0))))</f>
        <v>0</v>
      </c>
      <c r="Z247">
        <f ca="1">IF($C247-Z$1&lt;År1,0,Y246*(1-VLOOKUP($A247,[1]Hugst!$R$5:$W$9,MATCH(ROUNDUP((Z$1)/10,0)*10,[1]Hugst!$R$4:$W$4,0))))</f>
        <v>0</v>
      </c>
      <c r="AA247">
        <f ca="1">IF($C247-AA$1&lt;År1,0,Z246*(1-VLOOKUP($A247,[1]Hugst!$R$5:$W$9,MATCH(ROUNDUP((AA$1)/10,0)*10,[1]Hugst!$R$4:$W$4,0))))</f>
        <v>0</v>
      </c>
      <c r="AB247">
        <f ca="1">IF($C247-AB$1&lt;År1,0,AA246*(1-VLOOKUP($A247,[1]Hugst!$R$5:$W$9,MATCH(ROUNDUP((AB$1)/10,0)*10,[1]Hugst!$R$4:$W$4,0))))</f>
        <v>0</v>
      </c>
      <c r="AC247">
        <f ca="1">IF($C247-AC$1&lt;År1,0,AB246*(1-VLOOKUP($A247,[1]Hugst!$R$5:$W$9,MATCH(ROUNDUP((AC$1)/10,0)*10,[1]Hugst!$R$4:$W$4,0))))</f>
        <v>0</v>
      </c>
      <c r="AD247">
        <f ca="1">IF($C247-AD$1&lt;År1,0,AC246*(1-VLOOKUP($A247,[1]Hugst!$R$5:$W$9,MATCH(ROUNDUP((AD$1)/10,0)*10,[1]Hugst!$R$4:$W$4,0))))</f>
        <v>0</v>
      </c>
      <c r="AE247">
        <f ca="1">IF($C247-AE$1&lt;År1,0,AD246*(1-VLOOKUP($A247,[1]Hugst!$R$5:$W$9,MATCH(ROUNDUP((AE$1)/10,0)*10,[1]Hugst!$R$4:$W$4,0))))</f>
        <v>0</v>
      </c>
      <c r="AF247">
        <f ca="1">IF($C247-AF$1&lt;År1,0,AE246*(1-VLOOKUP($A247,[1]Hugst!$R$5:$W$9,MATCH(ROUNDUP((AF$1)/10,0)*10,[1]Hugst!$R$4:$W$4,0))))</f>
        <v>0</v>
      </c>
      <c r="AG247">
        <f ca="1">IF($C247-AG$1&lt;År1,0,AF246*(1-VLOOKUP($A247,[1]Hugst!$R$5:$W$9,MATCH(ROUNDUP((AG$1)/10,0)*10,[1]Hugst!$R$4:$W$4,0))))</f>
        <v>0</v>
      </c>
      <c r="AH247">
        <f ca="1">IF($C247-AH$1&lt;År1,0,AG246*(1-VLOOKUP($A247,[1]Hugst!$R$5:$W$9,MATCH(ROUNDUP((AH$1)/10,0)*10,[1]Hugst!$R$4:$W$4,0))))</f>
        <v>0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0</v>
      </c>
      <c r="E248">
        <f t="shared" ca="1" si="5"/>
        <v>0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>
        <f ca="1">IF($C248-G$1&lt;År1,0,F247*(1-VLOOKUP($A248,[1]Hugst!$R$5:$W$9,MATCH(ROUNDUP((G$1)/10,0)*10,[1]Hugst!$R$4:$W$4,0))))</f>
        <v>0</v>
      </c>
      <c r="H248">
        <f ca="1">IF($C248-H$1&lt;År1,0,G247*(1-VLOOKUP($A248,[1]Hugst!$R$5:$W$9,MATCH(ROUNDUP((H$1)/10,0)*10,[1]Hugst!$R$4:$W$4,0))))</f>
        <v>0</v>
      </c>
      <c r="I248">
        <f ca="1">IF($C248-I$1&lt;År1,0,H247*(1-VLOOKUP($A248,[1]Hugst!$R$5:$W$9,MATCH(ROUNDUP((I$1)/10,0)*10,[1]Hugst!$R$4:$W$4,0))))</f>
        <v>0</v>
      </c>
      <c r="J248">
        <f ca="1">IF($C248-J$1&lt;År1,0,I247*(1-VLOOKUP($A248,[1]Hugst!$R$5:$W$9,MATCH(ROUNDUP((J$1)/10,0)*10,[1]Hugst!$R$4:$W$4,0))))</f>
        <v>0</v>
      </c>
      <c r="K248">
        <f ca="1">IF($C248-K$1&lt;År1,0,J247*(1-VLOOKUP($A248,[1]Hugst!$R$5:$W$9,MATCH(ROUNDUP((K$1)/10,0)*10,[1]Hugst!$R$4:$W$4,0))))</f>
        <v>0</v>
      </c>
      <c r="L248">
        <f ca="1">IF($C248-L$1&lt;År1,0,K247*(1-VLOOKUP($A248,[1]Hugst!$R$5:$W$9,MATCH(ROUNDUP((L$1)/10,0)*10,[1]Hugst!$R$4:$W$4,0))))</f>
        <v>0</v>
      </c>
      <c r="M248">
        <f ca="1">IF($C248-M$1&lt;År1,0,L247*(1-VLOOKUP($A248,[1]Hugst!$R$5:$W$9,MATCH(ROUNDUP((M$1)/10,0)*10,[1]Hugst!$R$4:$W$4,0))))</f>
        <v>0</v>
      </c>
      <c r="N248">
        <f ca="1">IF($C248-N$1&lt;År1,0,M247*(1-VLOOKUP($A248,[1]Hugst!$R$5:$W$9,MATCH(ROUNDUP((N$1)/10,0)*10,[1]Hugst!$R$4:$W$4,0))))</f>
        <v>0</v>
      </c>
      <c r="O248">
        <f ca="1">IF($C248-O$1&lt;År1,0,N247*(1-VLOOKUP($A248,[1]Hugst!$R$5:$W$9,MATCH(ROUNDUP((O$1)/10,0)*10,[1]Hugst!$R$4:$W$4,0))))</f>
        <v>0</v>
      </c>
      <c r="P248">
        <f ca="1">IF($C248-P$1&lt;År1,0,O247*(1-VLOOKUP($A248,[1]Hugst!$R$5:$W$9,MATCH(ROUNDUP((P$1)/10,0)*10,[1]Hugst!$R$4:$W$4,0))))</f>
        <v>0</v>
      </c>
      <c r="Q248">
        <f ca="1">IF($C248-Q$1&lt;År1,0,P247*(1-VLOOKUP($A248,[1]Hugst!$R$5:$W$9,MATCH(ROUNDUP((Q$1)/10,0)*10,[1]Hugst!$R$4:$W$4,0))))</f>
        <v>0</v>
      </c>
      <c r="R248">
        <f ca="1">IF($C248-R$1&lt;År1,0,Q247*(1-VLOOKUP($A248,[1]Hugst!$R$5:$W$9,MATCH(ROUNDUP((R$1)/10,0)*10,[1]Hugst!$R$4:$W$4,0))))</f>
        <v>0</v>
      </c>
      <c r="S248">
        <f ca="1">IF($C248-S$1&lt;År1,0,R247*(1-VLOOKUP($A248,[1]Hugst!$R$5:$W$9,MATCH(ROUNDUP((S$1)/10,0)*10,[1]Hugst!$R$4:$W$4,0))))</f>
        <v>0</v>
      </c>
      <c r="T248">
        <f ca="1">IF($C248-T$1&lt;År1,0,S247*(1-VLOOKUP($A248,[1]Hugst!$R$5:$W$9,MATCH(ROUNDUP((T$1)/10,0)*10,[1]Hugst!$R$4:$W$4,0))))</f>
        <v>0</v>
      </c>
      <c r="U248">
        <f ca="1">IF($C248-U$1&lt;År1,0,T247*(1-VLOOKUP($A248,[1]Hugst!$R$5:$W$9,MATCH(ROUNDUP((U$1)/10,0)*10,[1]Hugst!$R$4:$W$4,0))))</f>
        <v>0</v>
      </c>
      <c r="V248">
        <f ca="1">IF($C248-V$1&lt;År1,0,U247*(1-VLOOKUP($A248,[1]Hugst!$R$5:$W$9,MATCH(ROUNDUP((V$1)/10,0)*10,[1]Hugst!$R$4:$W$4,0))))</f>
        <v>0</v>
      </c>
      <c r="W248">
        <f ca="1">IF($C248-W$1&lt;År1,0,V247*(1-VLOOKUP($A248,[1]Hugst!$R$5:$W$9,MATCH(ROUNDUP((W$1)/10,0)*10,[1]Hugst!$R$4:$W$4,0))))</f>
        <v>0</v>
      </c>
      <c r="X248">
        <f ca="1">IF($C248-X$1&lt;År1,0,W247*(1-VLOOKUP($A248,[1]Hugst!$R$5:$W$9,MATCH(ROUNDUP((X$1)/10,0)*10,[1]Hugst!$R$4:$W$4,0))))</f>
        <v>0</v>
      </c>
      <c r="Y248">
        <f ca="1">IF($C248-Y$1&lt;År1,0,X247*(1-VLOOKUP($A248,[1]Hugst!$R$5:$W$9,MATCH(ROUNDUP((Y$1)/10,0)*10,[1]Hugst!$R$4:$W$4,0))))</f>
        <v>0</v>
      </c>
      <c r="Z248">
        <f ca="1">IF($C248-Z$1&lt;År1,0,Y247*(1-VLOOKUP($A248,[1]Hugst!$R$5:$W$9,MATCH(ROUNDUP((Z$1)/10,0)*10,[1]Hugst!$R$4:$W$4,0))))</f>
        <v>0</v>
      </c>
      <c r="AA248">
        <f ca="1">IF($C248-AA$1&lt;År1,0,Z247*(1-VLOOKUP($A248,[1]Hugst!$R$5:$W$9,MATCH(ROUNDUP((AA$1)/10,0)*10,[1]Hugst!$R$4:$W$4,0))))</f>
        <v>0</v>
      </c>
      <c r="AB248">
        <f ca="1">IF($C248-AB$1&lt;År1,0,AA247*(1-VLOOKUP($A248,[1]Hugst!$R$5:$W$9,MATCH(ROUNDUP((AB$1)/10,0)*10,[1]Hugst!$R$4:$W$4,0))))</f>
        <v>0</v>
      </c>
      <c r="AC248">
        <f ca="1">IF($C248-AC$1&lt;År1,0,AB247*(1-VLOOKUP($A248,[1]Hugst!$R$5:$W$9,MATCH(ROUNDUP((AC$1)/10,0)*10,[1]Hugst!$R$4:$W$4,0))))</f>
        <v>0</v>
      </c>
      <c r="AD248">
        <f ca="1">IF($C248-AD$1&lt;År1,0,AC247*(1-VLOOKUP($A248,[1]Hugst!$R$5:$W$9,MATCH(ROUNDUP((AD$1)/10,0)*10,[1]Hugst!$R$4:$W$4,0))))</f>
        <v>0</v>
      </c>
      <c r="AE248">
        <f ca="1">IF($C248-AE$1&lt;År1,0,AD247*(1-VLOOKUP($A248,[1]Hugst!$R$5:$W$9,MATCH(ROUNDUP((AE$1)/10,0)*10,[1]Hugst!$R$4:$W$4,0))))</f>
        <v>0</v>
      </c>
      <c r="AF248">
        <f ca="1">IF($C248-AF$1&lt;År1,0,AE247*(1-VLOOKUP($A248,[1]Hugst!$R$5:$W$9,MATCH(ROUNDUP((AF$1)/10,0)*10,[1]Hugst!$R$4:$W$4,0))))</f>
        <v>0</v>
      </c>
      <c r="AG248">
        <f ca="1">IF($C248-AG$1&lt;År1,0,AF247*(1-VLOOKUP($A248,[1]Hugst!$R$5:$W$9,MATCH(ROUNDUP((AG$1)/10,0)*10,[1]Hugst!$R$4:$W$4,0))))</f>
        <v>0</v>
      </c>
      <c r="AH248">
        <f ca="1">IF($C248-AH$1&lt;År1,0,AG247*(1-VLOOKUP($A248,[1]Hugst!$R$5:$W$9,MATCH(ROUNDUP((AH$1)/10,0)*10,[1]Hugst!$R$4:$W$4,0))))</f>
        <v>0</v>
      </c>
      <c r="AI248">
        <f ca="1">IF($C248-AI$1&lt;År1,0,AH247*(1-VLOOKUP($A248,[1]Hugst!$R$5:$W$9,MATCH(ROUNDUP((AI$1)/10,0)*10,[1]Hugst!$R$4:$W$4,0))))</f>
        <v>0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0</v>
      </c>
      <c r="E249">
        <f ca="1">IF(C249=2020,SUM(G249:AJ249),SUM(F248:AJ248)-SUM(G249:AJ249))</f>
        <v>0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>
        <f ca="1">IF($C249-G$1&lt;År1,0,F248*(1-VLOOKUP($A249,[1]Hugst!$R$5:$W$9,MATCH(ROUNDUP((G$1)/10,0)*10,[1]Hugst!$R$4:$W$4,0))))</f>
        <v>0</v>
      </c>
      <c r="H249">
        <f ca="1">IF($C249-H$1&lt;År1,0,G248*(1-VLOOKUP($A249,[1]Hugst!$R$5:$W$9,MATCH(ROUNDUP((H$1)/10,0)*10,[1]Hugst!$R$4:$W$4,0))))</f>
        <v>0</v>
      </c>
      <c r="I249">
        <f ca="1">IF($C249-I$1&lt;År1,0,H248*(1-VLOOKUP($A249,[1]Hugst!$R$5:$W$9,MATCH(ROUNDUP((I$1)/10,0)*10,[1]Hugst!$R$4:$W$4,0))))</f>
        <v>0</v>
      </c>
      <c r="J249">
        <f ca="1">IF($C249-J$1&lt;År1,0,I248*(1-VLOOKUP($A249,[1]Hugst!$R$5:$W$9,MATCH(ROUNDUP((J$1)/10,0)*10,[1]Hugst!$R$4:$W$4,0))))</f>
        <v>0</v>
      </c>
      <c r="K249">
        <f ca="1">IF($C249-K$1&lt;År1,0,J248*(1-VLOOKUP($A249,[1]Hugst!$R$5:$W$9,MATCH(ROUNDUP((K$1)/10,0)*10,[1]Hugst!$R$4:$W$4,0))))</f>
        <v>0</v>
      </c>
      <c r="L249">
        <f ca="1">IF($C249-L$1&lt;År1,0,K248*(1-VLOOKUP($A249,[1]Hugst!$R$5:$W$9,MATCH(ROUNDUP((L$1)/10,0)*10,[1]Hugst!$R$4:$W$4,0))))</f>
        <v>0</v>
      </c>
      <c r="M249">
        <f ca="1">IF($C249-M$1&lt;År1,0,L248*(1-VLOOKUP($A249,[1]Hugst!$R$5:$W$9,MATCH(ROUNDUP((M$1)/10,0)*10,[1]Hugst!$R$4:$W$4,0))))</f>
        <v>0</v>
      </c>
      <c r="N249">
        <f ca="1">IF($C249-N$1&lt;År1,0,M248*(1-VLOOKUP($A249,[1]Hugst!$R$5:$W$9,MATCH(ROUNDUP((N$1)/10,0)*10,[1]Hugst!$R$4:$W$4,0))))</f>
        <v>0</v>
      </c>
      <c r="O249">
        <f ca="1">IF($C249-O$1&lt;År1,0,N248*(1-VLOOKUP($A249,[1]Hugst!$R$5:$W$9,MATCH(ROUNDUP((O$1)/10,0)*10,[1]Hugst!$R$4:$W$4,0))))</f>
        <v>0</v>
      </c>
      <c r="P249">
        <f ca="1">IF($C249-P$1&lt;År1,0,O248*(1-VLOOKUP($A249,[1]Hugst!$R$5:$W$9,MATCH(ROUNDUP((P$1)/10,0)*10,[1]Hugst!$R$4:$W$4,0))))</f>
        <v>0</v>
      </c>
      <c r="Q249">
        <f ca="1">IF($C249-Q$1&lt;År1,0,P248*(1-VLOOKUP($A249,[1]Hugst!$R$5:$W$9,MATCH(ROUNDUP((Q$1)/10,0)*10,[1]Hugst!$R$4:$W$4,0))))</f>
        <v>0</v>
      </c>
      <c r="R249">
        <f ca="1">IF($C249-R$1&lt;År1,0,Q248*(1-VLOOKUP($A249,[1]Hugst!$R$5:$W$9,MATCH(ROUNDUP((R$1)/10,0)*10,[1]Hugst!$R$4:$W$4,0))))</f>
        <v>0</v>
      </c>
      <c r="S249">
        <f ca="1">IF($C249-S$1&lt;År1,0,R248*(1-VLOOKUP($A249,[1]Hugst!$R$5:$W$9,MATCH(ROUNDUP((S$1)/10,0)*10,[1]Hugst!$R$4:$W$4,0))))</f>
        <v>0</v>
      </c>
      <c r="T249">
        <f ca="1">IF($C249-T$1&lt;År1,0,S248*(1-VLOOKUP($A249,[1]Hugst!$R$5:$W$9,MATCH(ROUNDUP((T$1)/10,0)*10,[1]Hugst!$R$4:$W$4,0))))</f>
        <v>0</v>
      </c>
      <c r="U249">
        <f ca="1">IF($C249-U$1&lt;År1,0,T248*(1-VLOOKUP($A249,[1]Hugst!$R$5:$W$9,MATCH(ROUNDUP((U$1)/10,0)*10,[1]Hugst!$R$4:$W$4,0))))</f>
        <v>0</v>
      </c>
      <c r="V249">
        <f ca="1">IF($C249-V$1&lt;År1,0,U248*(1-VLOOKUP($A249,[1]Hugst!$R$5:$W$9,MATCH(ROUNDUP((V$1)/10,0)*10,[1]Hugst!$R$4:$W$4,0))))</f>
        <v>0</v>
      </c>
      <c r="W249">
        <f ca="1">IF($C249-W$1&lt;År1,0,V248*(1-VLOOKUP($A249,[1]Hugst!$R$5:$W$9,MATCH(ROUNDUP((W$1)/10,0)*10,[1]Hugst!$R$4:$W$4,0))))</f>
        <v>0</v>
      </c>
      <c r="X249">
        <f ca="1">IF($C249-X$1&lt;År1,0,W248*(1-VLOOKUP($A249,[1]Hugst!$R$5:$W$9,MATCH(ROUNDUP((X$1)/10,0)*10,[1]Hugst!$R$4:$W$4,0))))</f>
        <v>0</v>
      </c>
      <c r="Y249">
        <f ca="1">IF($C249-Y$1&lt;År1,0,X248*(1-VLOOKUP($A249,[1]Hugst!$R$5:$W$9,MATCH(ROUNDUP((Y$1)/10,0)*10,[1]Hugst!$R$4:$W$4,0))))</f>
        <v>0</v>
      </c>
      <c r="Z249">
        <f ca="1">IF($C249-Z$1&lt;År1,0,Y248*(1-VLOOKUP($A249,[1]Hugst!$R$5:$W$9,MATCH(ROUNDUP((Z$1)/10,0)*10,[1]Hugst!$R$4:$W$4,0))))</f>
        <v>0</v>
      </c>
      <c r="AA249">
        <f ca="1">IF($C249-AA$1&lt;År1,0,Z248*(1-VLOOKUP($A249,[1]Hugst!$R$5:$W$9,MATCH(ROUNDUP((AA$1)/10,0)*10,[1]Hugst!$R$4:$W$4,0))))</f>
        <v>0</v>
      </c>
      <c r="AB249">
        <f ca="1">IF($C249-AB$1&lt;År1,0,AA248*(1-VLOOKUP($A249,[1]Hugst!$R$5:$W$9,MATCH(ROUNDUP((AB$1)/10,0)*10,[1]Hugst!$R$4:$W$4,0))))</f>
        <v>0</v>
      </c>
      <c r="AC249">
        <f ca="1">IF($C249-AC$1&lt;År1,0,AB248*(1-VLOOKUP($A249,[1]Hugst!$R$5:$W$9,MATCH(ROUNDUP((AC$1)/10,0)*10,[1]Hugst!$R$4:$W$4,0))))</f>
        <v>0</v>
      </c>
      <c r="AD249">
        <f ca="1">IF($C249-AD$1&lt;År1,0,AC248*(1-VLOOKUP($A249,[1]Hugst!$R$5:$W$9,MATCH(ROUNDUP((AD$1)/10,0)*10,[1]Hugst!$R$4:$W$4,0))))</f>
        <v>0</v>
      </c>
      <c r="AE249">
        <f ca="1">IF($C249-AE$1&lt;År1,0,AD248*(1-VLOOKUP($A249,[1]Hugst!$R$5:$W$9,MATCH(ROUNDUP((AE$1)/10,0)*10,[1]Hugst!$R$4:$W$4,0))))</f>
        <v>0</v>
      </c>
      <c r="AF249">
        <f ca="1">IF($C249-AF$1&lt;År1,0,AE248*(1-VLOOKUP($A249,[1]Hugst!$R$5:$W$9,MATCH(ROUNDUP((AF$1)/10,0)*10,[1]Hugst!$R$4:$W$4,0))))</f>
        <v>0</v>
      </c>
      <c r="AG249">
        <f ca="1">IF($C249-AG$1&lt;År1,0,AF248*(1-VLOOKUP($A249,[1]Hugst!$R$5:$W$9,MATCH(ROUNDUP((AG$1)/10,0)*10,[1]Hugst!$R$4:$W$4,0))))</f>
        <v>0</v>
      </c>
      <c r="AH249">
        <f ca="1">IF($C249-AH$1&lt;År1,0,AG248*(1-VLOOKUP($A249,[1]Hugst!$R$5:$W$9,MATCH(ROUNDUP((AH$1)/10,0)*10,[1]Hugst!$R$4:$W$4,0))))</f>
        <v>0</v>
      </c>
      <c r="AI249">
        <f ca="1">IF($C249-AI$1&lt;År1,0,AH248*(1-VLOOKUP($A249,[1]Hugst!$R$5:$W$9,MATCH(ROUNDUP((AI$1)/10,0)*10,[1]Hugst!$R$4:$W$4,0))))</f>
        <v>0</v>
      </c>
      <c r="AJ249">
        <f ca="1">IF($C249-AJ$1&lt;År1,0,AI248*(1-VLOOKUP($A249,[1]Hugst!$R$5:$W$9,MATCH(ROUNDUP((AJ$1)/10,0)*10,[1]Hugst!$R$4:$W$4,0))))</f>
        <v>0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1305.1935648691956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10293.596108827296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1298.6675970448182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10287.070141002918</v>
      </c>
      <c r="G251">
        <f ca="1">IF($C251-G$1&lt;År1,0,F250*(1-VLOOKUP($A251,[1]Hugst!$R$5:$W$9,MATCH(ROUNDUP((G$1)/10,0)*10,[1]Hugst!$R$4:$W$4,0))))</f>
        <v>10293.596108827296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1292.1742590596314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10280.576803017731</v>
      </c>
      <c r="G252">
        <f ca="1">IF($C252-G$1&lt;År1,0,F251*(1-VLOOKUP($A252,[1]Hugst!$R$5:$W$9,MATCH(ROUNDUP((G$1)/10,0)*10,[1]Hugst!$R$4:$W$4,0))))</f>
        <v>10287.070141002918</v>
      </c>
      <c r="H252">
        <f ca="1">IF($C252-H$1&lt;År1,0,G251*(1-VLOOKUP($A252,[1]Hugst!$R$5:$W$9,MATCH(ROUNDUP((H$1)/10,0)*10,[1]Hugst!$R$4:$W$4,0))))</f>
        <v>10293.596108827296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1285.7133877643273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10274.115931722426</v>
      </c>
      <c r="G253">
        <f ca="1">IF($C253-G$1&lt;År1,0,F252*(1-VLOOKUP($A253,[1]Hugst!$R$5:$W$9,MATCH(ROUNDUP((G$1)/10,0)*10,[1]Hugst!$R$4:$W$4,0))))</f>
        <v>10280.576803017731</v>
      </c>
      <c r="H253">
        <f ca="1">IF($C253-H$1&lt;År1,0,G252*(1-VLOOKUP($A253,[1]Hugst!$R$5:$W$9,MATCH(ROUNDUP((H$1)/10,0)*10,[1]Hugst!$R$4:$W$4,0))))</f>
        <v>10287.070141002918</v>
      </c>
      <c r="I253">
        <f ca="1">IF($C253-I$1&lt;År1,0,H252*(1-VLOOKUP($A253,[1]Hugst!$R$5:$W$9,MATCH(ROUNDUP((I$1)/10,0)*10,[1]Hugst!$R$4:$W$4,0))))</f>
        <v>10293.596108827296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1279.2848208255018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10267.687364783602</v>
      </c>
      <c r="G254">
        <f ca="1">IF($C254-G$1&lt;År1,0,F253*(1-VLOOKUP($A254,[1]Hugst!$R$5:$W$9,MATCH(ROUNDUP((G$1)/10,0)*10,[1]Hugst!$R$4:$W$4,0))))</f>
        <v>10274.115931722426</v>
      </c>
      <c r="H254">
        <f ca="1">IF($C254-H$1&lt;År1,0,G253*(1-VLOOKUP($A254,[1]Hugst!$R$5:$W$9,MATCH(ROUNDUP((H$1)/10,0)*10,[1]Hugst!$R$4:$W$4,0))))</f>
        <v>10280.576803017731</v>
      </c>
      <c r="I254">
        <f ca="1">IF($C254-I$1&lt;År1,0,H253*(1-VLOOKUP($A254,[1]Hugst!$R$5:$W$9,MATCH(ROUNDUP((I$1)/10,0)*10,[1]Hugst!$R$4:$W$4,0))))</f>
        <v>10287.070141002918</v>
      </c>
      <c r="J254">
        <f ca="1">IF($C254-J$1&lt;År1,0,I253*(1-VLOOKUP($A254,[1]Hugst!$R$5:$W$9,MATCH(ROUNDUP((J$1)/10,0)*10,[1]Hugst!$R$4:$W$4,0))))</f>
        <v>10293.596108827296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1272.8883967213678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10261.290940679468</v>
      </c>
      <c r="G255">
        <f ca="1">IF($C255-G$1&lt;År1,0,F254*(1-VLOOKUP($A255,[1]Hugst!$R$5:$W$9,MATCH(ROUNDUP((G$1)/10,0)*10,[1]Hugst!$R$4:$W$4,0))))</f>
        <v>10267.687364783602</v>
      </c>
      <c r="H255">
        <f ca="1">IF($C255-H$1&lt;År1,0,G254*(1-VLOOKUP($A255,[1]Hugst!$R$5:$W$9,MATCH(ROUNDUP((H$1)/10,0)*10,[1]Hugst!$R$4:$W$4,0))))</f>
        <v>10274.115931722426</v>
      </c>
      <c r="I255">
        <f ca="1">IF($C255-I$1&lt;År1,0,H254*(1-VLOOKUP($A255,[1]Hugst!$R$5:$W$9,MATCH(ROUNDUP((I$1)/10,0)*10,[1]Hugst!$R$4:$W$4,0))))</f>
        <v>10280.576803017731</v>
      </c>
      <c r="J255">
        <f ca="1">IF($C255-J$1&lt;År1,0,I254*(1-VLOOKUP($A255,[1]Hugst!$R$5:$W$9,MATCH(ROUNDUP((J$1)/10,0)*10,[1]Hugst!$R$4:$W$4,0))))</f>
        <v>10287.070141002918</v>
      </c>
      <c r="K255">
        <f ca="1">IF($C255-K$1&lt;År1,0,J254*(1-VLOOKUP($A255,[1]Hugst!$R$5:$W$9,MATCH(ROUNDUP((K$1)/10,0)*10,[1]Hugst!$R$4:$W$4,0))))</f>
        <v>10293.596108827296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1266.5239547377687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10254.92649869587</v>
      </c>
      <c r="G256">
        <f ca="1">IF($C256-G$1&lt;År1,0,F255*(1-VLOOKUP($A256,[1]Hugst!$R$5:$W$9,MATCH(ROUNDUP((G$1)/10,0)*10,[1]Hugst!$R$4:$W$4,0))))</f>
        <v>10261.290940679468</v>
      </c>
      <c r="H256">
        <f ca="1">IF($C256-H$1&lt;År1,0,G255*(1-VLOOKUP($A256,[1]Hugst!$R$5:$W$9,MATCH(ROUNDUP((H$1)/10,0)*10,[1]Hugst!$R$4:$W$4,0))))</f>
        <v>10267.687364783602</v>
      </c>
      <c r="I256">
        <f ca="1">IF($C256-I$1&lt;År1,0,H255*(1-VLOOKUP($A256,[1]Hugst!$R$5:$W$9,MATCH(ROUNDUP((I$1)/10,0)*10,[1]Hugst!$R$4:$W$4,0))))</f>
        <v>10274.115931722426</v>
      </c>
      <c r="J256">
        <f ca="1">IF($C256-J$1&lt;År1,0,I255*(1-VLOOKUP($A256,[1]Hugst!$R$5:$W$9,MATCH(ROUNDUP((J$1)/10,0)*10,[1]Hugst!$R$4:$W$4,0))))</f>
        <v>10280.576803017731</v>
      </c>
      <c r="K256">
        <f ca="1">IF($C256-K$1&lt;År1,0,J255*(1-VLOOKUP($A256,[1]Hugst!$R$5:$W$9,MATCH(ROUNDUP((K$1)/10,0)*10,[1]Hugst!$R$4:$W$4,0))))</f>
        <v>10287.070141002918</v>
      </c>
      <c r="L256">
        <f ca="1">IF($C256-L$1&lt;År1,0,K255*(1-VLOOKUP($A256,[1]Hugst!$R$5:$W$9,MATCH(ROUNDUP((L$1)/10,0)*10,[1]Hugst!$R$4:$W$4,0))))</f>
        <v>10293.596108827296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1260.1913349640909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10248.593878922191</v>
      </c>
      <c r="G257">
        <f ca="1">IF($C257-G$1&lt;År1,0,F256*(1-VLOOKUP($A257,[1]Hugst!$R$5:$W$9,MATCH(ROUNDUP((G$1)/10,0)*10,[1]Hugst!$R$4:$W$4,0))))</f>
        <v>10254.92649869587</v>
      </c>
      <c r="H257">
        <f ca="1">IF($C257-H$1&lt;År1,0,G256*(1-VLOOKUP($A257,[1]Hugst!$R$5:$W$9,MATCH(ROUNDUP((H$1)/10,0)*10,[1]Hugst!$R$4:$W$4,0))))</f>
        <v>10261.290940679468</v>
      </c>
      <c r="I257">
        <f ca="1">IF($C257-I$1&lt;År1,0,H256*(1-VLOOKUP($A257,[1]Hugst!$R$5:$W$9,MATCH(ROUNDUP((I$1)/10,0)*10,[1]Hugst!$R$4:$W$4,0))))</f>
        <v>10267.687364783602</v>
      </c>
      <c r="J257">
        <f ca="1">IF($C257-J$1&lt;År1,0,I256*(1-VLOOKUP($A257,[1]Hugst!$R$5:$W$9,MATCH(ROUNDUP((J$1)/10,0)*10,[1]Hugst!$R$4:$W$4,0))))</f>
        <v>10274.115931722426</v>
      </c>
      <c r="K257">
        <f ca="1">IF($C257-K$1&lt;År1,0,J256*(1-VLOOKUP($A257,[1]Hugst!$R$5:$W$9,MATCH(ROUNDUP((K$1)/10,0)*10,[1]Hugst!$R$4:$W$4,0))))</f>
        <v>10280.576803017731</v>
      </c>
      <c r="L257">
        <f ca="1">IF($C257-L$1&lt;År1,0,K256*(1-VLOOKUP($A257,[1]Hugst!$R$5:$W$9,MATCH(ROUNDUP((L$1)/10,0)*10,[1]Hugst!$R$4:$W$4,0))))</f>
        <v>10287.070141002918</v>
      </c>
      <c r="M257">
        <f ca="1">IF($C257-M$1&lt;År1,0,L256*(1-VLOOKUP($A257,[1]Hugst!$R$5:$W$9,MATCH(ROUNDUP((M$1)/10,0)*10,[1]Hugst!$R$4:$W$4,0))))</f>
        <v>10293.596108827296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1253.8903782892849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10242.292922247385</v>
      </c>
      <c r="G258">
        <f ca="1">IF($C258-G$1&lt;År1,0,F257*(1-VLOOKUP($A258,[1]Hugst!$R$5:$W$9,MATCH(ROUNDUP((G$1)/10,0)*10,[1]Hugst!$R$4:$W$4,0))))</f>
        <v>10248.593878922191</v>
      </c>
      <c r="H258">
        <f ca="1">IF($C258-H$1&lt;År1,0,G257*(1-VLOOKUP($A258,[1]Hugst!$R$5:$W$9,MATCH(ROUNDUP((H$1)/10,0)*10,[1]Hugst!$R$4:$W$4,0))))</f>
        <v>10254.92649869587</v>
      </c>
      <c r="I258">
        <f ca="1">IF($C258-I$1&lt;År1,0,H257*(1-VLOOKUP($A258,[1]Hugst!$R$5:$W$9,MATCH(ROUNDUP((I$1)/10,0)*10,[1]Hugst!$R$4:$W$4,0))))</f>
        <v>10261.290940679468</v>
      </c>
      <c r="J258">
        <f ca="1">IF($C258-J$1&lt;År1,0,I257*(1-VLOOKUP($A258,[1]Hugst!$R$5:$W$9,MATCH(ROUNDUP((J$1)/10,0)*10,[1]Hugst!$R$4:$W$4,0))))</f>
        <v>10267.687364783602</v>
      </c>
      <c r="K258">
        <f ca="1">IF($C258-K$1&lt;År1,0,J257*(1-VLOOKUP($A258,[1]Hugst!$R$5:$W$9,MATCH(ROUNDUP((K$1)/10,0)*10,[1]Hugst!$R$4:$W$4,0))))</f>
        <v>10274.115931722426</v>
      </c>
      <c r="L258">
        <f ca="1">IF($C258-L$1&lt;År1,0,K257*(1-VLOOKUP($A258,[1]Hugst!$R$5:$W$9,MATCH(ROUNDUP((L$1)/10,0)*10,[1]Hugst!$R$4:$W$4,0))))</f>
        <v>10280.576803017731</v>
      </c>
      <c r="M258">
        <f ca="1">IF($C258-M$1&lt;År1,0,L257*(1-VLOOKUP($A258,[1]Hugst!$R$5:$W$9,MATCH(ROUNDUP((M$1)/10,0)*10,[1]Hugst!$R$4:$W$4,0))))</f>
        <v>10287.070141002918</v>
      </c>
      <c r="N258">
        <f ca="1">IF($C258-N$1&lt;År1,0,M257*(1-VLOOKUP($A258,[1]Hugst!$R$5:$W$9,MATCH(ROUNDUP((N$1)/10,0)*10,[1]Hugst!$R$4:$W$4,0))))</f>
        <v>10293.596108827296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1247.6209263977835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10236.023470355884</v>
      </c>
      <c r="G259">
        <f ca="1">IF($C259-G$1&lt;År1,0,F258*(1-VLOOKUP($A259,[1]Hugst!$R$5:$W$9,MATCH(ROUNDUP((G$1)/10,0)*10,[1]Hugst!$R$4:$W$4,0))))</f>
        <v>10242.292922247385</v>
      </c>
      <c r="H259">
        <f ca="1">IF($C259-H$1&lt;År1,0,G258*(1-VLOOKUP($A259,[1]Hugst!$R$5:$W$9,MATCH(ROUNDUP((H$1)/10,0)*10,[1]Hugst!$R$4:$W$4,0))))</f>
        <v>10248.593878922191</v>
      </c>
      <c r="I259">
        <f ca="1">IF($C259-I$1&lt;År1,0,H258*(1-VLOOKUP($A259,[1]Hugst!$R$5:$W$9,MATCH(ROUNDUP((I$1)/10,0)*10,[1]Hugst!$R$4:$W$4,0))))</f>
        <v>10254.92649869587</v>
      </c>
      <c r="J259">
        <f ca="1">IF($C259-J$1&lt;År1,0,I258*(1-VLOOKUP($A259,[1]Hugst!$R$5:$W$9,MATCH(ROUNDUP((J$1)/10,0)*10,[1]Hugst!$R$4:$W$4,0))))</f>
        <v>10261.290940679468</v>
      </c>
      <c r="K259">
        <f ca="1">IF($C259-K$1&lt;År1,0,J258*(1-VLOOKUP($A259,[1]Hugst!$R$5:$W$9,MATCH(ROUNDUP((K$1)/10,0)*10,[1]Hugst!$R$4:$W$4,0))))</f>
        <v>10267.687364783602</v>
      </c>
      <c r="L259">
        <f ca="1">IF($C259-L$1&lt;År1,0,K258*(1-VLOOKUP($A259,[1]Hugst!$R$5:$W$9,MATCH(ROUNDUP((L$1)/10,0)*10,[1]Hugst!$R$4:$W$4,0))))</f>
        <v>10274.115931722426</v>
      </c>
      <c r="M259">
        <f ca="1">IF($C259-M$1&lt;År1,0,L258*(1-VLOOKUP($A259,[1]Hugst!$R$5:$W$9,MATCH(ROUNDUP((M$1)/10,0)*10,[1]Hugst!$R$4:$W$4,0))))</f>
        <v>10280.576803017731</v>
      </c>
      <c r="N259">
        <f ca="1">IF($C259-N$1&lt;År1,0,M258*(1-VLOOKUP($A259,[1]Hugst!$R$5:$W$9,MATCH(ROUNDUP((N$1)/10,0)*10,[1]Hugst!$R$4:$W$4,0))))</f>
        <v>10287.070141002918</v>
      </c>
      <c r="O259">
        <f ca="1">IF($C259-O$1&lt;År1,0,N258*(1-VLOOKUP($A259,[1]Hugst!$R$5:$W$9,MATCH(ROUNDUP((O$1)/10,0)*10,[1]Hugst!$R$4:$W$4,0))))</f>
        <v>10293.596108827296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1241.3828217658556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10229.785365723956</v>
      </c>
      <c r="G260">
        <f ca="1">IF($C260-G$1&lt;År1,0,F259*(1-VLOOKUP($A260,[1]Hugst!$R$5:$W$9,MATCH(ROUNDUP((G$1)/10,0)*10,[1]Hugst!$R$4:$W$4,0))))</f>
        <v>10236.023470355884</v>
      </c>
      <c r="H260">
        <f ca="1">IF($C260-H$1&lt;År1,0,G259*(1-VLOOKUP($A260,[1]Hugst!$R$5:$W$9,MATCH(ROUNDUP((H$1)/10,0)*10,[1]Hugst!$R$4:$W$4,0))))</f>
        <v>10242.292922247385</v>
      </c>
      <c r="I260">
        <f ca="1">IF($C260-I$1&lt;År1,0,H259*(1-VLOOKUP($A260,[1]Hugst!$R$5:$W$9,MATCH(ROUNDUP((I$1)/10,0)*10,[1]Hugst!$R$4:$W$4,0))))</f>
        <v>10248.593878922191</v>
      </c>
      <c r="J260">
        <f ca="1">IF($C260-J$1&lt;År1,0,I259*(1-VLOOKUP($A260,[1]Hugst!$R$5:$W$9,MATCH(ROUNDUP((J$1)/10,0)*10,[1]Hugst!$R$4:$W$4,0))))</f>
        <v>10254.92649869587</v>
      </c>
      <c r="K260">
        <f ca="1">IF($C260-K$1&lt;År1,0,J259*(1-VLOOKUP($A260,[1]Hugst!$R$5:$W$9,MATCH(ROUNDUP((K$1)/10,0)*10,[1]Hugst!$R$4:$W$4,0))))</f>
        <v>10261.290940679468</v>
      </c>
      <c r="L260">
        <f ca="1">IF($C260-L$1&lt;År1,0,K259*(1-VLOOKUP($A260,[1]Hugst!$R$5:$W$9,MATCH(ROUNDUP((L$1)/10,0)*10,[1]Hugst!$R$4:$W$4,0))))</f>
        <v>10267.687364783602</v>
      </c>
      <c r="M260">
        <f ca="1">IF($C260-M$1&lt;År1,0,L259*(1-VLOOKUP($A260,[1]Hugst!$R$5:$W$9,MATCH(ROUNDUP((M$1)/10,0)*10,[1]Hugst!$R$4:$W$4,0))))</f>
        <v>10274.115931722426</v>
      </c>
      <c r="N260">
        <f ca="1">IF($C260-N$1&lt;År1,0,M259*(1-VLOOKUP($A260,[1]Hugst!$R$5:$W$9,MATCH(ROUNDUP((N$1)/10,0)*10,[1]Hugst!$R$4:$W$4,0))))</f>
        <v>10280.576803017731</v>
      </c>
      <c r="O260">
        <f ca="1">IF($C260-O$1&lt;År1,0,N259*(1-VLOOKUP($A260,[1]Hugst!$R$5:$W$9,MATCH(ROUNDUP((O$1)/10,0)*10,[1]Hugst!$R$4:$W$4,0))))</f>
        <v>10287.070141002918</v>
      </c>
      <c r="P260">
        <f ca="1">IF($C260-P$1&lt;År1,0,O259*(1-VLOOKUP($A260,[1]Hugst!$R$5:$W$9,MATCH(ROUNDUP((P$1)/10,0)*10,[1]Hugst!$R$4:$W$4,0))))</f>
        <v>10293.596108827296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1235.1759076569451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9313.7767307022132</v>
      </c>
      <c r="G261">
        <f ca="1">IF($C261-G$1&lt;År1,0,F260*(1-VLOOKUP($A261,[1]Hugst!$R$5:$W$9,MATCH(ROUNDUP((G$1)/10,0)*10,[1]Hugst!$R$4:$W$4,0))))</f>
        <v>10229.785365723956</v>
      </c>
      <c r="H261">
        <f ca="1">IF($C261-H$1&lt;År1,0,G260*(1-VLOOKUP($A261,[1]Hugst!$R$5:$W$9,MATCH(ROUNDUP((H$1)/10,0)*10,[1]Hugst!$R$4:$W$4,0))))</f>
        <v>10236.023470355884</v>
      </c>
      <c r="I261">
        <f ca="1">IF($C261-I$1&lt;År1,0,H260*(1-VLOOKUP($A261,[1]Hugst!$R$5:$W$9,MATCH(ROUNDUP((I$1)/10,0)*10,[1]Hugst!$R$4:$W$4,0))))</f>
        <v>10242.292922247385</v>
      </c>
      <c r="J261">
        <f ca="1">IF($C261-J$1&lt;År1,0,I260*(1-VLOOKUP($A261,[1]Hugst!$R$5:$W$9,MATCH(ROUNDUP((J$1)/10,0)*10,[1]Hugst!$R$4:$W$4,0))))</f>
        <v>10248.593878922191</v>
      </c>
      <c r="K261">
        <f ca="1">IF($C261-K$1&lt;År1,0,J260*(1-VLOOKUP($A261,[1]Hugst!$R$5:$W$9,MATCH(ROUNDUP((K$1)/10,0)*10,[1]Hugst!$R$4:$W$4,0))))</f>
        <v>10254.92649869587</v>
      </c>
      <c r="L261">
        <f ca="1">IF($C261-L$1&lt;År1,0,K260*(1-VLOOKUP($A261,[1]Hugst!$R$5:$W$9,MATCH(ROUNDUP((L$1)/10,0)*10,[1]Hugst!$R$4:$W$4,0))))</f>
        <v>10261.290940679468</v>
      </c>
      <c r="M261">
        <f ca="1">IF($C261-M$1&lt;År1,0,L260*(1-VLOOKUP($A261,[1]Hugst!$R$5:$W$9,MATCH(ROUNDUP((M$1)/10,0)*10,[1]Hugst!$R$4:$W$4,0))))</f>
        <v>10267.687364783602</v>
      </c>
      <c r="N261">
        <f ca="1">IF($C261-N$1&lt;År1,0,M260*(1-VLOOKUP($A261,[1]Hugst!$R$5:$W$9,MATCH(ROUNDUP((N$1)/10,0)*10,[1]Hugst!$R$4:$W$4,0))))</f>
        <v>10274.115931722426</v>
      </c>
      <c r="O261">
        <f ca="1">IF($C261-O$1&lt;År1,0,N260*(1-VLOOKUP($A261,[1]Hugst!$R$5:$W$9,MATCH(ROUNDUP((O$1)/10,0)*10,[1]Hugst!$R$4:$W$4,0))))</f>
        <v>10280.576803017731</v>
      </c>
      <c r="P261">
        <f ca="1">IF($C261-P$1&lt;År1,0,O260*(1-VLOOKUP($A261,[1]Hugst!$R$5:$W$9,MATCH(ROUNDUP((P$1)/10,0)*10,[1]Hugst!$R$4:$W$4,0))))</f>
        <v>10287.070141002918</v>
      </c>
      <c r="Q261">
        <f ca="1">IF($C261-Q$1&lt;År1,0,P260*(1-VLOOKUP($A261,[1]Hugst!$R$5:$W$9,MATCH(ROUNDUP((Q$1)/10,0)*10,[1]Hugst!$R$4:$W$4,0))))</f>
        <v>10293.596108827296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1229.000028118724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9307.600851163992</v>
      </c>
      <c r="G262">
        <f ca="1">IF($C262-G$1&lt;År1,0,F261*(1-VLOOKUP($A262,[1]Hugst!$R$5:$W$9,MATCH(ROUNDUP((G$1)/10,0)*10,[1]Hugst!$R$4:$W$4,0))))</f>
        <v>9313.7767307022132</v>
      </c>
      <c r="H262">
        <f ca="1">IF($C262-H$1&lt;År1,0,G261*(1-VLOOKUP($A262,[1]Hugst!$R$5:$W$9,MATCH(ROUNDUP((H$1)/10,0)*10,[1]Hugst!$R$4:$W$4,0))))</f>
        <v>10229.785365723956</v>
      </c>
      <c r="I262">
        <f ca="1">IF($C262-I$1&lt;År1,0,H261*(1-VLOOKUP($A262,[1]Hugst!$R$5:$W$9,MATCH(ROUNDUP((I$1)/10,0)*10,[1]Hugst!$R$4:$W$4,0))))</f>
        <v>10236.023470355884</v>
      </c>
      <c r="J262">
        <f ca="1">IF($C262-J$1&lt;År1,0,I261*(1-VLOOKUP($A262,[1]Hugst!$R$5:$W$9,MATCH(ROUNDUP((J$1)/10,0)*10,[1]Hugst!$R$4:$W$4,0))))</f>
        <v>10242.292922247385</v>
      </c>
      <c r="K262">
        <f ca="1">IF($C262-K$1&lt;År1,0,J261*(1-VLOOKUP($A262,[1]Hugst!$R$5:$W$9,MATCH(ROUNDUP((K$1)/10,0)*10,[1]Hugst!$R$4:$W$4,0))))</f>
        <v>10248.593878922191</v>
      </c>
      <c r="L262">
        <f ca="1">IF($C262-L$1&lt;År1,0,K261*(1-VLOOKUP($A262,[1]Hugst!$R$5:$W$9,MATCH(ROUNDUP((L$1)/10,0)*10,[1]Hugst!$R$4:$W$4,0))))</f>
        <v>10254.92649869587</v>
      </c>
      <c r="M262">
        <f ca="1">IF($C262-M$1&lt;År1,0,L261*(1-VLOOKUP($A262,[1]Hugst!$R$5:$W$9,MATCH(ROUNDUP((M$1)/10,0)*10,[1]Hugst!$R$4:$W$4,0))))</f>
        <v>10261.290940679468</v>
      </c>
      <c r="N262">
        <f ca="1">IF($C262-N$1&lt;År1,0,M261*(1-VLOOKUP($A262,[1]Hugst!$R$5:$W$9,MATCH(ROUNDUP((N$1)/10,0)*10,[1]Hugst!$R$4:$W$4,0))))</f>
        <v>10267.687364783602</v>
      </c>
      <c r="O262">
        <f ca="1">IF($C262-O$1&lt;År1,0,N261*(1-VLOOKUP($A262,[1]Hugst!$R$5:$W$9,MATCH(ROUNDUP((O$1)/10,0)*10,[1]Hugst!$R$4:$W$4,0))))</f>
        <v>10274.115931722426</v>
      </c>
      <c r="P262">
        <f ca="1">IF($C262-P$1&lt;År1,0,O261*(1-VLOOKUP($A262,[1]Hugst!$R$5:$W$9,MATCH(ROUNDUP((P$1)/10,0)*10,[1]Hugst!$R$4:$W$4,0))))</f>
        <v>10280.576803017731</v>
      </c>
      <c r="Q262">
        <f ca="1">IF($C262-Q$1&lt;År1,0,P261*(1-VLOOKUP($A262,[1]Hugst!$R$5:$W$9,MATCH(ROUNDUP((Q$1)/10,0)*10,[1]Hugst!$R$4:$W$4,0))))</f>
        <v>10287.070141002918</v>
      </c>
      <c r="R262">
        <f ca="1">IF($C262-R$1&lt;År1,0,Q261*(1-VLOOKUP($A262,[1]Hugst!$R$5:$W$9,MATCH(ROUNDUP((R$1)/10,0)*10,[1]Hugst!$R$4:$W$4,0))))</f>
        <v>10293.596108827296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1222.8550279781011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9301.4558510233692</v>
      </c>
      <c r="G263">
        <f ca="1">IF($C263-G$1&lt;År1,0,F262*(1-VLOOKUP($A263,[1]Hugst!$R$5:$W$9,MATCH(ROUNDUP((G$1)/10,0)*10,[1]Hugst!$R$4:$W$4,0))))</f>
        <v>9307.600851163992</v>
      </c>
      <c r="H263">
        <f ca="1">IF($C263-H$1&lt;År1,0,G262*(1-VLOOKUP($A263,[1]Hugst!$R$5:$W$9,MATCH(ROUNDUP((H$1)/10,0)*10,[1]Hugst!$R$4:$W$4,0))))</f>
        <v>9313.7767307022132</v>
      </c>
      <c r="I263">
        <f ca="1">IF($C263-I$1&lt;År1,0,H262*(1-VLOOKUP($A263,[1]Hugst!$R$5:$W$9,MATCH(ROUNDUP((I$1)/10,0)*10,[1]Hugst!$R$4:$W$4,0))))</f>
        <v>10229.785365723956</v>
      </c>
      <c r="J263">
        <f ca="1">IF($C263-J$1&lt;År1,0,I262*(1-VLOOKUP($A263,[1]Hugst!$R$5:$W$9,MATCH(ROUNDUP((J$1)/10,0)*10,[1]Hugst!$R$4:$W$4,0))))</f>
        <v>10236.023470355884</v>
      </c>
      <c r="K263">
        <f ca="1">IF($C263-K$1&lt;År1,0,J262*(1-VLOOKUP($A263,[1]Hugst!$R$5:$W$9,MATCH(ROUNDUP((K$1)/10,0)*10,[1]Hugst!$R$4:$W$4,0))))</f>
        <v>10242.292922247385</v>
      </c>
      <c r="L263">
        <f ca="1">IF($C263-L$1&lt;År1,0,K262*(1-VLOOKUP($A263,[1]Hugst!$R$5:$W$9,MATCH(ROUNDUP((L$1)/10,0)*10,[1]Hugst!$R$4:$W$4,0))))</f>
        <v>10248.593878922191</v>
      </c>
      <c r="M263">
        <f ca="1">IF($C263-M$1&lt;År1,0,L262*(1-VLOOKUP($A263,[1]Hugst!$R$5:$W$9,MATCH(ROUNDUP((M$1)/10,0)*10,[1]Hugst!$R$4:$W$4,0))))</f>
        <v>10254.92649869587</v>
      </c>
      <c r="N263">
        <f ca="1">IF($C263-N$1&lt;År1,0,M262*(1-VLOOKUP($A263,[1]Hugst!$R$5:$W$9,MATCH(ROUNDUP((N$1)/10,0)*10,[1]Hugst!$R$4:$W$4,0))))</f>
        <v>10261.290940679468</v>
      </c>
      <c r="O263">
        <f ca="1">IF($C263-O$1&lt;År1,0,N262*(1-VLOOKUP($A263,[1]Hugst!$R$5:$W$9,MATCH(ROUNDUP((O$1)/10,0)*10,[1]Hugst!$R$4:$W$4,0))))</f>
        <v>10267.687364783602</v>
      </c>
      <c r="P263">
        <f ca="1">IF($C263-P$1&lt;År1,0,O262*(1-VLOOKUP($A263,[1]Hugst!$R$5:$W$9,MATCH(ROUNDUP((P$1)/10,0)*10,[1]Hugst!$R$4:$W$4,0))))</f>
        <v>10274.115931722426</v>
      </c>
      <c r="Q263">
        <f ca="1">IF($C263-Q$1&lt;År1,0,P262*(1-VLOOKUP($A263,[1]Hugst!$R$5:$W$9,MATCH(ROUNDUP((Q$1)/10,0)*10,[1]Hugst!$R$4:$W$4,0))))</f>
        <v>10280.576803017731</v>
      </c>
      <c r="R263">
        <f ca="1">IF($C263-R$1&lt;År1,0,Q262*(1-VLOOKUP($A263,[1]Hugst!$R$5:$W$9,MATCH(ROUNDUP((R$1)/10,0)*10,[1]Hugst!$R$4:$W$4,0))))</f>
        <v>10287.070141002918</v>
      </c>
      <c r="S263">
        <f ca="1">IF($C263-S$1&lt;År1,0,R262*(1-VLOOKUP($A263,[1]Hugst!$R$5:$W$9,MATCH(ROUNDUP((S$1)/10,0)*10,[1]Hugst!$R$4:$W$4,0))))</f>
        <v>10293.596108827296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1216.7407528382137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9295.3415758834817</v>
      </c>
      <c r="G264">
        <f ca="1">IF($C264-G$1&lt;År1,0,F263*(1-VLOOKUP($A264,[1]Hugst!$R$5:$W$9,MATCH(ROUNDUP((G$1)/10,0)*10,[1]Hugst!$R$4:$W$4,0))))</f>
        <v>9301.4558510233692</v>
      </c>
      <c r="H264">
        <f ca="1">IF($C264-H$1&lt;År1,0,G263*(1-VLOOKUP($A264,[1]Hugst!$R$5:$W$9,MATCH(ROUNDUP((H$1)/10,0)*10,[1]Hugst!$R$4:$W$4,0))))</f>
        <v>9307.600851163992</v>
      </c>
      <c r="I264">
        <f ca="1">IF($C264-I$1&lt;År1,0,H263*(1-VLOOKUP($A264,[1]Hugst!$R$5:$W$9,MATCH(ROUNDUP((I$1)/10,0)*10,[1]Hugst!$R$4:$W$4,0))))</f>
        <v>9313.7767307022132</v>
      </c>
      <c r="J264">
        <f ca="1">IF($C264-J$1&lt;År1,0,I263*(1-VLOOKUP($A264,[1]Hugst!$R$5:$W$9,MATCH(ROUNDUP((J$1)/10,0)*10,[1]Hugst!$R$4:$W$4,0))))</f>
        <v>10229.785365723956</v>
      </c>
      <c r="K264">
        <f ca="1">IF($C264-K$1&lt;År1,0,J263*(1-VLOOKUP($A264,[1]Hugst!$R$5:$W$9,MATCH(ROUNDUP((K$1)/10,0)*10,[1]Hugst!$R$4:$W$4,0))))</f>
        <v>10236.023470355884</v>
      </c>
      <c r="L264">
        <f ca="1">IF($C264-L$1&lt;År1,0,K263*(1-VLOOKUP($A264,[1]Hugst!$R$5:$W$9,MATCH(ROUNDUP((L$1)/10,0)*10,[1]Hugst!$R$4:$W$4,0))))</f>
        <v>10242.292922247385</v>
      </c>
      <c r="M264">
        <f ca="1">IF($C264-M$1&lt;År1,0,L263*(1-VLOOKUP($A264,[1]Hugst!$R$5:$W$9,MATCH(ROUNDUP((M$1)/10,0)*10,[1]Hugst!$R$4:$W$4,0))))</f>
        <v>10248.593878922191</v>
      </c>
      <c r="N264">
        <f ca="1">IF($C264-N$1&lt;År1,0,M263*(1-VLOOKUP($A264,[1]Hugst!$R$5:$W$9,MATCH(ROUNDUP((N$1)/10,0)*10,[1]Hugst!$R$4:$W$4,0))))</f>
        <v>10254.92649869587</v>
      </c>
      <c r="O264">
        <f ca="1">IF($C264-O$1&lt;År1,0,N263*(1-VLOOKUP($A264,[1]Hugst!$R$5:$W$9,MATCH(ROUNDUP((O$1)/10,0)*10,[1]Hugst!$R$4:$W$4,0))))</f>
        <v>10261.290940679468</v>
      </c>
      <c r="P264">
        <f ca="1">IF($C264-P$1&lt;År1,0,O263*(1-VLOOKUP($A264,[1]Hugst!$R$5:$W$9,MATCH(ROUNDUP((P$1)/10,0)*10,[1]Hugst!$R$4:$W$4,0))))</f>
        <v>10267.687364783602</v>
      </c>
      <c r="Q264">
        <f ca="1">IF($C264-Q$1&lt;År1,0,P263*(1-VLOOKUP($A264,[1]Hugst!$R$5:$W$9,MATCH(ROUNDUP((Q$1)/10,0)*10,[1]Hugst!$R$4:$W$4,0))))</f>
        <v>10274.115931722426</v>
      </c>
      <c r="R264">
        <f ca="1">IF($C264-R$1&lt;År1,0,Q263*(1-VLOOKUP($A264,[1]Hugst!$R$5:$W$9,MATCH(ROUNDUP((R$1)/10,0)*10,[1]Hugst!$R$4:$W$4,0))))</f>
        <v>10280.576803017731</v>
      </c>
      <c r="S264">
        <f ca="1">IF($C264-S$1&lt;År1,0,R263*(1-VLOOKUP($A264,[1]Hugst!$R$5:$W$9,MATCH(ROUNDUP((S$1)/10,0)*10,[1]Hugst!$R$4:$W$4,0))))</f>
        <v>10287.070141002918</v>
      </c>
      <c r="T264">
        <f ca="1">IF($C264-T$1&lt;År1,0,S263*(1-VLOOKUP($A264,[1]Hugst!$R$5:$W$9,MATCH(ROUNDUP((T$1)/10,0)*10,[1]Hugst!$R$4:$W$4,0))))</f>
        <v>10293.596108827296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1210.6570490740451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9289.2578721193131</v>
      </c>
      <c r="G265">
        <f ca="1">IF($C265-G$1&lt;År1,0,F264*(1-VLOOKUP($A265,[1]Hugst!$R$5:$W$9,MATCH(ROUNDUP((G$1)/10,0)*10,[1]Hugst!$R$4:$W$4,0))))</f>
        <v>9295.3415758834817</v>
      </c>
      <c r="H265">
        <f ca="1">IF($C265-H$1&lt;År1,0,G264*(1-VLOOKUP($A265,[1]Hugst!$R$5:$W$9,MATCH(ROUNDUP((H$1)/10,0)*10,[1]Hugst!$R$4:$W$4,0))))</f>
        <v>9301.4558510233692</v>
      </c>
      <c r="I265">
        <f ca="1">IF($C265-I$1&lt;År1,0,H264*(1-VLOOKUP($A265,[1]Hugst!$R$5:$W$9,MATCH(ROUNDUP((I$1)/10,0)*10,[1]Hugst!$R$4:$W$4,0))))</f>
        <v>9307.600851163992</v>
      </c>
      <c r="J265">
        <f ca="1">IF($C265-J$1&lt;År1,0,I264*(1-VLOOKUP($A265,[1]Hugst!$R$5:$W$9,MATCH(ROUNDUP((J$1)/10,0)*10,[1]Hugst!$R$4:$W$4,0))))</f>
        <v>9313.7767307022132</v>
      </c>
      <c r="K265">
        <f ca="1">IF($C265-K$1&lt;År1,0,J264*(1-VLOOKUP($A265,[1]Hugst!$R$5:$W$9,MATCH(ROUNDUP((K$1)/10,0)*10,[1]Hugst!$R$4:$W$4,0))))</f>
        <v>10229.785365723956</v>
      </c>
      <c r="L265">
        <f ca="1">IF($C265-L$1&lt;År1,0,K264*(1-VLOOKUP($A265,[1]Hugst!$R$5:$W$9,MATCH(ROUNDUP((L$1)/10,0)*10,[1]Hugst!$R$4:$W$4,0))))</f>
        <v>10236.023470355884</v>
      </c>
      <c r="M265">
        <f ca="1">IF($C265-M$1&lt;År1,0,L264*(1-VLOOKUP($A265,[1]Hugst!$R$5:$W$9,MATCH(ROUNDUP((M$1)/10,0)*10,[1]Hugst!$R$4:$W$4,0))))</f>
        <v>10242.292922247385</v>
      </c>
      <c r="N265">
        <f ca="1">IF($C265-N$1&lt;År1,0,M264*(1-VLOOKUP($A265,[1]Hugst!$R$5:$W$9,MATCH(ROUNDUP((N$1)/10,0)*10,[1]Hugst!$R$4:$W$4,0))))</f>
        <v>10248.593878922191</v>
      </c>
      <c r="O265">
        <f ca="1">IF($C265-O$1&lt;År1,0,N264*(1-VLOOKUP($A265,[1]Hugst!$R$5:$W$9,MATCH(ROUNDUP((O$1)/10,0)*10,[1]Hugst!$R$4:$W$4,0))))</f>
        <v>10254.92649869587</v>
      </c>
      <c r="P265">
        <f ca="1">IF($C265-P$1&lt;År1,0,O264*(1-VLOOKUP($A265,[1]Hugst!$R$5:$W$9,MATCH(ROUNDUP((P$1)/10,0)*10,[1]Hugst!$R$4:$W$4,0))))</f>
        <v>10261.290940679468</v>
      </c>
      <c r="Q265">
        <f ca="1">IF($C265-Q$1&lt;År1,0,P264*(1-VLOOKUP($A265,[1]Hugst!$R$5:$W$9,MATCH(ROUNDUP((Q$1)/10,0)*10,[1]Hugst!$R$4:$W$4,0))))</f>
        <v>10267.687364783602</v>
      </c>
      <c r="R265">
        <f ca="1">IF($C265-R$1&lt;År1,0,Q264*(1-VLOOKUP($A265,[1]Hugst!$R$5:$W$9,MATCH(ROUNDUP((R$1)/10,0)*10,[1]Hugst!$R$4:$W$4,0))))</f>
        <v>10274.115931722426</v>
      </c>
      <c r="S265">
        <f ca="1">IF($C265-S$1&lt;År1,0,R264*(1-VLOOKUP($A265,[1]Hugst!$R$5:$W$9,MATCH(ROUNDUP((S$1)/10,0)*10,[1]Hugst!$R$4:$W$4,0))))</f>
        <v>10280.576803017731</v>
      </c>
      <c r="T265">
        <f ca="1">IF($C265-T$1&lt;År1,0,S264*(1-VLOOKUP($A265,[1]Hugst!$R$5:$W$9,MATCH(ROUNDUP((T$1)/10,0)*10,[1]Hugst!$R$4:$W$4,0))))</f>
        <v>10287.070141002918</v>
      </c>
      <c r="U265">
        <f ca="1">IF($C265-U$1&lt;År1,0,T264*(1-VLOOKUP($A265,[1]Hugst!$R$5:$W$9,MATCH(ROUNDUP((U$1)/10,0)*10,[1]Hugst!$R$4:$W$4,0))))</f>
        <v>10293.596108827296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1204.6037638286725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9283.2045868739406</v>
      </c>
      <c r="G266">
        <f ca="1">IF($C266-G$1&lt;År1,0,F265*(1-VLOOKUP($A266,[1]Hugst!$R$5:$W$9,MATCH(ROUNDUP((G$1)/10,0)*10,[1]Hugst!$R$4:$W$4,0))))</f>
        <v>9289.2578721193131</v>
      </c>
      <c r="H266">
        <f ca="1">IF($C266-H$1&lt;År1,0,G265*(1-VLOOKUP($A266,[1]Hugst!$R$5:$W$9,MATCH(ROUNDUP((H$1)/10,0)*10,[1]Hugst!$R$4:$W$4,0))))</f>
        <v>9295.3415758834817</v>
      </c>
      <c r="I266">
        <f ca="1">IF($C266-I$1&lt;År1,0,H265*(1-VLOOKUP($A266,[1]Hugst!$R$5:$W$9,MATCH(ROUNDUP((I$1)/10,0)*10,[1]Hugst!$R$4:$W$4,0))))</f>
        <v>9301.4558510233692</v>
      </c>
      <c r="J266">
        <f ca="1">IF($C266-J$1&lt;År1,0,I265*(1-VLOOKUP($A266,[1]Hugst!$R$5:$W$9,MATCH(ROUNDUP((J$1)/10,0)*10,[1]Hugst!$R$4:$W$4,0))))</f>
        <v>9307.600851163992</v>
      </c>
      <c r="K266">
        <f ca="1">IF($C266-K$1&lt;År1,0,J265*(1-VLOOKUP($A266,[1]Hugst!$R$5:$W$9,MATCH(ROUNDUP((K$1)/10,0)*10,[1]Hugst!$R$4:$W$4,0))))</f>
        <v>9313.7767307022132</v>
      </c>
      <c r="L266">
        <f ca="1">IF($C266-L$1&lt;År1,0,K265*(1-VLOOKUP($A266,[1]Hugst!$R$5:$W$9,MATCH(ROUNDUP((L$1)/10,0)*10,[1]Hugst!$R$4:$W$4,0))))</f>
        <v>10229.785365723956</v>
      </c>
      <c r="M266">
        <f ca="1">IF($C266-M$1&lt;År1,0,L265*(1-VLOOKUP($A266,[1]Hugst!$R$5:$W$9,MATCH(ROUNDUP((M$1)/10,0)*10,[1]Hugst!$R$4:$W$4,0))))</f>
        <v>10236.023470355884</v>
      </c>
      <c r="N266">
        <f ca="1">IF($C266-N$1&lt;År1,0,M265*(1-VLOOKUP($A266,[1]Hugst!$R$5:$W$9,MATCH(ROUNDUP((N$1)/10,0)*10,[1]Hugst!$R$4:$W$4,0))))</f>
        <v>10242.292922247385</v>
      </c>
      <c r="O266">
        <f ca="1">IF($C266-O$1&lt;År1,0,N265*(1-VLOOKUP($A266,[1]Hugst!$R$5:$W$9,MATCH(ROUNDUP((O$1)/10,0)*10,[1]Hugst!$R$4:$W$4,0))))</f>
        <v>10248.593878922191</v>
      </c>
      <c r="P266">
        <f ca="1">IF($C266-P$1&lt;År1,0,O265*(1-VLOOKUP($A266,[1]Hugst!$R$5:$W$9,MATCH(ROUNDUP((P$1)/10,0)*10,[1]Hugst!$R$4:$W$4,0))))</f>
        <v>10254.92649869587</v>
      </c>
      <c r="Q266">
        <f ca="1">IF($C266-Q$1&lt;År1,0,P265*(1-VLOOKUP($A266,[1]Hugst!$R$5:$W$9,MATCH(ROUNDUP((Q$1)/10,0)*10,[1]Hugst!$R$4:$W$4,0))))</f>
        <v>10261.290940679468</v>
      </c>
      <c r="R266">
        <f ca="1">IF($C266-R$1&lt;År1,0,Q265*(1-VLOOKUP($A266,[1]Hugst!$R$5:$W$9,MATCH(ROUNDUP((R$1)/10,0)*10,[1]Hugst!$R$4:$W$4,0))))</f>
        <v>10267.687364783602</v>
      </c>
      <c r="S266">
        <f ca="1">IF($C266-S$1&lt;År1,0,R265*(1-VLOOKUP($A266,[1]Hugst!$R$5:$W$9,MATCH(ROUNDUP((S$1)/10,0)*10,[1]Hugst!$R$4:$W$4,0))))</f>
        <v>10274.115931722426</v>
      </c>
      <c r="T266">
        <f ca="1">IF($C266-T$1&lt;År1,0,S265*(1-VLOOKUP($A266,[1]Hugst!$R$5:$W$9,MATCH(ROUNDUP((T$1)/10,0)*10,[1]Hugst!$R$4:$W$4,0))))</f>
        <v>10280.576803017731</v>
      </c>
      <c r="U266">
        <f ca="1">IF($C266-U$1&lt;År1,0,T265*(1-VLOOKUP($A266,[1]Hugst!$R$5:$W$9,MATCH(ROUNDUP((U$1)/10,0)*10,[1]Hugst!$R$4:$W$4,0))))</f>
        <v>10287.070141002918</v>
      </c>
      <c r="V266">
        <f ca="1">IF($C266-V$1&lt;År1,0,U265*(1-VLOOKUP($A266,[1]Hugst!$R$5:$W$9,MATCH(ROUNDUP((V$1)/10,0)*10,[1]Hugst!$R$4:$W$4,0))))</f>
        <v>10293.596108827296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1198.5807450095199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9277.1815680547879</v>
      </c>
      <c r="G267">
        <f ca="1">IF($C267-G$1&lt;År1,0,F266*(1-VLOOKUP($A267,[1]Hugst!$R$5:$W$9,MATCH(ROUNDUP((G$1)/10,0)*10,[1]Hugst!$R$4:$W$4,0))))</f>
        <v>9283.2045868739406</v>
      </c>
      <c r="H267">
        <f ca="1">IF($C267-H$1&lt;År1,0,G266*(1-VLOOKUP($A267,[1]Hugst!$R$5:$W$9,MATCH(ROUNDUP((H$1)/10,0)*10,[1]Hugst!$R$4:$W$4,0))))</f>
        <v>9289.2578721193131</v>
      </c>
      <c r="I267">
        <f ca="1">IF($C267-I$1&lt;År1,0,H266*(1-VLOOKUP($A267,[1]Hugst!$R$5:$W$9,MATCH(ROUNDUP((I$1)/10,0)*10,[1]Hugst!$R$4:$W$4,0))))</f>
        <v>9295.3415758834817</v>
      </c>
      <c r="J267">
        <f ca="1">IF($C267-J$1&lt;År1,0,I266*(1-VLOOKUP($A267,[1]Hugst!$R$5:$W$9,MATCH(ROUNDUP((J$1)/10,0)*10,[1]Hugst!$R$4:$W$4,0))))</f>
        <v>9301.4558510233692</v>
      </c>
      <c r="K267">
        <f ca="1">IF($C267-K$1&lt;År1,0,J266*(1-VLOOKUP($A267,[1]Hugst!$R$5:$W$9,MATCH(ROUNDUP((K$1)/10,0)*10,[1]Hugst!$R$4:$W$4,0))))</f>
        <v>9307.600851163992</v>
      </c>
      <c r="L267">
        <f ca="1">IF($C267-L$1&lt;År1,0,K266*(1-VLOOKUP($A267,[1]Hugst!$R$5:$W$9,MATCH(ROUNDUP((L$1)/10,0)*10,[1]Hugst!$R$4:$W$4,0))))</f>
        <v>9313.7767307022132</v>
      </c>
      <c r="M267">
        <f ca="1">IF($C267-M$1&lt;År1,0,L266*(1-VLOOKUP($A267,[1]Hugst!$R$5:$W$9,MATCH(ROUNDUP((M$1)/10,0)*10,[1]Hugst!$R$4:$W$4,0))))</f>
        <v>10229.785365723956</v>
      </c>
      <c r="N267">
        <f ca="1">IF($C267-N$1&lt;År1,0,M266*(1-VLOOKUP($A267,[1]Hugst!$R$5:$W$9,MATCH(ROUNDUP((N$1)/10,0)*10,[1]Hugst!$R$4:$W$4,0))))</f>
        <v>10236.023470355884</v>
      </c>
      <c r="O267">
        <f ca="1">IF($C267-O$1&lt;År1,0,N266*(1-VLOOKUP($A267,[1]Hugst!$R$5:$W$9,MATCH(ROUNDUP((O$1)/10,0)*10,[1]Hugst!$R$4:$W$4,0))))</f>
        <v>10242.292922247385</v>
      </c>
      <c r="P267">
        <f ca="1">IF($C267-P$1&lt;År1,0,O266*(1-VLOOKUP($A267,[1]Hugst!$R$5:$W$9,MATCH(ROUNDUP((P$1)/10,0)*10,[1]Hugst!$R$4:$W$4,0))))</f>
        <v>10248.593878922191</v>
      </c>
      <c r="Q267">
        <f ca="1">IF($C267-Q$1&lt;År1,0,P266*(1-VLOOKUP($A267,[1]Hugst!$R$5:$W$9,MATCH(ROUNDUP((Q$1)/10,0)*10,[1]Hugst!$R$4:$W$4,0))))</f>
        <v>10254.92649869587</v>
      </c>
      <c r="R267">
        <f ca="1">IF($C267-R$1&lt;År1,0,Q266*(1-VLOOKUP($A267,[1]Hugst!$R$5:$W$9,MATCH(ROUNDUP((R$1)/10,0)*10,[1]Hugst!$R$4:$W$4,0))))</f>
        <v>10261.290940679468</v>
      </c>
      <c r="S267">
        <f ca="1">IF($C267-S$1&lt;År1,0,R266*(1-VLOOKUP($A267,[1]Hugst!$R$5:$W$9,MATCH(ROUNDUP((S$1)/10,0)*10,[1]Hugst!$R$4:$W$4,0))))</f>
        <v>10267.687364783602</v>
      </c>
      <c r="T267">
        <f ca="1">IF($C267-T$1&lt;År1,0,S266*(1-VLOOKUP($A267,[1]Hugst!$R$5:$W$9,MATCH(ROUNDUP((T$1)/10,0)*10,[1]Hugst!$R$4:$W$4,0))))</f>
        <v>10274.115931722426</v>
      </c>
      <c r="U267">
        <f ca="1">IF($C267-U$1&lt;År1,0,T266*(1-VLOOKUP($A267,[1]Hugst!$R$5:$W$9,MATCH(ROUNDUP((U$1)/10,0)*10,[1]Hugst!$R$4:$W$4,0))))</f>
        <v>10280.576803017731</v>
      </c>
      <c r="V267">
        <f ca="1">IF($C267-V$1&lt;År1,0,U266*(1-VLOOKUP($A267,[1]Hugst!$R$5:$W$9,MATCH(ROUNDUP((V$1)/10,0)*10,[1]Hugst!$R$4:$W$4,0))))</f>
        <v>10287.070141002918</v>
      </c>
      <c r="W267">
        <f ca="1">IF($C267-W$1&lt;År1,0,V266*(1-VLOOKUP($A267,[1]Hugst!$R$5:$W$9,MATCH(ROUNDUP((W$1)/10,0)*10,[1]Hugst!$R$4:$W$4,0))))</f>
        <v>10293.596108827296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1192.5878412845086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9271.1886643297767</v>
      </c>
      <c r="G268">
        <f ca="1">IF($C268-G$1&lt;År1,0,F267*(1-VLOOKUP($A268,[1]Hugst!$R$5:$W$9,MATCH(ROUNDUP((G$1)/10,0)*10,[1]Hugst!$R$4:$W$4,0))))</f>
        <v>9277.1815680547879</v>
      </c>
      <c r="H268">
        <f ca="1">IF($C268-H$1&lt;År1,0,G267*(1-VLOOKUP($A268,[1]Hugst!$R$5:$W$9,MATCH(ROUNDUP((H$1)/10,0)*10,[1]Hugst!$R$4:$W$4,0))))</f>
        <v>9283.2045868739406</v>
      </c>
      <c r="I268">
        <f ca="1">IF($C268-I$1&lt;År1,0,H267*(1-VLOOKUP($A268,[1]Hugst!$R$5:$W$9,MATCH(ROUNDUP((I$1)/10,0)*10,[1]Hugst!$R$4:$W$4,0))))</f>
        <v>9289.2578721193131</v>
      </c>
      <c r="J268">
        <f ca="1">IF($C268-J$1&lt;År1,0,I267*(1-VLOOKUP($A268,[1]Hugst!$R$5:$W$9,MATCH(ROUNDUP((J$1)/10,0)*10,[1]Hugst!$R$4:$W$4,0))))</f>
        <v>9295.3415758834817</v>
      </c>
      <c r="K268">
        <f ca="1">IF($C268-K$1&lt;År1,0,J267*(1-VLOOKUP($A268,[1]Hugst!$R$5:$W$9,MATCH(ROUNDUP((K$1)/10,0)*10,[1]Hugst!$R$4:$W$4,0))))</f>
        <v>9301.4558510233692</v>
      </c>
      <c r="L268">
        <f ca="1">IF($C268-L$1&lt;År1,0,K267*(1-VLOOKUP($A268,[1]Hugst!$R$5:$W$9,MATCH(ROUNDUP((L$1)/10,0)*10,[1]Hugst!$R$4:$W$4,0))))</f>
        <v>9307.600851163992</v>
      </c>
      <c r="M268">
        <f ca="1">IF($C268-M$1&lt;År1,0,L267*(1-VLOOKUP($A268,[1]Hugst!$R$5:$W$9,MATCH(ROUNDUP((M$1)/10,0)*10,[1]Hugst!$R$4:$W$4,0))))</f>
        <v>9313.7767307022132</v>
      </c>
      <c r="N268">
        <f ca="1">IF($C268-N$1&lt;År1,0,M267*(1-VLOOKUP($A268,[1]Hugst!$R$5:$W$9,MATCH(ROUNDUP((N$1)/10,0)*10,[1]Hugst!$R$4:$W$4,0))))</f>
        <v>10229.785365723956</v>
      </c>
      <c r="O268">
        <f ca="1">IF($C268-O$1&lt;År1,0,N267*(1-VLOOKUP($A268,[1]Hugst!$R$5:$W$9,MATCH(ROUNDUP((O$1)/10,0)*10,[1]Hugst!$R$4:$W$4,0))))</f>
        <v>10236.023470355884</v>
      </c>
      <c r="P268">
        <f ca="1">IF($C268-P$1&lt;År1,0,O267*(1-VLOOKUP($A268,[1]Hugst!$R$5:$W$9,MATCH(ROUNDUP((P$1)/10,0)*10,[1]Hugst!$R$4:$W$4,0))))</f>
        <v>10242.292922247385</v>
      </c>
      <c r="Q268">
        <f ca="1">IF($C268-Q$1&lt;År1,0,P267*(1-VLOOKUP($A268,[1]Hugst!$R$5:$W$9,MATCH(ROUNDUP((Q$1)/10,0)*10,[1]Hugst!$R$4:$W$4,0))))</f>
        <v>10248.593878922191</v>
      </c>
      <c r="R268">
        <f ca="1">IF($C268-R$1&lt;År1,0,Q267*(1-VLOOKUP($A268,[1]Hugst!$R$5:$W$9,MATCH(ROUNDUP((R$1)/10,0)*10,[1]Hugst!$R$4:$W$4,0))))</f>
        <v>10254.92649869587</v>
      </c>
      <c r="S268">
        <f ca="1">IF($C268-S$1&lt;År1,0,R267*(1-VLOOKUP($A268,[1]Hugst!$R$5:$W$9,MATCH(ROUNDUP((S$1)/10,0)*10,[1]Hugst!$R$4:$W$4,0))))</f>
        <v>10261.290940679468</v>
      </c>
      <c r="T268">
        <f ca="1">IF($C268-T$1&lt;År1,0,S267*(1-VLOOKUP($A268,[1]Hugst!$R$5:$W$9,MATCH(ROUNDUP((T$1)/10,0)*10,[1]Hugst!$R$4:$W$4,0))))</f>
        <v>10267.687364783602</v>
      </c>
      <c r="U268">
        <f ca="1">IF($C268-U$1&lt;År1,0,T267*(1-VLOOKUP($A268,[1]Hugst!$R$5:$W$9,MATCH(ROUNDUP((U$1)/10,0)*10,[1]Hugst!$R$4:$W$4,0))))</f>
        <v>10274.115931722426</v>
      </c>
      <c r="V268">
        <f ca="1">IF($C268-V$1&lt;År1,0,U267*(1-VLOOKUP($A268,[1]Hugst!$R$5:$W$9,MATCH(ROUNDUP((V$1)/10,0)*10,[1]Hugst!$R$4:$W$4,0))))</f>
        <v>10280.576803017731</v>
      </c>
      <c r="W268">
        <f ca="1">IF($C268-W$1&lt;År1,0,V267*(1-VLOOKUP($A268,[1]Hugst!$R$5:$W$9,MATCH(ROUNDUP((W$1)/10,0)*10,[1]Hugst!$R$4:$W$4,0))))</f>
        <v>10287.070141002918</v>
      </c>
      <c r="X268">
        <f ca="1">IF($C268-X$1&lt;År1,0,W267*(1-VLOOKUP($A268,[1]Hugst!$R$5:$W$9,MATCH(ROUNDUP((X$1)/10,0)*10,[1]Hugst!$R$4:$W$4,0))))</f>
        <v>10293.596108827296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1186.6249020780197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9265.2257251232877</v>
      </c>
      <c r="G269">
        <f ca="1">IF($C269-G$1&lt;År1,0,F268*(1-VLOOKUP($A269,[1]Hugst!$R$5:$W$9,MATCH(ROUNDUP((G$1)/10,0)*10,[1]Hugst!$R$4:$W$4,0))))</f>
        <v>9271.1886643297767</v>
      </c>
      <c r="H269">
        <f ca="1">IF($C269-H$1&lt;År1,0,G268*(1-VLOOKUP($A269,[1]Hugst!$R$5:$W$9,MATCH(ROUNDUP((H$1)/10,0)*10,[1]Hugst!$R$4:$W$4,0))))</f>
        <v>9277.1815680547879</v>
      </c>
      <c r="I269">
        <f ca="1">IF($C269-I$1&lt;År1,0,H268*(1-VLOOKUP($A269,[1]Hugst!$R$5:$W$9,MATCH(ROUNDUP((I$1)/10,0)*10,[1]Hugst!$R$4:$W$4,0))))</f>
        <v>9283.2045868739406</v>
      </c>
      <c r="J269">
        <f ca="1">IF($C269-J$1&lt;År1,0,I268*(1-VLOOKUP($A269,[1]Hugst!$R$5:$W$9,MATCH(ROUNDUP((J$1)/10,0)*10,[1]Hugst!$R$4:$W$4,0))))</f>
        <v>9289.2578721193131</v>
      </c>
      <c r="K269">
        <f ca="1">IF($C269-K$1&lt;År1,0,J268*(1-VLOOKUP($A269,[1]Hugst!$R$5:$W$9,MATCH(ROUNDUP((K$1)/10,0)*10,[1]Hugst!$R$4:$W$4,0))))</f>
        <v>9295.3415758834817</v>
      </c>
      <c r="L269">
        <f ca="1">IF($C269-L$1&lt;År1,0,K268*(1-VLOOKUP($A269,[1]Hugst!$R$5:$W$9,MATCH(ROUNDUP((L$1)/10,0)*10,[1]Hugst!$R$4:$W$4,0))))</f>
        <v>9301.4558510233692</v>
      </c>
      <c r="M269">
        <f ca="1">IF($C269-M$1&lt;År1,0,L268*(1-VLOOKUP($A269,[1]Hugst!$R$5:$W$9,MATCH(ROUNDUP((M$1)/10,0)*10,[1]Hugst!$R$4:$W$4,0))))</f>
        <v>9307.600851163992</v>
      </c>
      <c r="N269">
        <f ca="1">IF($C269-N$1&lt;År1,0,M268*(1-VLOOKUP($A269,[1]Hugst!$R$5:$W$9,MATCH(ROUNDUP((N$1)/10,0)*10,[1]Hugst!$R$4:$W$4,0))))</f>
        <v>9313.7767307022132</v>
      </c>
      <c r="O269">
        <f ca="1">IF($C269-O$1&lt;År1,0,N268*(1-VLOOKUP($A269,[1]Hugst!$R$5:$W$9,MATCH(ROUNDUP((O$1)/10,0)*10,[1]Hugst!$R$4:$W$4,0))))</f>
        <v>10229.785365723956</v>
      </c>
      <c r="P269">
        <f ca="1">IF($C269-P$1&lt;År1,0,O268*(1-VLOOKUP($A269,[1]Hugst!$R$5:$W$9,MATCH(ROUNDUP((P$1)/10,0)*10,[1]Hugst!$R$4:$W$4,0))))</f>
        <v>10236.023470355884</v>
      </c>
      <c r="Q269">
        <f ca="1">IF($C269-Q$1&lt;År1,0,P268*(1-VLOOKUP($A269,[1]Hugst!$R$5:$W$9,MATCH(ROUNDUP((Q$1)/10,0)*10,[1]Hugst!$R$4:$W$4,0))))</f>
        <v>10242.292922247385</v>
      </c>
      <c r="R269">
        <f ca="1">IF($C269-R$1&lt;År1,0,Q268*(1-VLOOKUP($A269,[1]Hugst!$R$5:$W$9,MATCH(ROUNDUP((R$1)/10,0)*10,[1]Hugst!$R$4:$W$4,0))))</f>
        <v>10248.593878922191</v>
      </c>
      <c r="S269">
        <f ca="1">IF($C269-S$1&lt;År1,0,R268*(1-VLOOKUP($A269,[1]Hugst!$R$5:$W$9,MATCH(ROUNDUP((S$1)/10,0)*10,[1]Hugst!$R$4:$W$4,0))))</f>
        <v>10254.92649869587</v>
      </c>
      <c r="T269">
        <f ca="1">IF($C269-T$1&lt;År1,0,S268*(1-VLOOKUP($A269,[1]Hugst!$R$5:$W$9,MATCH(ROUNDUP((T$1)/10,0)*10,[1]Hugst!$R$4:$W$4,0))))</f>
        <v>10261.290940679468</v>
      </c>
      <c r="U269">
        <f ca="1">IF($C269-U$1&lt;År1,0,T268*(1-VLOOKUP($A269,[1]Hugst!$R$5:$W$9,MATCH(ROUNDUP((U$1)/10,0)*10,[1]Hugst!$R$4:$W$4,0))))</f>
        <v>10267.687364783602</v>
      </c>
      <c r="V269">
        <f ca="1">IF($C269-V$1&lt;År1,0,U268*(1-VLOOKUP($A269,[1]Hugst!$R$5:$W$9,MATCH(ROUNDUP((V$1)/10,0)*10,[1]Hugst!$R$4:$W$4,0))))</f>
        <v>10274.115931722426</v>
      </c>
      <c r="W269">
        <f ca="1">IF($C269-W$1&lt;År1,0,V268*(1-VLOOKUP($A269,[1]Hugst!$R$5:$W$9,MATCH(ROUNDUP((W$1)/10,0)*10,[1]Hugst!$R$4:$W$4,0))))</f>
        <v>10280.576803017731</v>
      </c>
      <c r="X269">
        <f ca="1">IF($C269-X$1&lt;År1,0,W268*(1-VLOOKUP($A269,[1]Hugst!$R$5:$W$9,MATCH(ROUNDUP((X$1)/10,0)*10,[1]Hugst!$R$4:$W$4,0))))</f>
        <v>10287.070141002918</v>
      </c>
      <c r="Y269">
        <f ca="1">IF($C269-Y$1&lt;År1,0,X268*(1-VLOOKUP($A269,[1]Hugst!$R$5:$W$9,MATCH(ROUNDUP((Y$1)/10,0)*10,[1]Hugst!$R$4:$W$4,0))))</f>
        <v>10293.596108827296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1180.6917775676593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9259.2926006129273</v>
      </c>
      <c r="G270">
        <f ca="1">IF($C270-G$1&lt;År1,0,F269*(1-VLOOKUP($A270,[1]Hugst!$R$5:$W$9,MATCH(ROUNDUP((G$1)/10,0)*10,[1]Hugst!$R$4:$W$4,0))))</f>
        <v>9265.2257251232877</v>
      </c>
      <c r="H270">
        <f ca="1">IF($C270-H$1&lt;År1,0,G269*(1-VLOOKUP($A270,[1]Hugst!$R$5:$W$9,MATCH(ROUNDUP((H$1)/10,0)*10,[1]Hugst!$R$4:$W$4,0))))</f>
        <v>9271.1886643297767</v>
      </c>
      <c r="I270">
        <f ca="1">IF($C270-I$1&lt;År1,0,H269*(1-VLOOKUP($A270,[1]Hugst!$R$5:$W$9,MATCH(ROUNDUP((I$1)/10,0)*10,[1]Hugst!$R$4:$W$4,0))))</f>
        <v>9277.1815680547879</v>
      </c>
      <c r="J270">
        <f ca="1">IF($C270-J$1&lt;År1,0,I269*(1-VLOOKUP($A270,[1]Hugst!$R$5:$W$9,MATCH(ROUNDUP((J$1)/10,0)*10,[1]Hugst!$R$4:$W$4,0))))</f>
        <v>9283.2045868739406</v>
      </c>
      <c r="K270">
        <f ca="1">IF($C270-K$1&lt;År1,0,J269*(1-VLOOKUP($A270,[1]Hugst!$R$5:$W$9,MATCH(ROUNDUP((K$1)/10,0)*10,[1]Hugst!$R$4:$W$4,0))))</f>
        <v>9289.2578721193131</v>
      </c>
      <c r="L270">
        <f ca="1">IF($C270-L$1&lt;År1,0,K269*(1-VLOOKUP($A270,[1]Hugst!$R$5:$W$9,MATCH(ROUNDUP((L$1)/10,0)*10,[1]Hugst!$R$4:$W$4,0))))</f>
        <v>9295.3415758834817</v>
      </c>
      <c r="M270">
        <f ca="1">IF($C270-M$1&lt;År1,0,L269*(1-VLOOKUP($A270,[1]Hugst!$R$5:$W$9,MATCH(ROUNDUP((M$1)/10,0)*10,[1]Hugst!$R$4:$W$4,0))))</f>
        <v>9301.4558510233692</v>
      </c>
      <c r="N270">
        <f ca="1">IF($C270-N$1&lt;År1,0,M269*(1-VLOOKUP($A270,[1]Hugst!$R$5:$W$9,MATCH(ROUNDUP((N$1)/10,0)*10,[1]Hugst!$R$4:$W$4,0))))</f>
        <v>9307.600851163992</v>
      </c>
      <c r="O270">
        <f ca="1">IF($C270-O$1&lt;År1,0,N269*(1-VLOOKUP($A270,[1]Hugst!$R$5:$W$9,MATCH(ROUNDUP((O$1)/10,0)*10,[1]Hugst!$R$4:$W$4,0))))</f>
        <v>9313.7767307022132</v>
      </c>
      <c r="P270">
        <f ca="1">IF($C270-P$1&lt;År1,0,O269*(1-VLOOKUP($A270,[1]Hugst!$R$5:$W$9,MATCH(ROUNDUP((P$1)/10,0)*10,[1]Hugst!$R$4:$W$4,0))))</f>
        <v>10229.785365723956</v>
      </c>
      <c r="Q270">
        <f ca="1">IF($C270-Q$1&lt;År1,0,P269*(1-VLOOKUP($A270,[1]Hugst!$R$5:$W$9,MATCH(ROUNDUP((Q$1)/10,0)*10,[1]Hugst!$R$4:$W$4,0))))</f>
        <v>10236.023470355884</v>
      </c>
      <c r="R270">
        <f ca="1">IF($C270-R$1&lt;År1,0,Q269*(1-VLOOKUP($A270,[1]Hugst!$R$5:$W$9,MATCH(ROUNDUP((R$1)/10,0)*10,[1]Hugst!$R$4:$W$4,0))))</f>
        <v>10242.292922247385</v>
      </c>
      <c r="S270">
        <f ca="1">IF($C270-S$1&lt;År1,0,R269*(1-VLOOKUP($A270,[1]Hugst!$R$5:$W$9,MATCH(ROUNDUP((S$1)/10,0)*10,[1]Hugst!$R$4:$W$4,0))))</f>
        <v>10248.593878922191</v>
      </c>
      <c r="T270">
        <f ca="1">IF($C270-T$1&lt;År1,0,S269*(1-VLOOKUP($A270,[1]Hugst!$R$5:$W$9,MATCH(ROUNDUP((T$1)/10,0)*10,[1]Hugst!$R$4:$W$4,0))))</f>
        <v>10254.92649869587</v>
      </c>
      <c r="U270">
        <f ca="1">IF($C270-U$1&lt;År1,0,T269*(1-VLOOKUP($A270,[1]Hugst!$R$5:$W$9,MATCH(ROUNDUP((U$1)/10,0)*10,[1]Hugst!$R$4:$W$4,0))))</f>
        <v>10261.290940679468</v>
      </c>
      <c r="V270">
        <f ca="1">IF($C270-V$1&lt;År1,0,U269*(1-VLOOKUP($A270,[1]Hugst!$R$5:$W$9,MATCH(ROUNDUP((V$1)/10,0)*10,[1]Hugst!$R$4:$W$4,0))))</f>
        <v>10267.687364783602</v>
      </c>
      <c r="W270">
        <f ca="1">IF($C270-W$1&lt;År1,0,V269*(1-VLOOKUP($A270,[1]Hugst!$R$5:$W$9,MATCH(ROUNDUP((W$1)/10,0)*10,[1]Hugst!$R$4:$W$4,0))))</f>
        <v>10274.115931722426</v>
      </c>
      <c r="X270">
        <f ca="1">IF($C270-X$1&lt;År1,0,W269*(1-VLOOKUP($A270,[1]Hugst!$R$5:$W$9,MATCH(ROUNDUP((X$1)/10,0)*10,[1]Hugst!$R$4:$W$4,0))))</f>
        <v>10280.576803017731</v>
      </c>
      <c r="Y270">
        <f ca="1">IF($C270-Y$1&lt;År1,0,X269*(1-VLOOKUP($A270,[1]Hugst!$R$5:$W$9,MATCH(ROUNDUP((Y$1)/10,0)*10,[1]Hugst!$R$4:$W$4,0))))</f>
        <v>10287.070141002918</v>
      </c>
      <c r="Z270">
        <f ca="1">IF($C270-Z$1&lt;År1,0,Y269*(1-VLOOKUP($A270,[1]Hugst!$R$5:$W$9,MATCH(ROUNDUP((Z$1)/10,0)*10,[1]Hugst!$R$4:$W$4,0))))</f>
        <v>10293.596108827296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1174.7883186798426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9253.3891417251107</v>
      </c>
      <c r="G271">
        <f ca="1">IF($C271-G$1&lt;År1,0,F270*(1-VLOOKUP($A271,[1]Hugst!$R$5:$W$9,MATCH(ROUNDUP((G$1)/10,0)*10,[1]Hugst!$R$4:$W$4,0))))</f>
        <v>9259.2926006129273</v>
      </c>
      <c r="H271">
        <f ca="1">IF($C271-H$1&lt;År1,0,G270*(1-VLOOKUP($A271,[1]Hugst!$R$5:$W$9,MATCH(ROUNDUP((H$1)/10,0)*10,[1]Hugst!$R$4:$W$4,0))))</f>
        <v>9265.2257251232877</v>
      </c>
      <c r="I271">
        <f ca="1">IF($C271-I$1&lt;År1,0,H270*(1-VLOOKUP($A271,[1]Hugst!$R$5:$W$9,MATCH(ROUNDUP((I$1)/10,0)*10,[1]Hugst!$R$4:$W$4,0))))</f>
        <v>9271.1886643297767</v>
      </c>
      <c r="J271">
        <f ca="1">IF($C271-J$1&lt;År1,0,I270*(1-VLOOKUP($A271,[1]Hugst!$R$5:$W$9,MATCH(ROUNDUP((J$1)/10,0)*10,[1]Hugst!$R$4:$W$4,0))))</f>
        <v>9277.1815680547879</v>
      </c>
      <c r="K271">
        <f ca="1">IF($C271-K$1&lt;År1,0,J270*(1-VLOOKUP($A271,[1]Hugst!$R$5:$W$9,MATCH(ROUNDUP((K$1)/10,0)*10,[1]Hugst!$R$4:$W$4,0))))</f>
        <v>9283.2045868739406</v>
      </c>
      <c r="L271">
        <f ca="1">IF($C271-L$1&lt;År1,0,K270*(1-VLOOKUP($A271,[1]Hugst!$R$5:$W$9,MATCH(ROUNDUP((L$1)/10,0)*10,[1]Hugst!$R$4:$W$4,0))))</f>
        <v>9289.2578721193131</v>
      </c>
      <c r="M271">
        <f ca="1">IF($C271-M$1&lt;År1,0,L270*(1-VLOOKUP($A271,[1]Hugst!$R$5:$W$9,MATCH(ROUNDUP((M$1)/10,0)*10,[1]Hugst!$R$4:$W$4,0))))</f>
        <v>9295.3415758834817</v>
      </c>
      <c r="N271">
        <f ca="1">IF($C271-N$1&lt;År1,0,M270*(1-VLOOKUP($A271,[1]Hugst!$R$5:$W$9,MATCH(ROUNDUP((N$1)/10,0)*10,[1]Hugst!$R$4:$W$4,0))))</f>
        <v>9301.4558510233692</v>
      </c>
      <c r="O271">
        <f ca="1">IF($C271-O$1&lt;År1,0,N270*(1-VLOOKUP($A271,[1]Hugst!$R$5:$W$9,MATCH(ROUNDUP((O$1)/10,0)*10,[1]Hugst!$R$4:$W$4,0))))</f>
        <v>9307.600851163992</v>
      </c>
      <c r="P271">
        <f ca="1">IF($C271-P$1&lt;År1,0,O270*(1-VLOOKUP($A271,[1]Hugst!$R$5:$W$9,MATCH(ROUNDUP((P$1)/10,0)*10,[1]Hugst!$R$4:$W$4,0))))</f>
        <v>9313.7767307022132</v>
      </c>
      <c r="Q271">
        <f ca="1">IF($C271-Q$1&lt;År1,0,P270*(1-VLOOKUP($A271,[1]Hugst!$R$5:$W$9,MATCH(ROUNDUP((Q$1)/10,0)*10,[1]Hugst!$R$4:$W$4,0))))</f>
        <v>10229.785365723956</v>
      </c>
      <c r="R271">
        <f ca="1">IF($C271-R$1&lt;År1,0,Q270*(1-VLOOKUP($A271,[1]Hugst!$R$5:$W$9,MATCH(ROUNDUP((R$1)/10,0)*10,[1]Hugst!$R$4:$W$4,0))))</f>
        <v>10236.023470355884</v>
      </c>
      <c r="S271">
        <f ca="1">IF($C271-S$1&lt;År1,0,R270*(1-VLOOKUP($A271,[1]Hugst!$R$5:$W$9,MATCH(ROUNDUP((S$1)/10,0)*10,[1]Hugst!$R$4:$W$4,0))))</f>
        <v>10242.292922247385</v>
      </c>
      <c r="T271">
        <f ca="1">IF($C271-T$1&lt;År1,0,S270*(1-VLOOKUP($A271,[1]Hugst!$R$5:$W$9,MATCH(ROUNDUP((T$1)/10,0)*10,[1]Hugst!$R$4:$W$4,0))))</f>
        <v>10248.593878922191</v>
      </c>
      <c r="U271">
        <f ca="1">IF($C271-U$1&lt;År1,0,T270*(1-VLOOKUP($A271,[1]Hugst!$R$5:$W$9,MATCH(ROUNDUP((U$1)/10,0)*10,[1]Hugst!$R$4:$W$4,0))))</f>
        <v>10254.92649869587</v>
      </c>
      <c r="V271">
        <f ca="1">IF($C271-V$1&lt;År1,0,U270*(1-VLOOKUP($A271,[1]Hugst!$R$5:$W$9,MATCH(ROUNDUP((V$1)/10,0)*10,[1]Hugst!$R$4:$W$4,0))))</f>
        <v>10261.290940679468</v>
      </c>
      <c r="W271">
        <f ca="1">IF($C271-W$1&lt;År1,0,V270*(1-VLOOKUP($A271,[1]Hugst!$R$5:$W$9,MATCH(ROUNDUP((W$1)/10,0)*10,[1]Hugst!$R$4:$W$4,0))))</f>
        <v>10267.687364783602</v>
      </c>
      <c r="X271">
        <f ca="1">IF($C271-X$1&lt;År1,0,W270*(1-VLOOKUP($A271,[1]Hugst!$R$5:$W$9,MATCH(ROUNDUP((X$1)/10,0)*10,[1]Hugst!$R$4:$W$4,0))))</f>
        <v>10274.115931722426</v>
      </c>
      <c r="Y271">
        <f ca="1">IF($C271-Y$1&lt;År1,0,X270*(1-VLOOKUP($A271,[1]Hugst!$R$5:$W$9,MATCH(ROUNDUP((Y$1)/10,0)*10,[1]Hugst!$R$4:$W$4,0))))</f>
        <v>10280.576803017731</v>
      </c>
      <c r="Z271">
        <f ca="1">IF($C271-Z$1&lt;År1,0,Y270*(1-VLOOKUP($A271,[1]Hugst!$R$5:$W$9,MATCH(ROUNDUP((Z$1)/10,0)*10,[1]Hugst!$R$4:$W$4,0))))</f>
        <v>10287.070141002918</v>
      </c>
      <c r="AA271">
        <f ca="1">IF($C271-AA$1&lt;År1,0,Z270*(1-VLOOKUP($A271,[1]Hugst!$R$5:$W$9,MATCH(ROUNDUP((AA$1)/10,0)*10,[1]Hugst!$R$4:$W$4,0))))</f>
        <v>10293.596108827296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1168.9143770864212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9247.5152001316892</v>
      </c>
      <c r="G272">
        <f ca="1">IF($C272-G$1&lt;År1,0,F271*(1-VLOOKUP($A272,[1]Hugst!$R$5:$W$9,MATCH(ROUNDUP((G$1)/10,0)*10,[1]Hugst!$R$4:$W$4,0))))</f>
        <v>9253.3891417251107</v>
      </c>
      <c r="H272">
        <f ca="1">IF($C272-H$1&lt;År1,0,G271*(1-VLOOKUP($A272,[1]Hugst!$R$5:$W$9,MATCH(ROUNDUP((H$1)/10,0)*10,[1]Hugst!$R$4:$W$4,0))))</f>
        <v>9259.2926006129273</v>
      </c>
      <c r="I272">
        <f ca="1">IF($C272-I$1&lt;År1,0,H271*(1-VLOOKUP($A272,[1]Hugst!$R$5:$W$9,MATCH(ROUNDUP((I$1)/10,0)*10,[1]Hugst!$R$4:$W$4,0))))</f>
        <v>9265.2257251232877</v>
      </c>
      <c r="J272">
        <f ca="1">IF($C272-J$1&lt;År1,0,I271*(1-VLOOKUP($A272,[1]Hugst!$R$5:$W$9,MATCH(ROUNDUP((J$1)/10,0)*10,[1]Hugst!$R$4:$W$4,0))))</f>
        <v>9271.1886643297767</v>
      </c>
      <c r="K272">
        <f ca="1">IF($C272-K$1&lt;År1,0,J271*(1-VLOOKUP($A272,[1]Hugst!$R$5:$W$9,MATCH(ROUNDUP((K$1)/10,0)*10,[1]Hugst!$R$4:$W$4,0))))</f>
        <v>9277.1815680547879</v>
      </c>
      <c r="L272">
        <f ca="1">IF($C272-L$1&lt;År1,0,K271*(1-VLOOKUP($A272,[1]Hugst!$R$5:$W$9,MATCH(ROUNDUP((L$1)/10,0)*10,[1]Hugst!$R$4:$W$4,0))))</f>
        <v>9283.2045868739406</v>
      </c>
      <c r="M272">
        <f ca="1">IF($C272-M$1&lt;År1,0,L271*(1-VLOOKUP($A272,[1]Hugst!$R$5:$W$9,MATCH(ROUNDUP((M$1)/10,0)*10,[1]Hugst!$R$4:$W$4,0))))</f>
        <v>9289.2578721193131</v>
      </c>
      <c r="N272">
        <f ca="1">IF($C272-N$1&lt;År1,0,M271*(1-VLOOKUP($A272,[1]Hugst!$R$5:$W$9,MATCH(ROUNDUP((N$1)/10,0)*10,[1]Hugst!$R$4:$W$4,0))))</f>
        <v>9295.3415758834817</v>
      </c>
      <c r="O272">
        <f ca="1">IF($C272-O$1&lt;År1,0,N271*(1-VLOOKUP($A272,[1]Hugst!$R$5:$W$9,MATCH(ROUNDUP((O$1)/10,0)*10,[1]Hugst!$R$4:$W$4,0))))</f>
        <v>9301.4558510233692</v>
      </c>
      <c r="P272">
        <f ca="1">IF($C272-P$1&lt;År1,0,O271*(1-VLOOKUP($A272,[1]Hugst!$R$5:$W$9,MATCH(ROUNDUP((P$1)/10,0)*10,[1]Hugst!$R$4:$W$4,0))))</f>
        <v>9307.600851163992</v>
      </c>
      <c r="Q272">
        <f ca="1">IF($C272-Q$1&lt;År1,0,P271*(1-VLOOKUP($A272,[1]Hugst!$R$5:$W$9,MATCH(ROUNDUP((Q$1)/10,0)*10,[1]Hugst!$R$4:$W$4,0))))</f>
        <v>9313.7767307022132</v>
      </c>
      <c r="R272">
        <f ca="1">IF($C272-R$1&lt;År1,0,Q271*(1-VLOOKUP($A272,[1]Hugst!$R$5:$W$9,MATCH(ROUNDUP((R$1)/10,0)*10,[1]Hugst!$R$4:$W$4,0))))</f>
        <v>10229.785365723956</v>
      </c>
      <c r="S272">
        <f ca="1">IF($C272-S$1&lt;År1,0,R271*(1-VLOOKUP($A272,[1]Hugst!$R$5:$W$9,MATCH(ROUNDUP((S$1)/10,0)*10,[1]Hugst!$R$4:$W$4,0))))</f>
        <v>10236.023470355884</v>
      </c>
      <c r="T272">
        <f ca="1">IF($C272-T$1&lt;År1,0,S271*(1-VLOOKUP($A272,[1]Hugst!$R$5:$W$9,MATCH(ROUNDUP((T$1)/10,0)*10,[1]Hugst!$R$4:$W$4,0))))</f>
        <v>10242.292922247385</v>
      </c>
      <c r="U272">
        <f ca="1">IF($C272-U$1&lt;År1,0,T271*(1-VLOOKUP($A272,[1]Hugst!$R$5:$W$9,MATCH(ROUNDUP((U$1)/10,0)*10,[1]Hugst!$R$4:$W$4,0))))</f>
        <v>10248.593878922191</v>
      </c>
      <c r="V272">
        <f ca="1">IF($C272-V$1&lt;År1,0,U271*(1-VLOOKUP($A272,[1]Hugst!$R$5:$W$9,MATCH(ROUNDUP((V$1)/10,0)*10,[1]Hugst!$R$4:$W$4,0))))</f>
        <v>10254.92649869587</v>
      </c>
      <c r="W272">
        <f ca="1">IF($C272-W$1&lt;År1,0,V271*(1-VLOOKUP($A272,[1]Hugst!$R$5:$W$9,MATCH(ROUNDUP((W$1)/10,0)*10,[1]Hugst!$R$4:$W$4,0))))</f>
        <v>10261.290940679468</v>
      </c>
      <c r="X272">
        <f ca="1">IF($C272-X$1&lt;År1,0,W271*(1-VLOOKUP($A272,[1]Hugst!$R$5:$W$9,MATCH(ROUNDUP((X$1)/10,0)*10,[1]Hugst!$R$4:$W$4,0))))</f>
        <v>10267.687364783602</v>
      </c>
      <c r="Y272">
        <f ca="1">IF($C272-Y$1&lt;År1,0,X271*(1-VLOOKUP($A272,[1]Hugst!$R$5:$W$9,MATCH(ROUNDUP((Y$1)/10,0)*10,[1]Hugst!$R$4:$W$4,0))))</f>
        <v>10274.115931722426</v>
      </c>
      <c r="Z272">
        <f ca="1">IF($C272-Z$1&lt;År1,0,Y271*(1-VLOOKUP($A272,[1]Hugst!$R$5:$W$9,MATCH(ROUNDUP((Z$1)/10,0)*10,[1]Hugst!$R$4:$W$4,0))))</f>
        <v>10280.576803017731</v>
      </c>
      <c r="AA272">
        <f ca="1">IF($C272-AA$1&lt;År1,0,Z271*(1-VLOOKUP($A272,[1]Hugst!$R$5:$W$9,MATCH(ROUNDUP((AA$1)/10,0)*10,[1]Hugst!$R$4:$W$4,0))))</f>
        <v>10287.070141002918</v>
      </c>
      <c r="AB272">
        <f ca="1">IF($C272-AB$1&lt;År1,0,AA271*(1-VLOOKUP($A272,[1]Hugst!$R$5:$W$9,MATCH(ROUNDUP((AB$1)/10,0)*10,[1]Hugst!$R$4:$W$4,0))))</f>
        <v>10293.596108827296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1163.0698052009793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9241.6706282462474</v>
      </c>
      <c r="G273">
        <f ca="1">IF($C273-G$1&lt;År1,0,F272*(1-VLOOKUP($A273,[1]Hugst!$R$5:$W$9,MATCH(ROUNDUP((G$1)/10,0)*10,[1]Hugst!$R$4:$W$4,0))))</f>
        <v>9247.5152001316892</v>
      </c>
      <c r="H273">
        <f ca="1">IF($C273-H$1&lt;År1,0,G272*(1-VLOOKUP($A273,[1]Hugst!$R$5:$W$9,MATCH(ROUNDUP((H$1)/10,0)*10,[1]Hugst!$R$4:$W$4,0))))</f>
        <v>9253.3891417251107</v>
      </c>
      <c r="I273">
        <f ca="1">IF($C273-I$1&lt;År1,0,H272*(1-VLOOKUP($A273,[1]Hugst!$R$5:$W$9,MATCH(ROUNDUP((I$1)/10,0)*10,[1]Hugst!$R$4:$W$4,0))))</f>
        <v>9259.2926006129273</v>
      </c>
      <c r="J273">
        <f ca="1">IF($C273-J$1&lt;År1,0,I272*(1-VLOOKUP($A273,[1]Hugst!$R$5:$W$9,MATCH(ROUNDUP((J$1)/10,0)*10,[1]Hugst!$R$4:$W$4,0))))</f>
        <v>9265.2257251232877</v>
      </c>
      <c r="K273">
        <f ca="1">IF($C273-K$1&lt;År1,0,J272*(1-VLOOKUP($A273,[1]Hugst!$R$5:$W$9,MATCH(ROUNDUP((K$1)/10,0)*10,[1]Hugst!$R$4:$W$4,0))))</f>
        <v>9271.1886643297767</v>
      </c>
      <c r="L273">
        <f ca="1">IF($C273-L$1&lt;År1,0,K272*(1-VLOOKUP($A273,[1]Hugst!$R$5:$W$9,MATCH(ROUNDUP((L$1)/10,0)*10,[1]Hugst!$R$4:$W$4,0))))</f>
        <v>9277.1815680547879</v>
      </c>
      <c r="M273">
        <f ca="1">IF($C273-M$1&lt;År1,0,L272*(1-VLOOKUP($A273,[1]Hugst!$R$5:$W$9,MATCH(ROUNDUP((M$1)/10,0)*10,[1]Hugst!$R$4:$W$4,0))))</f>
        <v>9283.2045868739406</v>
      </c>
      <c r="N273">
        <f ca="1">IF($C273-N$1&lt;År1,0,M272*(1-VLOOKUP($A273,[1]Hugst!$R$5:$W$9,MATCH(ROUNDUP((N$1)/10,0)*10,[1]Hugst!$R$4:$W$4,0))))</f>
        <v>9289.2578721193131</v>
      </c>
      <c r="O273">
        <f ca="1">IF($C273-O$1&lt;År1,0,N272*(1-VLOOKUP($A273,[1]Hugst!$R$5:$W$9,MATCH(ROUNDUP((O$1)/10,0)*10,[1]Hugst!$R$4:$W$4,0))))</f>
        <v>9295.3415758834817</v>
      </c>
      <c r="P273">
        <f ca="1">IF($C273-P$1&lt;År1,0,O272*(1-VLOOKUP($A273,[1]Hugst!$R$5:$W$9,MATCH(ROUNDUP((P$1)/10,0)*10,[1]Hugst!$R$4:$W$4,0))))</f>
        <v>9301.4558510233692</v>
      </c>
      <c r="Q273">
        <f ca="1">IF($C273-Q$1&lt;År1,0,P272*(1-VLOOKUP($A273,[1]Hugst!$R$5:$W$9,MATCH(ROUNDUP((Q$1)/10,0)*10,[1]Hugst!$R$4:$W$4,0))))</f>
        <v>9307.600851163992</v>
      </c>
      <c r="R273">
        <f ca="1">IF($C273-R$1&lt;År1,0,Q272*(1-VLOOKUP($A273,[1]Hugst!$R$5:$W$9,MATCH(ROUNDUP((R$1)/10,0)*10,[1]Hugst!$R$4:$W$4,0))))</f>
        <v>9313.7767307022132</v>
      </c>
      <c r="S273">
        <f ca="1">IF($C273-S$1&lt;År1,0,R272*(1-VLOOKUP($A273,[1]Hugst!$R$5:$W$9,MATCH(ROUNDUP((S$1)/10,0)*10,[1]Hugst!$R$4:$W$4,0))))</f>
        <v>10229.785365723956</v>
      </c>
      <c r="T273">
        <f ca="1">IF($C273-T$1&lt;År1,0,S272*(1-VLOOKUP($A273,[1]Hugst!$R$5:$W$9,MATCH(ROUNDUP((T$1)/10,0)*10,[1]Hugst!$R$4:$W$4,0))))</f>
        <v>10236.023470355884</v>
      </c>
      <c r="U273">
        <f ca="1">IF($C273-U$1&lt;År1,0,T272*(1-VLOOKUP($A273,[1]Hugst!$R$5:$W$9,MATCH(ROUNDUP((U$1)/10,0)*10,[1]Hugst!$R$4:$W$4,0))))</f>
        <v>10242.292922247385</v>
      </c>
      <c r="V273">
        <f ca="1">IF($C273-V$1&lt;År1,0,U272*(1-VLOOKUP($A273,[1]Hugst!$R$5:$W$9,MATCH(ROUNDUP((V$1)/10,0)*10,[1]Hugst!$R$4:$W$4,0))))</f>
        <v>10248.593878922191</v>
      </c>
      <c r="W273">
        <f ca="1">IF($C273-W$1&lt;År1,0,V272*(1-VLOOKUP($A273,[1]Hugst!$R$5:$W$9,MATCH(ROUNDUP((W$1)/10,0)*10,[1]Hugst!$R$4:$W$4,0))))</f>
        <v>10254.92649869587</v>
      </c>
      <c r="X273">
        <f ca="1">IF($C273-X$1&lt;År1,0,W272*(1-VLOOKUP($A273,[1]Hugst!$R$5:$W$9,MATCH(ROUNDUP((X$1)/10,0)*10,[1]Hugst!$R$4:$W$4,0))))</f>
        <v>10261.290940679468</v>
      </c>
      <c r="Y273">
        <f ca="1">IF($C273-Y$1&lt;År1,0,X272*(1-VLOOKUP($A273,[1]Hugst!$R$5:$W$9,MATCH(ROUNDUP((Y$1)/10,0)*10,[1]Hugst!$R$4:$W$4,0))))</f>
        <v>10267.687364783602</v>
      </c>
      <c r="Z273">
        <f ca="1">IF($C273-Z$1&lt;År1,0,Y272*(1-VLOOKUP($A273,[1]Hugst!$R$5:$W$9,MATCH(ROUNDUP((Z$1)/10,0)*10,[1]Hugst!$R$4:$W$4,0))))</f>
        <v>10274.115931722426</v>
      </c>
      <c r="AA273">
        <f ca="1">IF($C273-AA$1&lt;År1,0,Z272*(1-VLOOKUP($A273,[1]Hugst!$R$5:$W$9,MATCH(ROUNDUP((AA$1)/10,0)*10,[1]Hugst!$R$4:$W$4,0))))</f>
        <v>10280.576803017731</v>
      </c>
      <c r="AB273">
        <f ca="1">IF($C273-AB$1&lt;År1,0,AA272*(1-VLOOKUP($A273,[1]Hugst!$R$5:$W$9,MATCH(ROUNDUP((AB$1)/10,0)*10,[1]Hugst!$R$4:$W$4,0))))</f>
        <v>10287.070141002918</v>
      </c>
      <c r="AC273">
        <f ca="1">IF($C273-AC$1&lt;År1,0,AB272*(1-VLOOKUP($A273,[1]Hugst!$R$5:$W$9,MATCH(ROUNDUP((AC$1)/10,0)*10,[1]Hugst!$R$4:$W$4,0))))</f>
        <v>10293.596108827296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1157.2544561749783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9235.8552792202463</v>
      </c>
      <c r="G274">
        <f ca="1">IF($C274-G$1&lt;År1,0,F273*(1-VLOOKUP($A274,[1]Hugst!$R$5:$W$9,MATCH(ROUNDUP((G$1)/10,0)*10,[1]Hugst!$R$4:$W$4,0))))</f>
        <v>9241.6706282462474</v>
      </c>
      <c r="H274">
        <f ca="1">IF($C274-H$1&lt;År1,0,G273*(1-VLOOKUP($A274,[1]Hugst!$R$5:$W$9,MATCH(ROUNDUP((H$1)/10,0)*10,[1]Hugst!$R$4:$W$4,0))))</f>
        <v>9247.5152001316892</v>
      </c>
      <c r="I274">
        <f ca="1">IF($C274-I$1&lt;År1,0,H273*(1-VLOOKUP($A274,[1]Hugst!$R$5:$W$9,MATCH(ROUNDUP((I$1)/10,0)*10,[1]Hugst!$R$4:$W$4,0))))</f>
        <v>9253.3891417251107</v>
      </c>
      <c r="J274">
        <f ca="1">IF($C274-J$1&lt;År1,0,I273*(1-VLOOKUP($A274,[1]Hugst!$R$5:$W$9,MATCH(ROUNDUP((J$1)/10,0)*10,[1]Hugst!$R$4:$W$4,0))))</f>
        <v>9259.2926006129273</v>
      </c>
      <c r="K274">
        <f ca="1">IF($C274-K$1&lt;År1,0,J273*(1-VLOOKUP($A274,[1]Hugst!$R$5:$W$9,MATCH(ROUNDUP((K$1)/10,0)*10,[1]Hugst!$R$4:$W$4,0))))</f>
        <v>9265.2257251232877</v>
      </c>
      <c r="L274">
        <f ca="1">IF($C274-L$1&lt;År1,0,K273*(1-VLOOKUP($A274,[1]Hugst!$R$5:$W$9,MATCH(ROUNDUP((L$1)/10,0)*10,[1]Hugst!$R$4:$W$4,0))))</f>
        <v>9271.1886643297767</v>
      </c>
      <c r="M274">
        <f ca="1">IF($C274-M$1&lt;År1,0,L273*(1-VLOOKUP($A274,[1]Hugst!$R$5:$W$9,MATCH(ROUNDUP((M$1)/10,0)*10,[1]Hugst!$R$4:$W$4,0))))</f>
        <v>9277.1815680547879</v>
      </c>
      <c r="N274">
        <f ca="1">IF($C274-N$1&lt;År1,0,M273*(1-VLOOKUP($A274,[1]Hugst!$R$5:$W$9,MATCH(ROUNDUP((N$1)/10,0)*10,[1]Hugst!$R$4:$W$4,0))))</f>
        <v>9283.2045868739406</v>
      </c>
      <c r="O274">
        <f ca="1">IF($C274-O$1&lt;År1,0,N273*(1-VLOOKUP($A274,[1]Hugst!$R$5:$W$9,MATCH(ROUNDUP((O$1)/10,0)*10,[1]Hugst!$R$4:$W$4,0))))</f>
        <v>9289.2578721193131</v>
      </c>
      <c r="P274">
        <f ca="1">IF($C274-P$1&lt;År1,0,O273*(1-VLOOKUP($A274,[1]Hugst!$R$5:$W$9,MATCH(ROUNDUP((P$1)/10,0)*10,[1]Hugst!$R$4:$W$4,0))))</f>
        <v>9295.3415758834817</v>
      </c>
      <c r="Q274">
        <f ca="1">IF($C274-Q$1&lt;År1,0,P273*(1-VLOOKUP($A274,[1]Hugst!$R$5:$W$9,MATCH(ROUNDUP((Q$1)/10,0)*10,[1]Hugst!$R$4:$W$4,0))))</f>
        <v>9301.4558510233692</v>
      </c>
      <c r="R274">
        <f ca="1">IF($C274-R$1&lt;År1,0,Q273*(1-VLOOKUP($A274,[1]Hugst!$R$5:$W$9,MATCH(ROUNDUP((R$1)/10,0)*10,[1]Hugst!$R$4:$W$4,0))))</f>
        <v>9307.600851163992</v>
      </c>
      <c r="S274">
        <f ca="1">IF($C274-S$1&lt;År1,0,R273*(1-VLOOKUP($A274,[1]Hugst!$R$5:$W$9,MATCH(ROUNDUP((S$1)/10,0)*10,[1]Hugst!$R$4:$W$4,0))))</f>
        <v>9313.7767307022132</v>
      </c>
      <c r="T274">
        <f ca="1">IF($C274-T$1&lt;År1,0,S273*(1-VLOOKUP($A274,[1]Hugst!$R$5:$W$9,MATCH(ROUNDUP((T$1)/10,0)*10,[1]Hugst!$R$4:$W$4,0))))</f>
        <v>10229.785365723956</v>
      </c>
      <c r="U274">
        <f ca="1">IF($C274-U$1&lt;År1,0,T273*(1-VLOOKUP($A274,[1]Hugst!$R$5:$W$9,MATCH(ROUNDUP((U$1)/10,0)*10,[1]Hugst!$R$4:$W$4,0))))</f>
        <v>10236.023470355884</v>
      </c>
      <c r="V274">
        <f ca="1">IF($C274-V$1&lt;År1,0,U273*(1-VLOOKUP($A274,[1]Hugst!$R$5:$W$9,MATCH(ROUNDUP((V$1)/10,0)*10,[1]Hugst!$R$4:$W$4,0))))</f>
        <v>10242.292922247385</v>
      </c>
      <c r="W274">
        <f ca="1">IF($C274-W$1&lt;År1,0,V273*(1-VLOOKUP($A274,[1]Hugst!$R$5:$W$9,MATCH(ROUNDUP((W$1)/10,0)*10,[1]Hugst!$R$4:$W$4,0))))</f>
        <v>10248.593878922191</v>
      </c>
      <c r="X274">
        <f ca="1">IF($C274-X$1&lt;År1,0,W273*(1-VLOOKUP($A274,[1]Hugst!$R$5:$W$9,MATCH(ROUNDUP((X$1)/10,0)*10,[1]Hugst!$R$4:$W$4,0))))</f>
        <v>10254.92649869587</v>
      </c>
      <c r="Y274">
        <f ca="1">IF($C274-Y$1&lt;År1,0,X273*(1-VLOOKUP($A274,[1]Hugst!$R$5:$W$9,MATCH(ROUNDUP((Y$1)/10,0)*10,[1]Hugst!$R$4:$W$4,0))))</f>
        <v>10261.290940679468</v>
      </c>
      <c r="Z274">
        <f ca="1">IF($C274-Z$1&lt;År1,0,Y273*(1-VLOOKUP($A274,[1]Hugst!$R$5:$W$9,MATCH(ROUNDUP((Z$1)/10,0)*10,[1]Hugst!$R$4:$W$4,0))))</f>
        <v>10267.687364783602</v>
      </c>
      <c r="AA274">
        <f ca="1">IF($C274-AA$1&lt;År1,0,Z273*(1-VLOOKUP($A274,[1]Hugst!$R$5:$W$9,MATCH(ROUNDUP((AA$1)/10,0)*10,[1]Hugst!$R$4:$W$4,0))))</f>
        <v>10274.115931722426</v>
      </c>
      <c r="AB274">
        <f ca="1">IF($C274-AB$1&lt;År1,0,AA273*(1-VLOOKUP($A274,[1]Hugst!$R$5:$W$9,MATCH(ROUNDUP((AB$1)/10,0)*10,[1]Hugst!$R$4:$W$4,0))))</f>
        <v>10280.576803017731</v>
      </c>
      <c r="AC274">
        <f ca="1">IF($C274-AC$1&lt;År1,0,AB273*(1-VLOOKUP($A274,[1]Hugst!$R$5:$W$9,MATCH(ROUNDUP((AC$1)/10,0)*10,[1]Hugst!$R$4:$W$4,0))))</f>
        <v>10287.070141002918</v>
      </c>
      <c r="AD274">
        <f ca="1">IF($C274-AD$1&lt;År1,0,AC273*(1-VLOOKUP($A274,[1]Hugst!$R$5:$W$9,MATCH(ROUNDUP((AD$1)/10,0)*10,[1]Hugst!$R$4:$W$4,0))))</f>
        <v>10293.596108827296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1151.4681838941069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9230.069006939375</v>
      </c>
      <c r="G275">
        <f ca="1">IF($C275-G$1&lt;År1,0,F274*(1-VLOOKUP($A275,[1]Hugst!$R$5:$W$9,MATCH(ROUNDUP((G$1)/10,0)*10,[1]Hugst!$R$4:$W$4,0))))</f>
        <v>9235.8552792202463</v>
      </c>
      <c r="H275">
        <f ca="1">IF($C275-H$1&lt;År1,0,G274*(1-VLOOKUP($A275,[1]Hugst!$R$5:$W$9,MATCH(ROUNDUP((H$1)/10,0)*10,[1]Hugst!$R$4:$W$4,0))))</f>
        <v>9241.6706282462474</v>
      </c>
      <c r="I275">
        <f ca="1">IF($C275-I$1&lt;År1,0,H274*(1-VLOOKUP($A275,[1]Hugst!$R$5:$W$9,MATCH(ROUNDUP((I$1)/10,0)*10,[1]Hugst!$R$4:$W$4,0))))</f>
        <v>9247.5152001316892</v>
      </c>
      <c r="J275">
        <f ca="1">IF($C275-J$1&lt;År1,0,I274*(1-VLOOKUP($A275,[1]Hugst!$R$5:$W$9,MATCH(ROUNDUP((J$1)/10,0)*10,[1]Hugst!$R$4:$W$4,0))))</f>
        <v>9253.3891417251107</v>
      </c>
      <c r="K275">
        <f ca="1">IF($C275-K$1&lt;År1,0,J274*(1-VLOOKUP($A275,[1]Hugst!$R$5:$W$9,MATCH(ROUNDUP((K$1)/10,0)*10,[1]Hugst!$R$4:$W$4,0))))</f>
        <v>9259.2926006129273</v>
      </c>
      <c r="L275">
        <f ca="1">IF($C275-L$1&lt;År1,0,K274*(1-VLOOKUP($A275,[1]Hugst!$R$5:$W$9,MATCH(ROUNDUP((L$1)/10,0)*10,[1]Hugst!$R$4:$W$4,0))))</f>
        <v>9265.2257251232877</v>
      </c>
      <c r="M275">
        <f ca="1">IF($C275-M$1&lt;År1,0,L274*(1-VLOOKUP($A275,[1]Hugst!$R$5:$W$9,MATCH(ROUNDUP((M$1)/10,0)*10,[1]Hugst!$R$4:$W$4,0))))</f>
        <v>9271.1886643297767</v>
      </c>
      <c r="N275">
        <f ca="1">IF($C275-N$1&lt;År1,0,M274*(1-VLOOKUP($A275,[1]Hugst!$R$5:$W$9,MATCH(ROUNDUP((N$1)/10,0)*10,[1]Hugst!$R$4:$W$4,0))))</f>
        <v>9277.1815680547879</v>
      </c>
      <c r="O275">
        <f ca="1">IF($C275-O$1&lt;År1,0,N274*(1-VLOOKUP($A275,[1]Hugst!$R$5:$W$9,MATCH(ROUNDUP((O$1)/10,0)*10,[1]Hugst!$R$4:$W$4,0))))</f>
        <v>9283.2045868739406</v>
      </c>
      <c r="P275">
        <f ca="1">IF($C275-P$1&lt;År1,0,O274*(1-VLOOKUP($A275,[1]Hugst!$R$5:$W$9,MATCH(ROUNDUP((P$1)/10,0)*10,[1]Hugst!$R$4:$W$4,0))))</f>
        <v>9289.2578721193131</v>
      </c>
      <c r="Q275">
        <f ca="1">IF($C275-Q$1&lt;År1,0,P274*(1-VLOOKUP($A275,[1]Hugst!$R$5:$W$9,MATCH(ROUNDUP((Q$1)/10,0)*10,[1]Hugst!$R$4:$W$4,0))))</f>
        <v>9295.3415758834817</v>
      </c>
      <c r="R275">
        <f ca="1">IF($C275-R$1&lt;År1,0,Q274*(1-VLOOKUP($A275,[1]Hugst!$R$5:$W$9,MATCH(ROUNDUP((R$1)/10,0)*10,[1]Hugst!$R$4:$W$4,0))))</f>
        <v>9301.4558510233692</v>
      </c>
      <c r="S275">
        <f ca="1">IF($C275-S$1&lt;År1,0,R274*(1-VLOOKUP($A275,[1]Hugst!$R$5:$W$9,MATCH(ROUNDUP((S$1)/10,0)*10,[1]Hugst!$R$4:$W$4,0))))</f>
        <v>9307.600851163992</v>
      </c>
      <c r="T275">
        <f ca="1">IF($C275-T$1&lt;År1,0,S274*(1-VLOOKUP($A275,[1]Hugst!$R$5:$W$9,MATCH(ROUNDUP((T$1)/10,0)*10,[1]Hugst!$R$4:$W$4,0))))</f>
        <v>9313.7767307022132</v>
      </c>
      <c r="U275">
        <f ca="1">IF($C275-U$1&lt;År1,0,T274*(1-VLOOKUP($A275,[1]Hugst!$R$5:$W$9,MATCH(ROUNDUP((U$1)/10,0)*10,[1]Hugst!$R$4:$W$4,0))))</f>
        <v>10229.785365723956</v>
      </c>
      <c r="V275">
        <f ca="1">IF($C275-V$1&lt;År1,0,U274*(1-VLOOKUP($A275,[1]Hugst!$R$5:$W$9,MATCH(ROUNDUP((V$1)/10,0)*10,[1]Hugst!$R$4:$W$4,0))))</f>
        <v>10236.023470355884</v>
      </c>
      <c r="W275">
        <f ca="1">IF($C275-W$1&lt;År1,0,V274*(1-VLOOKUP($A275,[1]Hugst!$R$5:$W$9,MATCH(ROUNDUP((W$1)/10,0)*10,[1]Hugst!$R$4:$W$4,0))))</f>
        <v>10242.292922247385</v>
      </c>
      <c r="X275">
        <f ca="1">IF($C275-X$1&lt;År1,0,W274*(1-VLOOKUP($A275,[1]Hugst!$R$5:$W$9,MATCH(ROUNDUP((X$1)/10,0)*10,[1]Hugst!$R$4:$W$4,0))))</f>
        <v>10248.593878922191</v>
      </c>
      <c r="Y275">
        <f ca="1">IF($C275-Y$1&lt;År1,0,X274*(1-VLOOKUP($A275,[1]Hugst!$R$5:$W$9,MATCH(ROUNDUP((Y$1)/10,0)*10,[1]Hugst!$R$4:$W$4,0))))</f>
        <v>10254.92649869587</v>
      </c>
      <c r="Z275">
        <f ca="1">IF($C275-Z$1&lt;År1,0,Y274*(1-VLOOKUP($A275,[1]Hugst!$R$5:$W$9,MATCH(ROUNDUP((Z$1)/10,0)*10,[1]Hugst!$R$4:$W$4,0))))</f>
        <v>10261.290940679468</v>
      </c>
      <c r="AA275">
        <f ca="1">IF($C275-AA$1&lt;År1,0,Z274*(1-VLOOKUP($A275,[1]Hugst!$R$5:$W$9,MATCH(ROUNDUP((AA$1)/10,0)*10,[1]Hugst!$R$4:$W$4,0))))</f>
        <v>10267.687364783602</v>
      </c>
      <c r="AB275">
        <f ca="1">IF($C275-AB$1&lt;År1,0,AA274*(1-VLOOKUP($A275,[1]Hugst!$R$5:$W$9,MATCH(ROUNDUP((AB$1)/10,0)*10,[1]Hugst!$R$4:$W$4,0))))</f>
        <v>10274.115931722426</v>
      </c>
      <c r="AC275">
        <f ca="1">IF($C275-AC$1&lt;År1,0,AB274*(1-VLOOKUP($A275,[1]Hugst!$R$5:$W$9,MATCH(ROUNDUP((AC$1)/10,0)*10,[1]Hugst!$R$4:$W$4,0))))</f>
        <v>10280.576803017731</v>
      </c>
      <c r="AD275">
        <f ca="1">IF($C275-AD$1&lt;År1,0,AC274*(1-VLOOKUP($A275,[1]Hugst!$R$5:$W$9,MATCH(ROUNDUP((AD$1)/10,0)*10,[1]Hugst!$R$4:$W$4,0))))</f>
        <v>10287.070141002918</v>
      </c>
      <c r="AE275">
        <f ca="1">IF($C275-AE$1&lt;År1,0,AD274*(1-VLOOKUP($A275,[1]Hugst!$R$5:$W$9,MATCH(ROUNDUP((AE$1)/10,0)*10,[1]Hugst!$R$4:$W$4,0))))</f>
        <v>10293.596108827296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1145.7108429746695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9224.3116660199375</v>
      </c>
      <c r="G276">
        <f ca="1">IF($C276-G$1&lt;År1,0,F275*(1-VLOOKUP($A276,[1]Hugst!$R$5:$W$9,MATCH(ROUNDUP((G$1)/10,0)*10,[1]Hugst!$R$4:$W$4,0))))</f>
        <v>9230.069006939375</v>
      </c>
      <c r="H276">
        <f ca="1">IF($C276-H$1&lt;År1,0,G275*(1-VLOOKUP($A276,[1]Hugst!$R$5:$W$9,MATCH(ROUNDUP((H$1)/10,0)*10,[1]Hugst!$R$4:$W$4,0))))</f>
        <v>9235.8552792202463</v>
      </c>
      <c r="I276">
        <f ca="1">IF($C276-I$1&lt;År1,0,H275*(1-VLOOKUP($A276,[1]Hugst!$R$5:$W$9,MATCH(ROUNDUP((I$1)/10,0)*10,[1]Hugst!$R$4:$W$4,0))))</f>
        <v>9241.6706282462474</v>
      </c>
      <c r="J276">
        <f ca="1">IF($C276-J$1&lt;År1,0,I275*(1-VLOOKUP($A276,[1]Hugst!$R$5:$W$9,MATCH(ROUNDUP((J$1)/10,0)*10,[1]Hugst!$R$4:$W$4,0))))</f>
        <v>9247.5152001316892</v>
      </c>
      <c r="K276">
        <f ca="1">IF($C276-K$1&lt;År1,0,J275*(1-VLOOKUP($A276,[1]Hugst!$R$5:$W$9,MATCH(ROUNDUP((K$1)/10,0)*10,[1]Hugst!$R$4:$W$4,0))))</f>
        <v>9253.3891417251107</v>
      </c>
      <c r="L276">
        <f ca="1">IF($C276-L$1&lt;År1,0,K275*(1-VLOOKUP($A276,[1]Hugst!$R$5:$W$9,MATCH(ROUNDUP((L$1)/10,0)*10,[1]Hugst!$R$4:$W$4,0))))</f>
        <v>9259.2926006129273</v>
      </c>
      <c r="M276">
        <f ca="1">IF($C276-M$1&lt;År1,0,L275*(1-VLOOKUP($A276,[1]Hugst!$R$5:$W$9,MATCH(ROUNDUP((M$1)/10,0)*10,[1]Hugst!$R$4:$W$4,0))))</f>
        <v>9265.2257251232877</v>
      </c>
      <c r="N276">
        <f ca="1">IF($C276-N$1&lt;År1,0,M275*(1-VLOOKUP($A276,[1]Hugst!$R$5:$W$9,MATCH(ROUNDUP((N$1)/10,0)*10,[1]Hugst!$R$4:$W$4,0))))</f>
        <v>9271.1886643297767</v>
      </c>
      <c r="O276">
        <f ca="1">IF($C276-O$1&lt;År1,0,N275*(1-VLOOKUP($A276,[1]Hugst!$R$5:$W$9,MATCH(ROUNDUP((O$1)/10,0)*10,[1]Hugst!$R$4:$W$4,0))))</f>
        <v>9277.1815680547879</v>
      </c>
      <c r="P276">
        <f ca="1">IF($C276-P$1&lt;År1,0,O275*(1-VLOOKUP($A276,[1]Hugst!$R$5:$W$9,MATCH(ROUNDUP((P$1)/10,0)*10,[1]Hugst!$R$4:$W$4,0))))</f>
        <v>9283.2045868739406</v>
      </c>
      <c r="Q276">
        <f ca="1">IF($C276-Q$1&lt;År1,0,P275*(1-VLOOKUP($A276,[1]Hugst!$R$5:$W$9,MATCH(ROUNDUP((Q$1)/10,0)*10,[1]Hugst!$R$4:$W$4,0))))</f>
        <v>9289.2578721193131</v>
      </c>
      <c r="R276">
        <f ca="1">IF($C276-R$1&lt;År1,0,Q275*(1-VLOOKUP($A276,[1]Hugst!$R$5:$W$9,MATCH(ROUNDUP((R$1)/10,0)*10,[1]Hugst!$R$4:$W$4,0))))</f>
        <v>9295.3415758834817</v>
      </c>
      <c r="S276">
        <f ca="1">IF($C276-S$1&lt;År1,0,R275*(1-VLOOKUP($A276,[1]Hugst!$R$5:$W$9,MATCH(ROUNDUP((S$1)/10,0)*10,[1]Hugst!$R$4:$W$4,0))))</f>
        <v>9301.4558510233692</v>
      </c>
      <c r="T276">
        <f ca="1">IF($C276-T$1&lt;År1,0,S275*(1-VLOOKUP($A276,[1]Hugst!$R$5:$W$9,MATCH(ROUNDUP((T$1)/10,0)*10,[1]Hugst!$R$4:$W$4,0))))</f>
        <v>9307.600851163992</v>
      </c>
      <c r="U276">
        <f ca="1">IF($C276-U$1&lt;År1,0,T275*(1-VLOOKUP($A276,[1]Hugst!$R$5:$W$9,MATCH(ROUNDUP((U$1)/10,0)*10,[1]Hugst!$R$4:$W$4,0))))</f>
        <v>9313.7767307022132</v>
      </c>
      <c r="V276">
        <f ca="1">IF($C276-V$1&lt;År1,0,U275*(1-VLOOKUP($A276,[1]Hugst!$R$5:$W$9,MATCH(ROUNDUP((V$1)/10,0)*10,[1]Hugst!$R$4:$W$4,0))))</f>
        <v>10229.785365723956</v>
      </c>
      <c r="W276">
        <f ca="1">IF($C276-W$1&lt;År1,0,V275*(1-VLOOKUP($A276,[1]Hugst!$R$5:$W$9,MATCH(ROUNDUP((W$1)/10,0)*10,[1]Hugst!$R$4:$W$4,0))))</f>
        <v>10236.023470355884</v>
      </c>
      <c r="X276">
        <f ca="1">IF($C276-X$1&lt;År1,0,W275*(1-VLOOKUP($A276,[1]Hugst!$R$5:$W$9,MATCH(ROUNDUP((X$1)/10,0)*10,[1]Hugst!$R$4:$W$4,0))))</f>
        <v>10242.292922247385</v>
      </c>
      <c r="Y276">
        <f ca="1">IF($C276-Y$1&lt;År1,0,X275*(1-VLOOKUP($A276,[1]Hugst!$R$5:$W$9,MATCH(ROUNDUP((Y$1)/10,0)*10,[1]Hugst!$R$4:$W$4,0))))</f>
        <v>10248.593878922191</v>
      </c>
      <c r="Z276">
        <f ca="1">IF($C276-Z$1&lt;År1,0,Y275*(1-VLOOKUP($A276,[1]Hugst!$R$5:$W$9,MATCH(ROUNDUP((Z$1)/10,0)*10,[1]Hugst!$R$4:$W$4,0))))</f>
        <v>10254.92649869587</v>
      </c>
      <c r="AA276">
        <f ca="1">IF($C276-AA$1&lt;År1,0,Z275*(1-VLOOKUP($A276,[1]Hugst!$R$5:$W$9,MATCH(ROUNDUP((AA$1)/10,0)*10,[1]Hugst!$R$4:$W$4,0))))</f>
        <v>10261.290940679468</v>
      </c>
      <c r="AB276">
        <f ca="1">IF($C276-AB$1&lt;År1,0,AA275*(1-VLOOKUP($A276,[1]Hugst!$R$5:$W$9,MATCH(ROUNDUP((AB$1)/10,0)*10,[1]Hugst!$R$4:$W$4,0))))</f>
        <v>10267.687364783602</v>
      </c>
      <c r="AC276">
        <f ca="1">IF($C276-AC$1&lt;År1,0,AB275*(1-VLOOKUP($A276,[1]Hugst!$R$5:$W$9,MATCH(ROUNDUP((AC$1)/10,0)*10,[1]Hugst!$R$4:$W$4,0))))</f>
        <v>10274.115931722426</v>
      </c>
      <c r="AD276">
        <f ca="1">IF($C276-AD$1&lt;År1,0,AC275*(1-VLOOKUP($A276,[1]Hugst!$R$5:$W$9,MATCH(ROUNDUP((AD$1)/10,0)*10,[1]Hugst!$R$4:$W$4,0))))</f>
        <v>10280.576803017731</v>
      </c>
      <c r="AE276">
        <f ca="1">IF($C276-AE$1&lt;År1,0,AD275*(1-VLOOKUP($A276,[1]Hugst!$R$5:$W$9,MATCH(ROUNDUP((AE$1)/10,0)*10,[1]Hugst!$R$4:$W$4,0))))</f>
        <v>10287.070141002918</v>
      </c>
      <c r="AF276">
        <f ca="1">IF($C276-AF$1&lt;År1,0,AE275*(1-VLOOKUP($A276,[1]Hugst!$R$5:$W$9,MATCH(ROUNDUP((AF$1)/10,0)*10,[1]Hugst!$R$4:$W$4,0))))</f>
        <v>10293.596108827296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1139.9822887597256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9218.5831118049937</v>
      </c>
      <c r="G277">
        <f ca="1">IF($C277-G$1&lt;År1,0,F276*(1-VLOOKUP($A277,[1]Hugst!$R$5:$W$9,MATCH(ROUNDUP((G$1)/10,0)*10,[1]Hugst!$R$4:$W$4,0))))</f>
        <v>9224.3116660199375</v>
      </c>
      <c r="H277">
        <f ca="1">IF($C277-H$1&lt;År1,0,G276*(1-VLOOKUP($A277,[1]Hugst!$R$5:$W$9,MATCH(ROUNDUP((H$1)/10,0)*10,[1]Hugst!$R$4:$W$4,0))))</f>
        <v>9230.069006939375</v>
      </c>
      <c r="I277">
        <f ca="1">IF($C277-I$1&lt;År1,0,H276*(1-VLOOKUP($A277,[1]Hugst!$R$5:$W$9,MATCH(ROUNDUP((I$1)/10,0)*10,[1]Hugst!$R$4:$W$4,0))))</f>
        <v>9235.8552792202463</v>
      </c>
      <c r="J277">
        <f ca="1">IF($C277-J$1&lt;År1,0,I276*(1-VLOOKUP($A277,[1]Hugst!$R$5:$W$9,MATCH(ROUNDUP((J$1)/10,0)*10,[1]Hugst!$R$4:$W$4,0))))</f>
        <v>9241.6706282462474</v>
      </c>
      <c r="K277">
        <f ca="1">IF($C277-K$1&lt;År1,0,J276*(1-VLOOKUP($A277,[1]Hugst!$R$5:$W$9,MATCH(ROUNDUP((K$1)/10,0)*10,[1]Hugst!$R$4:$W$4,0))))</f>
        <v>9247.5152001316892</v>
      </c>
      <c r="L277">
        <f ca="1">IF($C277-L$1&lt;År1,0,K276*(1-VLOOKUP($A277,[1]Hugst!$R$5:$W$9,MATCH(ROUNDUP((L$1)/10,0)*10,[1]Hugst!$R$4:$W$4,0))))</f>
        <v>9253.3891417251107</v>
      </c>
      <c r="M277">
        <f ca="1">IF($C277-M$1&lt;År1,0,L276*(1-VLOOKUP($A277,[1]Hugst!$R$5:$W$9,MATCH(ROUNDUP((M$1)/10,0)*10,[1]Hugst!$R$4:$W$4,0))))</f>
        <v>9259.2926006129273</v>
      </c>
      <c r="N277">
        <f ca="1">IF($C277-N$1&lt;År1,0,M276*(1-VLOOKUP($A277,[1]Hugst!$R$5:$W$9,MATCH(ROUNDUP((N$1)/10,0)*10,[1]Hugst!$R$4:$W$4,0))))</f>
        <v>9265.2257251232877</v>
      </c>
      <c r="O277">
        <f ca="1">IF($C277-O$1&lt;År1,0,N276*(1-VLOOKUP($A277,[1]Hugst!$R$5:$W$9,MATCH(ROUNDUP((O$1)/10,0)*10,[1]Hugst!$R$4:$W$4,0))))</f>
        <v>9271.1886643297767</v>
      </c>
      <c r="P277">
        <f ca="1">IF($C277-P$1&lt;År1,0,O276*(1-VLOOKUP($A277,[1]Hugst!$R$5:$W$9,MATCH(ROUNDUP((P$1)/10,0)*10,[1]Hugst!$R$4:$W$4,0))))</f>
        <v>9277.1815680547879</v>
      </c>
      <c r="Q277">
        <f ca="1">IF($C277-Q$1&lt;År1,0,P276*(1-VLOOKUP($A277,[1]Hugst!$R$5:$W$9,MATCH(ROUNDUP((Q$1)/10,0)*10,[1]Hugst!$R$4:$W$4,0))))</f>
        <v>9283.2045868739406</v>
      </c>
      <c r="R277">
        <f ca="1">IF($C277-R$1&lt;År1,0,Q276*(1-VLOOKUP($A277,[1]Hugst!$R$5:$W$9,MATCH(ROUNDUP((R$1)/10,0)*10,[1]Hugst!$R$4:$W$4,0))))</f>
        <v>9289.2578721193131</v>
      </c>
      <c r="S277">
        <f ca="1">IF($C277-S$1&lt;År1,0,R276*(1-VLOOKUP($A277,[1]Hugst!$R$5:$W$9,MATCH(ROUNDUP((S$1)/10,0)*10,[1]Hugst!$R$4:$W$4,0))))</f>
        <v>9295.3415758834817</v>
      </c>
      <c r="T277">
        <f ca="1">IF($C277-T$1&lt;År1,0,S276*(1-VLOOKUP($A277,[1]Hugst!$R$5:$W$9,MATCH(ROUNDUP((T$1)/10,0)*10,[1]Hugst!$R$4:$W$4,0))))</f>
        <v>9301.4558510233692</v>
      </c>
      <c r="U277">
        <f ca="1">IF($C277-U$1&lt;År1,0,T276*(1-VLOOKUP($A277,[1]Hugst!$R$5:$W$9,MATCH(ROUNDUP((U$1)/10,0)*10,[1]Hugst!$R$4:$W$4,0))))</f>
        <v>9307.600851163992</v>
      </c>
      <c r="V277">
        <f ca="1">IF($C277-V$1&lt;År1,0,U276*(1-VLOOKUP($A277,[1]Hugst!$R$5:$W$9,MATCH(ROUNDUP((V$1)/10,0)*10,[1]Hugst!$R$4:$W$4,0))))</f>
        <v>9313.7767307022132</v>
      </c>
      <c r="W277">
        <f ca="1">IF($C277-W$1&lt;År1,0,V276*(1-VLOOKUP($A277,[1]Hugst!$R$5:$W$9,MATCH(ROUNDUP((W$1)/10,0)*10,[1]Hugst!$R$4:$W$4,0))))</f>
        <v>10229.785365723956</v>
      </c>
      <c r="X277">
        <f ca="1">IF($C277-X$1&lt;År1,0,W276*(1-VLOOKUP($A277,[1]Hugst!$R$5:$W$9,MATCH(ROUNDUP((X$1)/10,0)*10,[1]Hugst!$R$4:$W$4,0))))</f>
        <v>10236.023470355884</v>
      </c>
      <c r="Y277">
        <f ca="1">IF($C277-Y$1&lt;År1,0,X276*(1-VLOOKUP($A277,[1]Hugst!$R$5:$W$9,MATCH(ROUNDUP((Y$1)/10,0)*10,[1]Hugst!$R$4:$W$4,0))))</f>
        <v>10242.292922247385</v>
      </c>
      <c r="Z277">
        <f ca="1">IF($C277-Z$1&lt;År1,0,Y276*(1-VLOOKUP($A277,[1]Hugst!$R$5:$W$9,MATCH(ROUNDUP((Z$1)/10,0)*10,[1]Hugst!$R$4:$W$4,0))))</f>
        <v>10248.593878922191</v>
      </c>
      <c r="AA277">
        <f ca="1">IF($C277-AA$1&lt;År1,0,Z276*(1-VLOOKUP($A277,[1]Hugst!$R$5:$W$9,MATCH(ROUNDUP((AA$1)/10,0)*10,[1]Hugst!$R$4:$W$4,0))))</f>
        <v>10254.92649869587</v>
      </c>
      <c r="AB277">
        <f ca="1">IF($C277-AB$1&lt;År1,0,AA276*(1-VLOOKUP($A277,[1]Hugst!$R$5:$W$9,MATCH(ROUNDUP((AB$1)/10,0)*10,[1]Hugst!$R$4:$W$4,0))))</f>
        <v>10261.290940679468</v>
      </c>
      <c r="AC277">
        <f ca="1">IF($C277-AC$1&lt;År1,0,AB276*(1-VLOOKUP($A277,[1]Hugst!$R$5:$W$9,MATCH(ROUNDUP((AC$1)/10,0)*10,[1]Hugst!$R$4:$W$4,0))))</f>
        <v>10267.687364783602</v>
      </c>
      <c r="AD277">
        <f ca="1">IF($C277-AD$1&lt;År1,0,AC276*(1-VLOOKUP($A277,[1]Hugst!$R$5:$W$9,MATCH(ROUNDUP((AD$1)/10,0)*10,[1]Hugst!$R$4:$W$4,0))))</f>
        <v>10274.115931722426</v>
      </c>
      <c r="AE277">
        <f ca="1">IF($C277-AE$1&lt;År1,0,AD276*(1-VLOOKUP($A277,[1]Hugst!$R$5:$W$9,MATCH(ROUNDUP((AE$1)/10,0)*10,[1]Hugst!$R$4:$W$4,0))))</f>
        <v>10280.576803017731</v>
      </c>
      <c r="AF277">
        <f ca="1">IF($C277-AF$1&lt;År1,0,AE276*(1-VLOOKUP($A277,[1]Hugst!$R$5:$W$9,MATCH(ROUNDUP((AF$1)/10,0)*10,[1]Hugst!$R$4:$W$4,0))))</f>
        <v>10287.070141002918</v>
      </c>
      <c r="AG277">
        <f ca="1">IF($C277-AG$1&lt;År1,0,AF276*(1-VLOOKUP($A277,[1]Hugst!$R$5:$W$9,MATCH(ROUNDUP((AG$1)/10,0)*10,[1]Hugst!$R$4:$W$4,0))))</f>
        <v>10293.596108827296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1134.2823773159689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9212.883200361237</v>
      </c>
      <c r="G278">
        <f ca="1">IF($C278-G$1&lt;År1,0,F277*(1-VLOOKUP($A278,[1]Hugst!$R$5:$W$9,MATCH(ROUNDUP((G$1)/10,0)*10,[1]Hugst!$R$4:$W$4,0))))</f>
        <v>9218.5831118049937</v>
      </c>
      <c r="H278">
        <f ca="1">IF($C278-H$1&lt;År1,0,G277*(1-VLOOKUP($A278,[1]Hugst!$R$5:$W$9,MATCH(ROUNDUP((H$1)/10,0)*10,[1]Hugst!$R$4:$W$4,0))))</f>
        <v>9224.3116660199375</v>
      </c>
      <c r="I278">
        <f ca="1">IF($C278-I$1&lt;År1,0,H277*(1-VLOOKUP($A278,[1]Hugst!$R$5:$W$9,MATCH(ROUNDUP((I$1)/10,0)*10,[1]Hugst!$R$4:$W$4,0))))</f>
        <v>9230.069006939375</v>
      </c>
      <c r="J278">
        <f ca="1">IF($C278-J$1&lt;År1,0,I277*(1-VLOOKUP($A278,[1]Hugst!$R$5:$W$9,MATCH(ROUNDUP((J$1)/10,0)*10,[1]Hugst!$R$4:$W$4,0))))</f>
        <v>9235.8552792202463</v>
      </c>
      <c r="K278">
        <f ca="1">IF($C278-K$1&lt;År1,0,J277*(1-VLOOKUP($A278,[1]Hugst!$R$5:$W$9,MATCH(ROUNDUP((K$1)/10,0)*10,[1]Hugst!$R$4:$W$4,0))))</f>
        <v>9241.6706282462474</v>
      </c>
      <c r="L278">
        <f ca="1">IF($C278-L$1&lt;År1,0,K277*(1-VLOOKUP($A278,[1]Hugst!$R$5:$W$9,MATCH(ROUNDUP((L$1)/10,0)*10,[1]Hugst!$R$4:$W$4,0))))</f>
        <v>9247.5152001316892</v>
      </c>
      <c r="M278">
        <f ca="1">IF($C278-M$1&lt;År1,0,L277*(1-VLOOKUP($A278,[1]Hugst!$R$5:$W$9,MATCH(ROUNDUP((M$1)/10,0)*10,[1]Hugst!$R$4:$W$4,0))))</f>
        <v>9253.3891417251107</v>
      </c>
      <c r="N278">
        <f ca="1">IF($C278-N$1&lt;År1,0,M277*(1-VLOOKUP($A278,[1]Hugst!$R$5:$W$9,MATCH(ROUNDUP((N$1)/10,0)*10,[1]Hugst!$R$4:$W$4,0))))</f>
        <v>9259.2926006129273</v>
      </c>
      <c r="O278">
        <f ca="1">IF($C278-O$1&lt;År1,0,N277*(1-VLOOKUP($A278,[1]Hugst!$R$5:$W$9,MATCH(ROUNDUP((O$1)/10,0)*10,[1]Hugst!$R$4:$W$4,0))))</f>
        <v>9265.2257251232877</v>
      </c>
      <c r="P278">
        <f ca="1">IF($C278-P$1&lt;År1,0,O277*(1-VLOOKUP($A278,[1]Hugst!$R$5:$W$9,MATCH(ROUNDUP((P$1)/10,0)*10,[1]Hugst!$R$4:$W$4,0))))</f>
        <v>9271.1886643297767</v>
      </c>
      <c r="Q278">
        <f ca="1">IF($C278-Q$1&lt;År1,0,P277*(1-VLOOKUP($A278,[1]Hugst!$R$5:$W$9,MATCH(ROUNDUP((Q$1)/10,0)*10,[1]Hugst!$R$4:$W$4,0))))</f>
        <v>9277.1815680547879</v>
      </c>
      <c r="R278">
        <f ca="1">IF($C278-R$1&lt;År1,0,Q277*(1-VLOOKUP($A278,[1]Hugst!$R$5:$W$9,MATCH(ROUNDUP((R$1)/10,0)*10,[1]Hugst!$R$4:$W$4,0))))</f>
        <v>9283.2045868739406</v>
      </c>
      <c r="S278">
        <f ca="1">IF($C278-S$1&lt;År1,0,R277*(1-VLOOKUP($A278,[1]Hugst!$R$5:$W$9,MATCH(ROUNDUP((S$1)/10,0)*10,[1]Hugst!$R$4:$W$4,0))))</f>
        <v>9289.2578721193131</v>
      </c>
      <c r="T278">
        <f ca="1">IF($C278-T$1&lt;År1,0,S277*(1-VLOOKUP($A278,[1]Hugst!$R$5:$W$9,MATCH(ROUNDUP((T$1)/10,0)*10,[1]Hugst!$R$4:$W$4,0))))</f>
        <v>9295.3415758834817</v>
      </c>
      <c r="U278">
        <f ca="1">IF($C278-U$1&lt;År1,0,T277*(1-VLOOKUP($A278,[1]Hugst!$R$5:$W$9,MATCH(ROUNDUP((U$1)/10,0)*10,[1]Hugst!$R$4:$W$4,0))))</f>
        <v>9301.4558510233692</v>
      </c>
      <c r="V278">
        <f ca="1">IF($C278-V$1&lt;År1,0,U277*(1-VLOOKUP($A278,[1]Hugst!$R$5:$W$9,MATCH(ROUNDUP((V$1)/10,0)*10,[1]Hugst!$R$4:$W$4,0))))</f>
        <v>9307.600851163992</v>
      </c>
      <c r="W278">
        <f ca="1">IF($C278-W$1&lt;År1,0,V277*(1-VLOOKUP($A278,[1]Hugst!$R$5:$W$9,MATCH(ROUNDUP((W$1)/10,0)*10,[1]Hugst!$R$4:$W$4,0))))</f>
        <v>9313.7767307022132</v>
      </c>
      <c r="X278">
        <f ca="1">IF($C278-X$1&lt;År1,0,W277*(1-VLOOKUP($A278,[1]Hugst!$R$5:$W$9,MATCH(ROUNDUP((X$1)/10,0)*10,[1]Hugst!$R$4:$W$4,0))))</f>
        <v>10229.785365723956</v>
      </c>
      <c r="Y278">
        <f ca="1">IF($C278-Y$1&lt;År1,0,X277*(1-VLOOKUP($A278,[1]Hugst!$R$5:$W$9,MATCH(ROUNDUP((Y$1)/10,0)*10,[1]Hugst!$R$4:$W$4,0))))</f>
        <v>10236.023470355884</v>
      </c>
      <c r="Z278">
        <f ca="1">IF($C278-Z$1&lt;År1,0,Y277*(1-VLOOKUP($A278,[1]Hugst!$R$5:$W$9,MATCH(ROUNDUP((Z$1)/10,0)*10,[1]Hugst!$R$4:$W$4,0))))</f>
        <v>10242.292922247385</v>
      </c>
      <c r="AA278">
        <f ca="1">IF($C278-AA$1&lt;År1,0,Z277*(1-VLOOKUP($A278,[1]Hugst!$R$5:$W$9,MATCH(ROUNDUP((AA$1)/10,0)*10,[1]Hugst!$R$4:$W$4,0))))</f>
        <v>10248.593878922191</v>
      </c>
      <c r="AB278">
        <f ca="1">IF($C278-AB$1&lt;År1,0,AA277*(1-VLOOKUP($A278,[1]Hugst!$R$5:$W$9,MATCH(ROUNDUP((AB$1)/10,0)*10,[1]Hugst!$R$4:$W$4,0))))</f>
        <v>10254.92649869587</v>
      </c>
      <c r="AC278">
        <f ca="1">IF($C278-AC$1&lt;År1,0,AB277*(1-VLOOKUP($A278,[1]Hugst!$R$5:$W$9,MATCH(ROUNDUP((AC$1)/10,0)*10,[1]Hugst!$R$4:$W$4,0))))</f>
        <v>10261.290940679468</v>
      </c>
      <c r="AD278">
        <f ca="1">IF($C278-AD$1&lt;År1,0,AC277*(1-VLOOKUP($A278,[1]Hugst!$R$5:$W$9,MATCH(ROUNDUP((AD$1)/10,0)*10,[1]Hugst!$R$4:$W$4,0))))</f>
        <v>10267.687364783602</v>
      </c>
      <c r="AE278">
        <f ca="1">IF($C278-AE$1&lt;År1,0,AD277*(1-VLOOKUP($A278,[1]Hugst!$R$5:$W$9,MATCH(ROUNDUP((AE$1)/10,0)*10,[1]Hugst!$R$4:$W$4,0))))</f>
        <v>10274.115931722426</v>
      </c>
      <c r="AF278">
        <f ca="1">IF($C278-AF$1&lt;År1,0,AE277*(1-VLOOKUP($A278,[1]Hugst!$R$5:$W$9,MATCH(ROUNDUP((AF$1)/10,0)*10,[1]Hugst!$R$4:$W$4,0))))</f>
        <v>10280.576803017731</v>
      </c>
      <c r="AG278">
        <f ca="1">IF($C278-AG$1&lt;År1,0,AF277*(1-VLOOKUP($A278,[1]Hugst!$R$5:$W$9,MATCH(ROUNDUP((AG$1)/10,0)*10,[1]Hugst!$R$4:$W$4,0))))</f>
        <v>10287.070141002918</v>
      </c>
      <c r="AH278">
        <f ca="1">IF($C278-AH$1&lt;År1,0,AG277*(1-VLOOKUP($A278,[1]Hugst!$R$5:$W$9,MATCH(ROUNDUP((AH$1)/10,0)*10,[1]Hugst!$R$4:$W$4,0))))</f>
        <v>10293.596108827296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1128.6109654293832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9207.2117884746513</v>
      </c>
      <c r="G279">
        <f ca="1">IF($C279-G$1&lt;År1,0,F278*(1-VLOOKUP($A279,[1]Hugst!$R$5:$W$9,MATCH(ROUNDUP((G$1)/10,0)*10,[1]Hugst!$R$4:$W$4,0))))</f>
        <v>9212.883200361237</v>
      </c>
      <c r="H279">
        <f ca="1">IF($C279-H$1&lt;År1,0,G278*(1-VLOOKUP($A279,[1]Hugst!$R$5:$W$9,MATCH(ROUNDUP((H$1)/10,0)*10,[1]Hugst!$R$4:$W$4,0))))</f>
        <v>9218.5831118049937</v>
      </c>
      <c r="I279">
        <f ca="1">IF($C279-I$1&lt;År1,0,H278*(1-VLOOKUP($A279,[1]Hugst!$R$5:$W$9,MATCH(ROUNDUP((I$1)/10,0)*10,[1]Hugst!$R$4:$W$4,0))))</f>
        <v>9224.3116660199375</v>
      </c>
      <c r="J279">
        <f ca="1">IF($C279-J$1&lt;År1,0,I278*(1-VLOOKUP($A279,[1]Hugst!$R$5:$W$9,MATCH(ROUNDUP((J$1)/10,0)*10,[1]Hugst!$R$4:$W$4,0))))</f>
        <v>9230.069006939375</v>
      </c>
      <c r="K279">
        <f ca="1">IF($C279-K$1&lt;År1,0,J278*(1-VLOOKUP($A279,[1]Hugst!$R$5:$W$9,MATCH(ROUNDUP((K$1)/10,0)*10,[1]Hugst!$R$4:$W$4,0))))</f>
        <v>9235.8552792202463</v>
      </c>
      <c r="L279">
        <f ca="1">IF($C279-L$1&lt;År1,0,K278*(1-VLOOKUP($A279,[1]Hugst!$R$5:$W$9,MATCH(ROUNDUP((L$1)/10,0)*10,[1]Hugst!$R$4:$W$4,0))))</f>
        <v>9241.6706282462474</v>
      </c>
      <c r="M279">
        <f ca="1">IF($C279-M$1&lt;År1,0,L278*(1-VLOOKUP($A279,[1]Hugst!$R$5:$W$9,MATCH(ROUNDUP((M$1)/10,0)*10,[1]Hugst!$R$4:$W$4,0))))</f>
        <v>9247.5152001316892</v>
      </c>
      <c r="N279">
        <f ca="1">IF($C279-N$1&lt;År1,0,M278*(1-VLOOKUP($A279,[1]Hugst!$R$5:$W$9,MATCH(ROUNDUP((N$1)/10,0)*10,[1]Hugst!$R$4:$W$4,0))))</f>
        <v>9253.3891417251107</v>
      </c>
      <c r="O279">
        <f ca="1">IF($C279-O$1&lt;År1,0,N278*(1-VLOOKUP($A279,[1]Hugst!$R$5:$W$9,MATCH(ROUNDUP((O$1)/10,0)*10,[1]Hugst!$R$4:$W$4,0))))</f>
        <v>9259.2926006129273</v>
      </c>
      <c r="P279">
        <f ca="1">IF($C279-P$1&lt;År1,0,O278*(1-VLOOKUP($A279,[1]Hugst!$R$5:$W$9,MATCH(ROUNDUP((P$1)/10,0)*10,[1]Hugst!$R$4:$W$4,0))))</f>
        <v>9265.2257251232877</v>
      </c>
      <c r="Q279">
        <f ca="1">IF($C279-Q$1&lt;År1,0,P278*(1-VLOOKUP($A279,[1]Hugst!$R$5:$W$9,MATCH(ROUNDUP((Q$1)/10,0)*10,[1]Hugst!$R$4:$W$4,0))))</f>
        <v>9271.1886643297767</v>
      </c>
      <c r="R279">
        <f ca="1">IF($C279-R$1&lt;År1,0,Q278*(1-VLOOKUP($A279,[1]Hugst!$R$5:$W$9,MATCH(ROUNDUP((R$1)/10,0)*10,[1]Hugst!$R$4:$W$4,0))))</f>
        <v>9277.1815680547879</v>
      </c>
      <c r="S279">
        <f ca="1">IF($C279-S$1&lt;År1,0,R278*(1-VLOOKUP($A279,[1]Hugst!$R$5:$W$9,MATCH(ROUNDUP((S$1)/10,0)*10,[1]Hugst!$R$4:$W$4,0))))</f>
        <v>9283.2045868739406</v>
      </c>
      <c r="T279">
        <f ca="1">IF($C279-T$1&lt;År1,0,S278*(1-VLOOKUP($A279,[1]Hugst!$R$5:$W$9,MATCH(ROUNDUP((T$1)/10,0)*10,[1]Hugst!$R$4:$W$4,0))))</f>
        <v>9289.2578721193131</v>
      </c>
      <c r="U279">
        <f ca="1">IF($C279-U$1&lt;År1,0,T278*(1-VLOOKUP($A279,[1]Hugst!$R$5:$W$9,MATCH(ROUNDUP((U$1)/10,0)*10,[1]Hugst!$R$4:$W$4,0))))</f>
        <v>9295.3415758834817</v>
      </c>
      <c r="V279">
        <f ca="1">IF($C279-V$1&lt;År1,0,U278*(1-VLOOKUP($A279,[1]Hugst!$R$5:$W$9,MATCH(ROUNDUP((V$1)/10,0)*10,[1]Hugst!$R$4:$W$4,0))))</f>
        <v>9301.4558510233692</v>
      </c>
      <c r="W279">
        <f ca="1">IF($C279-W$1&lt;År1,0,V278*(1-VLOOKUP($A279,[1]Hugst!$R$5:$W$9,MATCH(ROUNDUP((W$1)/10,0)*10,[1]Hugst!$R$4:$W$4,0))))</f>
        <v>9307.600851163992</v>
      </c>
      <c r="X279">
        <f ca="1">IF($C279-X$1&lt;År1,0,W278*(1-VLOOKUP($A279,[1]Hugst!$R$5:$W$9,MATCH(ROUNDUP((X$1)/10,0)*10,[1]Hugst!$R$4:$W$4,0))))</f>
        <v>9313.7767307022132</v>
      </c>
      <c r="Y279">
        <f ca="1">IF($C279-Y$1&lt;År1,0,X278*(1-VLOOKUP($A279,[1]Hugst!$R$5:$W$9,MATCH(ROUNDUP((Y$1)/10,0)*10,[1]Hugst!$R$4:$W$4,0))))</f>
        <v>10229.785365723956</v>
      </c>
      <c r="Z279">
        <f ca="1">IF($C279-Z$1&lt;År1,0,Y278*(1-VLOOKUP($A279,[1]Hugst!$R$5:$W$9,MATCH(ROUNDUP((Z$1)/10,0)*10,[1]Hugst!$R$4:$W$4,0))))</f>
        <v>10236.023470355884</v>
      </c>
      <c r="AA279">
        <f ca="1">IF($C279-AA$1&lt;År1,0,Z278*(1-VLOOKUP($A279,[1]Hugst!$R$5:$W$9,MATCH(ROUNDUP((AA$1)/10,0)*10,[1]Hugst!$R$4:$W$4,0))))</f>
        <v>10242.292922247385</v>
      </c>
      <c r="AB279">
        <f ca="1">IF($C279-AB$1&lt;År1,0,AA278*(1-VLOOKUP($A279,[1]Hugst!$R$5:$W$9,MATCH(ROUNDUP((AB$1)/10,0)*10,[1]Hugst!$R$4:$W$4,0))))</f>
        <v>10248.593878922191</v>
      </c>
      <c r="AC279">
        <f ca="1">IF($C279-AC$1&lt;År1,0,AB278*(1-VLOOKUP($A279,[1]Hugst!$R$5:$W$9,MATCH(ROUNDUP((AC$1)/10,0)*10,[1]Hugst!$R$4:$W$4,0))))</f>
        <v>10254.92649869587</v>
      </c>
      <c r="AD279">
        <f ca="1">IF($C279-AD$1&lt;År1,0,AC278*(1-VLOOKUP($A279,[1]Hugst!$R$5:$W$9,MATCH(ROUNDUP((AD$1)/10,0)*10,[1]Hugst!$R$4:$W$4,0))))</f>
        <v>10261.290940679468</v>
      </c>
      <c r="AE279">
        <f ca="1">IF($C279-AE$1&lt;År1,0,AD278*(1-VLOOKUP($A279,[1]Hugst!$R$5:$W$9,MATCH(ROUNDUP((AE$1)/10,0)*10,[1]Hugst!$R$4:$W$4,0))))</f>
        <v>10267.687364783602</v>
      </c>
      <c r="AF279">
        <f ca="1">IF($C279-AF$1&lt;År1,0,AE278*(1-VLOOKUP($A279,[1]Hugst!$R$5:$W$9,MATCH(ROUNDUP((AF$1)/10,0)*10,[1]Hugst!$R$4:$W$4,0))))</f>
        <v>10274.115931722426</v>
      </c>
      <c r="AG279">
        <f ca="1">IF($C279-AG$1&lt;År1,0,AF278*(1-VLOOKUP($A279,[1]Hugst!$R$5:$W$9,MATCH(ROUNDUP((AG$1)/10,0)*10,[1]Hugst!$R$4:$W$4,0))))</f>
        <v>10280.576803017731</v>
      </c>
      <c r="AH279">
        <f ca="1">IF($C279-AH$1&lt;År1,0,AG278*(1-VLOOKUP($A279,[1]Hugst!$R$5:$W$9,MATCH(ROUNDUP((AH$1)/10,0)*10,[1]Hugst!$R$4:$W$4,0))))</f>
        <v>10287.070141002918</v>
      </c>
      <c r="AI279">
        <f ca="1">IF($C279-AI$1&lt;År1,0,AH278*(1-VLOOKUP($A279,[1]Hugst!$R$5:$W$9,MATCH(ROUNDUP((AI$1)/10,0)*10,[1]Hugst!$R$4:$W$4,0))))</f>
        <v>10293.596108827296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1122.9679106022595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9201.5687336475276</v>
      </c>
      <c r="G280">
        <f ca="1">IF($C280-G$1&lt;År1,0,F279*(1-VLOOKUP($A280,[1]Hugst!$R$5:$W$9,MATCH(ROUNDUP((G$1)/10,0)*10,[1]Hugst!$R$4:$W$4,0))))</f>
        <v>9207.2117884746513</v>
      </c>
      <c r="H280">
        <f ca="1">IF($C280-H$1&lt;År1,0,G279*(1-VLOOKUP($A280,[1]Hugst!$R$5:$W$9,MATCH(ROUNDUP((H$1)/10,0)*10,[1]Hugst!$R$4:$W$4,0))))</f>
        <v>9212.883200361237</v>
      </c>
      <c r="I280">
        <f ca="1">IF($C280-I$1&lt;År1,0,H279*(1-VLOOKUP($A280,[1]Hugst!$R$5:$W$9,MATCH(ROUNDUP((I$1)/10,0)*10,[1]Hugst!$R$4:$W$4,0))))</f>
        <v>9218.5831118049937</v>
      </c>
      <c r="J280">
        <f ca="1">IF($C280-J$1&lt;År1,0,I279*(1-VLOOKUP($A280,[1]Hugst!$R$5:$W$9,MATCH(ROUNDUP((J$1)/10,0)*10,[1]Hugst!$R$4:$W$4,0))))</f>
        <v>9224.3116660199375</v>
      </c>
      <c r="K280">
        <f ca="1">IF($C280-K$1&lt;År1,0,J279*(1-VLOOKUP($A280,[1]Hugst!$R$5:$W$9,MATCH(ROUNDUP((K$1)/10,0)*10,[1]Hugst!$R$4:$W$4,0))))</f>
        <v>9230.069006939375</v>
      </c>
      <c r="L280">
        <f ca="1">IF($C280-L$1&lt;År1,0,K279*(1-VLOOKUP($A280,[1]Hugst!$R$5:$W$9,MATCH(ROUNDUP((L$1)/10,0)*10,[1]Hugst!$R$4:$W$4,0))))</f>
        <v>9235.8552792202463</v>
      </c>
      <c r="M280">
        <f ca="1">IF($C280-M$1&lt;År1,0,L279*(1-VLOOKUP($A280,[1]Hugst!$R$5:$W$9,MATCH(ROUNDUP((M$1)/10,0)*10,[1]Hugst!$R$4:$W$4,0))))</f>
        <v>9241.6706282462474</v>
      </c>
      <c r="N280">
        <f ca="1">IF($C280-N$1&lt;År1,0,M279*(1-VLOOKUP($A280,[1]Hugst!$R$5:$W$9,MATCH(ROUNDUP((N$1)/10,0)*10,[1]Hugst!$R$4:$W$4,0))))</f>
        <v>9247.5152001316892</v>
      </c>
      <c r="O280">
        <f ca="1">IF($C280-O$1&lt;År1,0,N279*(1-VLOOKUP($A280,[1]Hugst!$R$5:$W$9,MATCH(ROUNDUP((O$1)/10,0)*10,[1]Hugst!$R$4:$W$4,0))))</f>
        <v>9253.3891417251107</v>
      </c>
      <c r="P280">
        <f ca="1">IF($C280-P$1&lt;År1,0,O279*(1-VLOOKUP($A280,[1]Hugst!$R$5:$W$9,MATCH(ROUNDUP((P$1)/10,0)*10,[1]Hugst!$R$4:$W$4,0))))</f>
        <v>9259.2926006129273</v>
      </c>
      <c r="Q280">
        <f ca="1">IF($C280-Q$1&lt;År1,0,P279*(1-VLOOKUP($A280,[1]Hugst!$R$5:$W$9,MATCH(ROUNDUP((Q$1)/10,0)*10,[1]Hugst!$R$4:$W$4,0))))</f>
        <v>9265.2257251232877</v>
      </c>
      <c r="R280">
        <f ca="1">IF($C280-R$1&lt;År1,0,Q279*(1-VLOOKUP($A280,[1]Hugst!$R$5:$W$9,MATCH(ROUNDUP((R$1)/10,0)*10,[1]Hugst!$R$4:$W$4,0))))</f>
        <v>9271.1886643297767</v>
      </c>
      <c r="S280">
        <f ca="1">IF($C280-S$1&lt;År1,0,R279*(1-VLOOKUP($A280,[1]Hugst!$R$5:$W$9,MATCH(ROUNDUP((S$1)/10,0)*10,[1]Hugst!$R$4:$W$4,0))))</f>
        <v>9277.1815680547879</v>
      </c>
      <c r="T280">
        <f ca="1">IF($C280-T$1&lt;År1,0,S279*(1-VLOOKUP($A280,[1]Hugst!$R$5:$W$9,MATCH(ROUNDUP((T$1)/10,0)*10,[1]Hugst!$R$4:$W$4,0))))</f>
        <v>9283.2045868739406</v>
      </c>
      <c r="U280">
        <f ca="1">IF($C280-U$1&lt;År1,0,T279*(1-VLOOKUP($A280,[1]Hugst!$R$5:$W$9,MATCH(ROUNDUP((U$1)/10,0)*10,[1]Hugst!$R$4:$W$4,0))))</f>
        <v>9289.2578721193131</v>
      </c>
      <c r="V280">
        <f ca="1">IF($C280-V$1&lt;År1,0,U279*(1-VLOOKUP($A280,[1]Hugst!$R$5:$W$9,MATCH(ROUNDUP((V$1)/10,0)*10,[1]Hugst!$R$4:$W$4,0))))</f>
        <v>9295.3415758834817</v>
      </c>
      <c r="W280">
        <f ca="1">IF($C280-W$1&lt;År1,0,V279*(1-VLOOKUP($A280,[1]Hugst!$R$5:$W$9,MATCH(ROUNDUP((W$1)/10,0)*10,[1]Hugst!$R$4:$W$4,0))))</f>
        <v>9301.4558510233692</v>
      </c>
      <c r="X280">
        <f ca="1">IF($C280-X$1&lt;År1,0,W279*(1-VLOOKUP($A280,[1]Hugst!$R$5:$W$9,MATCH(ROUNDUP((X$1)/10,0)*10,[1]Hugst!$R$4:$W$4,0))))</f>
        <v>9307.600851163992</v>
      </c>
      <c r="Y280">
        <f ca="1">IF($C280-Y$1&lt;År1,0,X279*(1-VLOOKUP($A280,[1]Hugst!$R$5:$W$9,MATCH(ROUNDUP((Y$1)/10,0)*10,[1]Hugst!$R$4:$W$4,0))))</f>
        <v>9313.7767307022132</v>
      </c>
      <c r="Z280">
        <f ca="1">IF($C280-Z$1&lt;År1,0,Y279*(1-VLOOKUP($A280,[1]Hugst!$R$5:$W$9,MATCH(ROUNDUP((Z$1)/10,0)*10,[1]Hugst!$R$4:$W$4,0))))</f>
        <v>10229.785365723956</v>
      </c>
      <c r="AA280">
        <f ca="1">IF($C280-AA$1&lt;År1,0,Z279*(1-VLOOKUP($A280,[1]Hugst!$R$5:$W$9,MATCH(ROUNDUP((AA$1)/10,0)*10,[1]Hugst!$R$4:$W$4,0))))</f>
        <v>10236.023470355884</v>
      </c>
      <c r="AB280">
        <f ca="1">IF($C280-AB$1&lt;År1,0,AA279*(1-VLOOKUP($A280,[1]Hugst!$R$5:$W$9,MATCH(ROUNDUP((AB$1)/10,0)*10,[1]Hugst!$R$4:$W$4,0))))</f>
        <v>10242.292922247385</v>
      </c>
      <c r="AC280">
        <f ca="1">IF($C280-AC$1&lt;År1,0,AB279*(1-VLOOKUP($A280,[1]Hugst!$R$5:$W$9,MATCH(ROUNDUP((AC$1)/10,0)*10,[1]Hugst!$R$4:$W$4,0))))</f>
        <v>10248.593878922191</v>
      </c>
      <c r="AD280">
        <f ca="1">IF($C280-AD$1&lt;År1,0,AC279*(1-VLOOKUP($A280,[1]Hugst!$R$5:$W$9,MATCH(ROUNDUP((AD$1)/10,0)*10,[1]Hugst!$R$4:$W$4,0))))</f>
        <v>10254.92649869587</v>
      </c>
      <c r="AE280">
        <f ca="1">IF($C280-AE$1&lt;År1,0,AD279*(1-VLOOKUP($A280,[1]Hugst!$R$5:$W$9,MATCH(ROUNDUP((AE$1)/10,0)*10,[1]Hugst!$R$4:$W$4,0))))</f>
        <v>10261.290940679468</v>
      </c>
      <c r="AF280">
        <f ca="1">IF($C280-AF$1&lt;År1,0,AE279*(1-VLOOKUP($A280,[1]Hugst!$R$5:$W$9,MATCH(ROUNDUP((AF$1)/10,0)*10,[1]Hugst!$R$4:$W$4,0))))</f>
        <v>10267.687364783602</v>
      </c>
      <c r="AG280">
        <f ca="1">IF($C280-AG$1&lt;År1,0,AF279*(1-VLOOKUP($A280,[1]Hugst!$R$5:$W$9,MATCH(ROUNDUP((AG$1)/10,0)*10,[1]Hugst!$R$4:$W$4,0))))</f>
        <v>10274.115931722426</v>
      </c>
      <c r="AH280">
        <f ca="1">IF($C280-AH$1&lt;År1,0,AG279*(1-VLOOKUP($A280,[1]Hugst!$R$5:$W$9,MATCH(ROUNDUP((AH$1)/10,0)*10,[1]Hugst!$R$4:$W$4,0))))</f>
        <v>10280.576803017731</v>
      </c>
      <c r="AI280">
        <f ca="1">IF($C280-AI$1&lt;År1,0,AH279*(1-VLOOKUP($A280,[1]Hugst!$R$5:$W$9,MATCH(ROUNDUP((AI$1)/10,0)*10,[1]Hugst!$R$4:$W$4,0))))</f>
        <v>10287.070141002918</v>
      </c>
      <c r="AJ280">
        <f ca="1">IF($C280-AJ$1&lt;År1,0,AI279*(1-VLOOKUP($A280,[1]Hugst!$R$5:$W$9,MATCH(ROUNDUP((AJ$1)/10,0)*10,[1]Hugst!$R$4:$W$4,0))))</f>
        <v>10293.596108827296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382.03643513080607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1747.16924470806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380.12625295515164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1745.2590625324056</v>
      </c>
      <c r="G282">
        <f ca="1">IF($C282-G$1&lt;År1,0,F281*(1-VLOOKUP($A282,[1]Hugst!$R$5:$W$9,MATCH(ROUNDUP((G$1)/10,0)*10,[1]Hugst!$R$4:$W$4,0))))</f>
        <v>1747.16924470806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378.22562169037712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1743.3584312676312</v>
      </c>
      <c r="G283">
        <f ca="1">IF($C283-G$1&lt;År1,0,F282*(1-VLOOKUP($A283,[1]Hugst!$R$5:$W$9,MATCH(ROUNDUP((G$1)/10,0)*10,[1]Hugst!$R$4:$W$4,0))))</f>
        <v>1745.2590625324056</v>
      </c>
      <c r="H283">
        <f ca="1">IF($C283-H$1&lt;År1,0,G282*(1-VLOOKUP($A283,[1]Hugst!$R$5:$W$9,MATCH(ROUNDUP((H$1)/10,0)*10,[1]Hugst!$R$4:$W$4,0))))</f>
        <v>1747.16924470806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376.33449358191569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1741.4673031591697</v>
      </c>
      <c r="G284">
        <f ca="1">IF($C284-G$1&lt;År1,0,F283*(1-VLOOKUP($A284,[1]Hugst!$R$5:$W$9,MATCH(ROUNDUP((G$1)/10,0)*10,[1]Hugst!$R$4:$W$4,0))))</f>
        <v>1743.3584312676312</v>
      </c>
      <c r="H284">
        <f ca="1">IF($C284-H$1&lt;År1,0,G283*(1-VLOOKUP($A284,[1]Hugst!$R$5:$W$9,MATCH(ROUNDUP((H$1)/10,0)*10,[1]Hugst!$R$4:$W$4,0))))</f>
        <v>1745.2590625324056</v>
      </c>
      <c r="I284">
        <f ca="1">IF($C284-I$1&lt;År1,0,H283*(1-VLOOKUP($A284,[1]Hugst!$R$5:$W$9,MATCH(ROUNDUP((I$1)/10,0)*10,[1]Hugst!$R$4:$W$4,0))))</f>
        <v>1747.16924470806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374.45282111401593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1739.5856306912699</v>
      </c>
      <c r="G285">
        <f ca="1">IF($C285-G$1&lt;År1,0,F284*(1-VLOOKUP($A285,[1]Hugst!$R$5:$W$9,MATCH(ROUNDUP((G$1)/10,0)*10,[1]Hugst!$R$4:$W$4,0))))</f>
        <v>1741.4673031591697</v>
      </c>
      <c r="H285">
        <f ca="1">IF($C285-H$1&lt;År1,0,G284*(1-VLOOKUP($A285,[1]Hugst!$R$5:$W$9,MATCH(ROUNDUP((H$1)/10,0)*10,[1]Hugst!$R$4:$W$4,0))))</f>
        <v>1743.3584312676312</v>
      </c>
      <c r="I285">
        <f ca="1">IF($C285-I$1&lt;År1,0,H284*(1-VLOOKUP($A285,[1]Hugst!$R$5:$W$9,MATCH(ROUNDUP((I$1)/10,0)*10,[1]Hugst!$R$4:$W$4,0))))</f>
        <v>1745.2590625324056</v>
      </c>
      <c r="J285">
        <f ca="1">IF($C285-J$1&lt;År1,0,I284*(1-VLOOKUP($A285,[1]Hugst!$R$5:$W$9,MATCH(ROUNDUP((J$1)/10,0)*10,[1]Hugst!$R$4:$W$4,0))))</f>
        <v>1747.16924470806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372.58055700843988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1737.7133665856938</v>
      </c>
      <c r="G286">
        <f ca="1">IF($C286-G$1&lt;År1,0,F285*(1-VLOOKUP($A286,[1]Hugst!$R$5:$W$9,MATCH(ROUNDUP((G$1)/10,0)*10,[1]Hugst!$R$4:$W$4,0))))</f>
        <v>1739.5856306912699</v>
      </c>
      <c r="H286">
        <f ca="1">IF($C286-H$1&lt;År1,0,G285*(1-VLOOKUP($A286,[1]Hugst!$R$5:$W$9,MATCH(ROUNDUP((H$1)/10,0)*10,[1]Hugst!$R$4:$W$4,0))))</f>
        <v>1741.4673031591697</v>
      </c>
      <c r="I286">
        <f ca="1">IF($C286-I$1&lt;År1,0,H285*(1-VLOOKUP($A286,[1]Hugst!$R$5:$W$9,MATCH(ROUNDUP((I$1)/10,0)*10,[1]Hugst!$R$4:$W$4,0))))</f>
        <v>1743.3584312676312</v>
      </c>
      <c r="J286">
        <f ca="1">IF($C286-J$1&lt;År1,0,I285*(1-VLOOKUP($A286,[1]Hugst!$R$5:$W$9,MATCH(ROUNDUP((J$1)/10,0)*10,[1]Hugst!$R$4:$W$4,0))))</f>
        <v>1745.2590625324056</v>
      </c>
      <c r="K286">
        <f ca="1">IF($C286-K$1&lt;År1,0,J285*(1-VLOOKUP($A286,[1]Hugst!$R$5:$W$9,MATCH(ROUNDUP((K$1)/10,0)*10,[1]Hugst!$R$4:$W$4,0))))</f>
        <v>1747.16924470806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370.71765422341423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1735.8504638006682</v>
      </c>
      <c r="G287">
        <f ca="1">IF($C287-G$1&lt;År1,0,F286*(1-VLOOKUP($A287,[1]Hugst!$R$5:$W$9,MATCH(ROUNDUP((G$1)/10,0)*10,[1]Hugst!$R$4:$W$4,0))))</f>
        <v>1737.7133665856938</v>
      </c>
      <c r="H287">
        <f ca="1">IF($C287-H$1&lt;År1,0,G286*(1-VLOOKUP($A287,[1]Hugst!$R$5:$W$9,MATCH(ROUNDUP((H$1)/10,0)*10,[1]Hugst!$R$4:$W$4,0))))</f>
        <v>1739.5856306912699</v>
      </c>
      <c r="I287">
        <f ca="1">IF($C287-I$1&lt;År1,0,H286*(1-VLOOKUP($A287,[1]Hugst!$R$5:$W$9,MATCH(ROUNDUP((I$1)/10,0)*10,[1]Hugst!$R$4:$W$4,0))))</f>
        <v>1741.4673031591697</v>
      </c>
      <c r="J287">
        <f ca="1">IF($C287-J$1&lt;År1,0,I286*(1-VLOOKUP($A287,[1]Hugst!$R$5:$W$9,MATCH(ROUNDUP((J$1)/10,0)*10,[1]Hugst!$R$4:$W$4,0))))</f>
        <v>1743.3584312676312</v>
      </c>
      <c r="K287">
        <f ca="1">IF($C287-K$1&lt;År1,0,J286*(1-VLOOKUP($A287,[1]Hugst!$R$5:$W$9,MATCH(ROUNDUP((K$1)/10,0)*10,[1]Hugst!$R$4:$W$4,0))))</f>
        <v>1745.2590625324056</v>
      </c>
      <c r="L287">
        <f ca="1">IF($C287-L$1&lt;År1,0,K286*(1-VLOOKUP($A287,[1]Hugst!$R$5:$W$9,MATCH(ROUNDUP((L$1)/10,0)*10,[1]Hugst!$R$4:$W$4,0))))</f>
        <v>1747.16924470806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368.86406595227891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1733.9968755295329</v>
      </c>
      <c r="G288">
        <f ca="1">IF($C288-G$1&lt;År1,0,F287*(1-VLOOKUP($A288,[1]Hugst!$R$5:$W$9,MATCH(ROUNDUP((G$1)/10,0)*10,[1]Hugst!$R$4:$W$4,0))))</f>
        <v>1735.8504638006682</v>
      </c>
      <c r="H288">
        <f ca="1">IF($C288-H$1&lt;År1,0,G287*(1-VLOOKUP($A288,[1]Hugst!$R$5:$W$9,MATCH(ROUNDUP((H$1)/10,0)*10,[1]Hugst!$R$4:$W$4,0))))</f>
        <v>1737.7133665856938</v>
      </c>
      <c r="I288">
        <f ca="1">IF($C288-I$1&lt;År1,0,H287*(1-VLOOKUP($A288,[1]Hugst!$R$5:$W$9,MATCH(ROUNDUP((I$1)/10,0)*10,[1]Hugst!$R$4:$W$4,0))))</f>
        <v>1739.5856306912699</v>
      </c>
      <c r="J288">
        <f ca="1">IF($C288-J$1&lt;År1,0,I287*(1-VLOOKUP($A288,[1]Hugst!$R$5:$W$9,MATCH(ROUNDUP((J$1)/10,0)*10,[1]Hugst!$R$4:$W$4,0))))</f>
        <v>1741.4673031591697</v>
      </c>
      <c r="K288">
        <f ca="1">IF($C288-K$1&lt;År1,0,J287*(1-VLOOKUP($A288,[1]Hugst!$R$5:$W$9,MATCH(ROUNDUP((K$1)/10,0)*10,[1]Hugst!$R$4:$W$4,0))))</f>
        <v>1743.3584312676312</v>
      </c>
      <c r="L288">
        <f ca="1">IF($C288-L$1&lt;År1,0,K287*(1-VLOOKUP($A288,[1]Hugst!$R$5:$W$9,MATCH(ROUNDUP((L$1)/10,0)*10,[1]Hugst!$R$4:$W$4,0))))</f>
        <v>1745.2590625324056</v>
      </c>
      <c r="M288">
        <f ca="1">IF($C288-M$1&lt;År1,0,L287*(1-VLOOKUP($A288,[1]Hugst!$R$5:$W$9,MATCH(ROUNDUP((M$1)/10,0)*10,[1]Hugst!$R$4:$W$4,0))))</f>
        <v>1747.16924470806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367.01974562252553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1732.1525551997795</v>
      </c>
      <c r="G289">
        <f ca="1">IF($C289-G$1&lt;År1,0,F288*(1-VLOOKUP($A289,[1]Hugst!$R$5:$W$9,MATCH(ROUNDUP((G$1)/10,0)*10,[1]Hugst!$R$4:$W$4,0))))</f>
        <v>1733.9968755295329</v>
      </c>
      <c r="H289">
        <f ca="1">IF($C289-H$1&lt;År1,0,G288*(1-VLOOKUP($A289,[1]Hugst!$R$5:$W$9,MATCH(ROUNDUP((H$1)/10,0)*10,[1]Hugst!$R$4:$W$4,0))))</f>
        <v>1735.8504638006682</v>
      </c>
      <c r="I289">
        <f ca="1">IF($C289-I$1&lt;År1,0,H288*(1-VLOOKUP($A289,[1]Hugst!$R$5:$W$9,MATCH(ROUNDUP((I$1)/10,0)*10,[1]Hugst!$R$4:$W$4,0))))</f>
        <v>1737.7133665856938</v>
      </c>
      <c r="J289">
        <f ca="1">IF($C289-J$1&lt;År1,0,I288*(1-VLOOKUP($A289,[1]Hugst!$R$5:$W$9,MATCH(ROUNDUP((J$1)/10,0)*10,[1]Hugst!$R$4:$W$4,0))))</f>
        <v>1739.5856306912699</v>
      </c>
      <c r="K289">
        <f ca="1">IF($C289-K$1&lt;År1,0,J288*(1-VLOOKUP($A289,[1]Hugst!$R$5:$W$9,MATCH(ROUNDUP((K$1)/10,0)*10,[1]Hugst!$R$4:$W$4,0))))</f>
        <v>1741.4673031591697</v>
      </c>
      <c r="L289">
        <f ca="1">IF($C289-L$1&lt;År1,0,K288*(1-VLOOKUP($A289,[1]Hugst!$R$5:$W$9,MATCH(ROUNDUP((L$1)/10,0)*10,[1]Hugst!$R$4:$W$4,0))))</f>
        <v>1743.3584312676312</v>
      </c>
      <c r="M289">
        <f ca="1">IF($C289-M$1&lt;År1,0,L288*(1-VLOOKUP($A289,[1]Hugst!$R$5:$W$9,MATCH(ROUNDUP((M$1)/10,0)*10,[1]Hugst!$R$4:$W$4,0))))</f>
        <v>1745.2590625324056</v>
      </c>
      <c r="N289">
        <f ca="1">IF($C289-N$1&lt;År1,0,M288*(1-VLOOKUP($A289,[1]Hugst!$R$5:$W$9,MATCH(ROUNDUP((N$1)/10,0)*10,[1]Hugst!$R$4:$W$4,0))))</f>
        <v>1747.16924470806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365.18464689441043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1730.3174564716644</v>
      </c>
      <c r="G290">
        <f ca="1">IF($C290-G$1&lt;År1,0,F289*(1-VLOOKUP($A290,[1]Hugst!$R$5:$W$9,MATCH(ROUNDUP((G$1)/10,0)*10,[1]Hugst!$R$4:$W$4,0))))</f>
        <v>1732.1525551997795</v>
      </c>
      <c r="H290">
        <f ca="1">IF($C290-H$1&lt;År1,0,G289*(1-VLOOKUP($A290,[1]Hugst!$R$5:$W$9,MATCH(ROUNDUP((H$1)/10,0)*10,[1]Hugst!$R$4:$W$4,0))))</f>
        <v>1733.9968755295329</v>
      </c>
      <c r="I290">
        <f ca="1">IF($C290-I$1&lt;År1,0,H289*(1-VLOOKUP($A290,[1]Hugst!$R$5:$W$9,MATCH(ROUNDUP((I$1)/10,0)*10,[1]Hugst!$R$4:$W$4,0))))</f>
        <v>1735.8504638006682</v>
      </c>
      <c r="J290">
        <f ca="1">IF($C290-J$1&lt;År1,0,I289*(1-VLOOKUP($A290,[1]Hugst!$R$5:$W$9,MATCH(ROUNDUP((J$1)/10,0)*10,[1]Hugst!$R$4:$W$4,0))))</f>
        <v>1737.7133665856938</v>
      </c>
      <c r="K290">
        <f ca="1">IF($C290-K$1&lt;År1,0,J289*(1-VLOOKUP($A290,[1]Hugst!$R$5:$W$9,MATCH(ROUNDUP((K$1)/10,0)*10,[1]Hugst!$R$4:$W$4,0))))</f>
        <v>1739.5856306912699</v>
      </c>
      <c r="L290">
        <f ca="1">IF($C290-L$1&lt;År1,0,K289*(1-VLOOKUP($A290,[1]Hugst!$R$5:$W$9,MATCH(ROUNDUP((L$1)/10,0)*10,[1]Hugst!$R$4:$W$4,0))))</f>
        <v>1741.4673031591697</v>
      </c>
      <c r="M290">
        <f ca="1">IF($C290-M$1&lt;År1,0,L289*(1-VLOOKUP($A290,[1]Hugst!$R$5:$W$9,MATCH(ROUNDUP((M$1)/10,0)*10,[1]Hugst!$R$4:$W$4,0))))</f>
        <v>1743.3584312676312</v>
      </c>
      <c r="N290">
        <f ca="1">IF($C290-N$1&lt;År1,0,M289*(1-VLOOKUP($A290,[1]Hugst!$R$5:$W$9,MATCH(ROUNDUP((N$1)/10,0)*10,[1]Hugst!$R$4:$W$4,0))))</f>
        <v>1745.2590625324056</v>
      </c>
      <c r="O290">
        <f ca="1">IF($C290-O$1&lt;År1,0,N289*(1-VLOOKUP($A290,[1]Hugst!$R$5:$W$9,MATCH(ROUNDUP((O$1)/10,0)*10,[1]Hugst!$R$4:$W$4,0))))</f>
        <v>1747.16924470806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363.35872365994737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1728.4915332372013</v>
      </c>
      <c r="G291">
        <f ca="1">IF($C291-G$1&lt;År1,0,F290*(1-VLOOKUP($A291,[1]Hugst!$R$5:$W$9,MATCH(ROUNDUP((G$1)/10,0)*10,[1]Hugst!$R$4:$W$4,0))))</f>
        <v>1730.3174564716644</v>
      </c>
      <c r="H291">
        <f ca="1">IF($C291-H$1&lt;År1,0,G290*(1-VLOOKUP($A291,[1]Hugst!$R$5:$W$9,MATCH(ROUNDUP((H$1)/10,0)*10,[1]Hugst!$R$4:$W$4,0))))</f>
        <v>1732.1525551997795</v>
      </c>
      <c r="I291">
        <f ca="1">IF($C291-I$1&lt;År1,0,H290*(1-VLOOKUP($A291,[1]Hugst!$R$5:$W$9,MATCH(ROUNDUP((I$1)/10,0)*10,[1]Hugst!$R$4:$W$4,0))))</f>
        <v>1733.9968755295329</v>
      </c>
      <c r="J291">
        <f ca="1">IF($C291-J$1&lt;År1,0,I290*(1-VLOOKUP($A291,[1]Hugst!$R$5:$W$9,MATCH(ROUNDUP((J$1)/10,0)*10,[1]Hugst!$R$4:$W$4,0))))</f>
        <v>1735.8504638006682</v>
      </c>
      <c r="K291">
        <f ca="1">IF($C291-K$1&lt;År1,0,J290*(1-VLOOKUP($A291,[1]Hugst!$R$5:$W$9,MATCH(ROUNDUP((K$1)/10,0)*10,[1]Hugst!$R$4:$W$4,0))))</f>
        <v>1737.7133665856938</v>
      </c>
      <c r="L291">
        <f ca="1">IF($C291-L$1&lt;År1,0,K290*(1-VLOOKUP($A291,[1]Hugst!$R$5:$W$9,MATCH(ROUNDUP((L$1)/10,0)*10,[1]Hugst!$R$4:$W$4,0))))</f>
        <v>1739.5856306912699</v>
      </c>
      <c r="M291">
        <f ca="1">IF($C291-M$1&lt;År1,0,L290*(1-VLOOKUP($A291,[1]Hugst!$R$5:$W$9,MATCH(ROUNDUP((M$1)/10,0)*10,[1]Hugst!$R$4:$W$4,0))))</f>
        <v>1741.4673031591697</v>
      </c>
      <c r="N291">
        <f ca="1">IF($C291-N$1&lt;År1,0,M290*(1-VLOOKUP($A291,[1]Hugst!$R$5:$W$9,MATCH(ROUNDUP((N$1)/10,0)*10,[1]Hugst!$R$4:$W$4,0))))</f>
        <v>1743.3584312676312</v>
      </c>
      <c r="O291">
        <f ca="1">IF($C291-O$1&lt;År1,0,N290*(1-VLOOKUP($A291,[1]Hugst!$R$5:$W$9,MATCH(ROUNDUP((O$1)/10,0)*10,[1]Hugst!$R$4:$W$4,0))))</f>
        <v>1745.2590625324056</v>
      </c>
      <c r="P291">
        <f ca="1">IF($C291-P$1&lt;År1,0,O290*(1-VLOOKUP($A291,[1]Hugst!$R$5:$W$9,MATCH(ROUNDUP((P$1)/10,0)*10,[1]Hugst!$R$4:$W$4,0))))</f>
        <v>1747.16924470806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361.54193004162789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1588.4966625519155</v>
      </c>
      <c r="G292">
        <f ca="1">IF($C292-G$1&lt;År1,0,F291*(1-VLOOKUP($A292,[1]Hugst!$R$5:$W$9,MATCH(ROUNDUP((G$1)/10,0)*10,[1]Hugst!$R$4:$W$4,0))))</f>
        <v>1728.4915332372013</v>
      </c>
      <c r="H292">
        <f ca="1">IF($C292-H$1&lt;År1,0,G291*(1-VLOOKUP($A292,[1]Hugst!$R$5:$W$9,MATCH(ROUNDUP((H$1)/10,0)*10,[1]Hugst!$R$4:$W$4,0))))</f>
        <v>1730.3174564716644</v>
      </c>
      <c r="I292">
        <f ca="1">IF($C292-I$1&lt;År1,0,H291*(1-VLOOKUP($A292,[1]Hugst!$R$5:$W$9,MATCH(ROUNDUP((I$1)/10,0)*10,[1]Hugst!$R$4:$W$4,0))))</f>
        <v>1732.1525551997795</v>
      </c>
      <c r="J292">
        <f ca="1">IF($C292-J$1&lt;År1,0,I291*(1-VLOOKUP($A292,[1]Hugst!$R$5:$W$9,MATCH(ROUNDUP((J$1)/10,0)*10,[1]Hugst!$R$4:$W$4,0))))</f>
        <v>1733.9968755295329</v>
      </c>
      <c r="K292">
        <f ca="1">IF($C292-K$1&lt;År1,0,J291*(1-VLOOKUP($A292,[1]Hugst!$R$5:$W$9,MATCH(ROUNDUP((K$1)/10,0)*10,[1]Hugst!$R$4:$W$4,0))))</f>
        <v>1735.8504638006682</v>
      </c>
      <c r="L292">
        <f ca="1">IF($C292-L$1&lt;År1,0,K291*(1-VLOOKUP($A292,[1]Hugst!$R$5:$W$9,MATCH(ROUNDUP((L$1)/10,0)*10,[1]Hugst!$R$4:$W$4,0))))</f>
        <v>1737.7133665856938</v>
      </c>
      <c r="M292">
        <f ca="1">IF($C292-M$1&lt;År1,0,L291*(1-VLOOKUP($A292,[1]Hugst!$R$5:$W$9,MATCH(ROUNDUP((M$1)/10,0)*10,[1]Hugst!$R$4:$W$4,0))))</f>
        <v>1739.5856306912699</v>
      </c>
      <c r="N292">
        <f ca="1">IF($C292-N$1&lt;År1,0,M291*(1-VLOOKUP($A292,[1]Hugst!$R$5:$W$9,MATCH(ROUNDUP((N$1)/10,0)*10,[1]Hugst!$R$4:$W$4,0))))</f>
        <v>1741.4673031591697</v>
      </c>
      <c r="O292">
        <f ca="1">IF($C292-O$1&lt;År1,0,N291*(1-VLOOKUP($A292,[1]Hugst!$R$5:$W$9,MATCH(ROUNDUP((O$1)/10,0)*10,[1]Hugst!$R$4:$W$4,0))))</f>
        <v>1743.3584312676312</v>
      </c>
      <c r="P292">
        <f ca="1">IF($C292-P$1&lt;År1,0,O291*(1-VLOOKUP($A292,[1]Hugst!$R$5:$W$9,MATCH(ROUNDUP((P$1)/10,0)*10,[1]Hugst!$R$4:$W$4,0))))</f>
        <v>1745.2590625324056</v>
      </c>
      <c r="Q292">
        <f ca="1">IF($C292-Q$1&lt;År1,0,P291*(1-VLOOKUP($A292,[1]Hugst!$R$5:$W$9,MATCH(ROUNDUP((Q$1)/10,0)*10,[1]Hugst!$R$4:$W$4,0))))</f>
        <v>1747.16924470806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359.73422039143315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1586.6889529017208</v>
      </c>
      <c r="G293">
        <f ca="1">IF($C293-G$1&lt;År1,0,F292*(1-VLOOKUP($A293,[1]Hugst!$R$5:$W$9,MATCH(ROUNDUP((G$1)/10,0)*10,[1]Hugst!$R$4:$W$4,0))))</f>
        <v>1588.4966625519155</v>
      </c>
      <c r="H293">
        <f ca="1">IF($C293-H$1&lt;År1,0,G292*(1-VLOOKUP($A293,[1]Hugst!$R$5:$W$9,MATCH(ROUNDUP((H$1)/10,0)*10,[1]Hugst!$R$4:$W$4,0))))</f>
        <v>1728.4915332372013</v>
      </c>
      <c r="I293">
        <f ca="1">IF($C293-I$1&lt;År1,0,H292*(1-VLOOKUP($A293,[1]Hugst!$R$5:$W$9,MATCH(ROUNDUP((I$1)/10,0)*10,[1]Hugst!$R$4:$W$4,0))))</f>
        <v>1730.3174564716644</v>
      </c>
      <c r="J293">
        <f ca="1">IF($C293-J$1&lt;År1,0,I292*(1-VLOOKUP($A293,[1]Hugst!$R$5:$W$9,MATCH(ROUNDUP((J$1)/10,0)*10,[1]Hugst!$R$4:$W$4,0))))</f>
        <v>1732.1525551997795</v>
      </c>
      <c r="K293">
        <f ca="1">IF($C293-K$1&lt;År1,0,J292*(1-VLOOKUP($A293,[1]Hugst!$R$5:$W$9,MATCH(ROUNDUP((K$1)/10,0)*10,[1]Hugst!$R$4:$W$4,0))))</f>
        <v>1733.9968755295329</v>
      </c>
      <c r="L293">
        <f ca="1">IF($C293-L$1&lt;År1,0,K292*(1-VLOOKUP($A293,[1]Hugst!$R$5:$W$9,MATCH(ROUNDUP((L$1)/10,0)*10,[1]Hugst!$R$4:$W$4,0))))</f>
        <v>1735.8504638006682</v>
      </c>
      <c r="M293">
        <f ca="1">IF($C293-M$1&lt;År1,0,L292*(1-VLOOKUP($A293,[1]Hugst!$R$5:$W$9,MATCH(ROUNDUP((M$1)/10,0)*10,[1]Hugst!$R$4:$W$4,0))))</f>
        <v>1737.7133665856938</v>
      </c>
      <c r="N293">
        <f ca="1">IF($C293-N$1&lt;År1,0,M292*(1-VLOOKUP($A293,[1]Hugst!$R$5:$W$9,MATCH(ROUNDUP((N$1)/10,0)*10,[1]Hugst!$R$4:$W$4,0))))</f>
        <v>1739.5856306912699</v>
      </c>
      <c r="O293">
        <f ca="1">IF($C293-O$1&lt;År1,0,N292*(1-VLOOKUP($A293,[1]Hugst!$R$5:$W$9,MATCH(ROUNDUP((O$1)/10,0)*10,[1]Hugst!$R$4:$W$4,0))))</f>
        <v>1741.4673031591697</v>
      </c>
      <c r="P293">
        <f ca="1">IF($C293-P$1&lt;År1,0,O292*(1-VLOOKUP($A293,[1]Hugst!$R$5:$W$9,MATCH(ROUNDUP((P$1)/10,0)*10,[1]Hugst!$R$4:$W$4,0))))</f>
        <v>1743.3584312676312</v>
      </c>
      <c r="Q293">
        <f ca="1">IF($C293-Q$1&lt;År1,0,P292*(1-VLOOKUP($A293,[1]Hugst!$R$5:$W$9,MATCH(ROUNDUP((Q$1)/10,0)*10,[1]Hugst!$R$4:$W$4,0))))</f>
        <v>1745.2590625324056</v>
      </c>
      <c r="R293">
        <f ca="1">IF($C293-R$1&lt;År1,0,Q292*(1-VLOOKUP($A293,[1]Hugst!$R$5:$W$9,MATCH(ROUNDUP((R$1)/10,0)*10,[1]Hugst!$R$4:$W$4,0))))</f>
        <v>1747.16924470806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357.93554928947106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1584.8902817997587</v>
      </c>
      <c r="G294">
        <f ca="1">IF($C294-G$1&lt;År1,0,F293*(1-VLOOKUP($A294,[1]Hugst!$R$5:$W$9,MATCH(ROUNDUP((G$1)/10,0)*10,[1]Hugst!$R$4:$W$4,0))))</f>
        <v>1586.6889529017208</v>
      </c>
      <c r="H294">
        <f ca="1">IF($C294-H$1&lt;År1,0,G293*(1-VLOOKUP($A294,[1]Hugst!$R$5:$W$9,MATCH(ROUNDUP((H$1)/10,0)*10,[1]Hugst!$R$4:$W$4,0))))</f>
        <v>1588.4966625519155</v>
      </c>
      <c r="I294">
        <f ca="1">IF($C294-I$1&lt;År1,0,H293*(1-VLOOKUP($A294,[1]Hugst!$R$5:$W$9,MATCH(ROUNDUP((I$1)/10,0)*10,[1]Hugst!$R$4:$W$4,0))))</f>
        <v>1728.4915332372013</v>
      </c>
      <c r="J294">
        <f ca="1">IF($C294-J$1&lt;År1,0,I293*(1-VLOOKUP($A294,[1]Hugst!$R$5:$W$9,MATCH(ROUNDUP((J$1)/10,0)*10,[1]Hugst!$R$4:$W$4,0))))</f>
        <v>1730.3174564716644</v>
      </c>
      <c r="K294">
        <f ca="1">IF($C294-K$1&lt;År1,0,J293*(1-VLOOKUP($A294,[1]Hugst!$R$5:$W$9,MATCH(ROUNDUP((K$1)/10,0)*10,[1]Hugst!$R$4:$W$4,0))))</f>
        <v>1732.1525551997795</v>
      </c>
      <c r="L294">
        <f ca="1">IF($C294-L$1&lt;År1,0,K293*(1-VLOOKUP($A294,[1]Hugst!$R$5:$W$9,MATCH(ROUNDUP((L$1)/10,0)*10,[1]Hugst!$R$4:$W$4,0))))</f>
        <v>1733.9968755295329</v>
      </c>
      <c r="M294">
        <f ca="1">IF($C294-M$1&lt;År1,0,L293*(1-VLOOKUP($A294,[1]Hugst!$R$5:$W$9,MATCH(ROUNDUP((M$1)/10,0)*10,[1]Hugst!$R$4:$W$4,0))))</f>
        <v>1735.8504638006682</v>
      </c>
      <c r="N294">
        <f ca="1">IF($C294-N$1&lt;År1,0,M293*(1-VLOOKUP($A294,[1]Hugst!$R$5:$W$9,MATCH(ROUNDUP((N$1)/10,0)*10,[1]Hugst!$R$4:$W$4,0))))</f>
        <v>1737.7133665856938</v>
      </c>
      <c r="O294">
        <f ca="1">IF($C294-O$1&lt;År1,0,N293*(1-VLOOKUP($A294,[1]Hugst!$R$5:$W$9,MATCH(ROUNDUP((O$1)/10,0)*10,[1]Hugst!$R$4:$W$4,0))))</f>
        <v>1739.5856306912699</v>
      </c>
      <c r="P294">
        <f ca="1">IF($C294-P$1&lt;År1,0,O293*(1-VLOOKUP($A294,[1]Hugst!$R$5:$W$9,MATCH(ROUNDUP((P$1)/10,0)*10,[1]Hugst!$R$4:$W$4,0))))</f>
        <v>1741.4673031591697</v>
      </c>
      <c r="Q294">
        <f ca="1">IF($C294-Q$1&lt;År1,0,P293*(1-VLOOKUP($A294,[1]Hugst!$R$5:$W$9,MATCH(ROUNDUP((Q$1)/10,0)*10,[1]Hugst!$R$4:$W$4,0))))</f>
        <v>1743.3584312676312</v>
      </c>
      <c r="R294">
        <f ca="1">IF($C294-R$1&lt;År1,0,Q293*(1-VLOOKUP($A294,[1]Hugst!$R$5:$W$9,MATCH(ROUNDUP((R$1)/10,0)*10,[1]Hugst!$R$4:$W$4,0))))</f>
        <v>1745.2590625324056</v>
      </c>
      <c r="S294">
        <f ca="1">IF($C294-S$1&lt;År1,0,R293*(1-VLOOKUP($A294,[1]Hugst!$R$5:$W$9,MATCH(ROUNDUP((S$1)/10,0)*10,[1]Hugst!$R$4:$W$4,0))))</f>
        <v>1747.16924470806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356.14587154302626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1583.1006040533139</v>
      </c>
      <c r="G295">
        <f ca="1">IF($C295-G$1&lt;År1,0,F294*(1-VLOOKUP($A295,[1]Hugst!$R$5:$W$9,MATCH(ROUNDUP((G$1)/10,0)*10,[1]Hugst!$R$4:$W$4,0))))</f>
        <v>1584.8902817997587</v>
      </c>
      <c r="H295">
        <f ca="1">IF($C295-H$1&lt;År1,0,G294*(1-VLOOKUP($A295,[1]Hugst!$R$5:$W$9,MATCH(ROUNDUP((H$1)/10,0)*10,[1]Hugst!$R$4:$W$4,0))))</f>
        <v>1586.6889529017208</v>
      </c>
      <c r="I295">
        <f ca="1">IF($C295-I$1&lt;År1,0,H294*(1-VLOOKUP($A295,[1]Hugst!$R$5:$W$9,MATCH(ROUNDUP((I$1)/10,0)*10,[1]Hugst!$R$4:$W$4,0))))</f>
        <v>1588.4966625519155</v>
      </c>
      <c r="J295">
        <f ca="1">IF($C295-J$1&lt;År1,0,I294*(1-VLOOKUP($A295,[1]Hugst!$R$5:$W$9,MATCH(ROUNDUP((J$1)/10,0)*10,[1]Hugst!$R$4:$W$4,0))))</f>
        <v>1728.4915332372013</v>
      </c>
      <c r="K295">
        <f ca="1">IF($C295-K$1&lt;År1,0,J294*(1-VLOOKUP($A295,[1]Hugst!$R$5:$W$9,MATCH(ROUNDUP((K$1)/10,0)*10,[1]Hugst!$R$4:$W$4,0))))</f>
        <v>1730.3174564716644</v>
      </c>
      <c r="L295">
        <f ca="1">IF($C295-L$1&lt;År1,0,K294*(1-VLOOKUP($A295,[1]Hugst!$R$5:$W$9,MATCH(ROUNDUP((L$1)/10,0)*10,[1]Hugst!$R$4:$W$4,0))))</f>
        <v>1732.1525551997795</v>
      </c>
      <c r="M295">
        <f ca="1">IF($C295-M$1&lt;År1,0,L294*(1-VLOOKUP($A295,[1]Hugst!$R$5:$W$9,MATCH(ROUNDUP((M$1)/10,0)*10,[1]Hugst!$R$4:$W$4,0))))</f>
        <v>1733.9968755295329</v>
      </c>
      <c r="N295">
        <f ca="1">IF($C295-N$1&lt;År1,0,M294*(1-VLOOKUP($A295,[1]Hugst!$R$5:$W$9,MATCH(ROUNDUP((N$1)/10,0)*10,[1]Hugst!$R$4:$W$4,0))))</f>
        <v>1735.8504638006682</v>
      </c>
      <c r="O295">
        <f ca="1">IF($C295-O$1&lt;År1,0,N294*(1-VLOOKUP($A295,[1]Hugst!$R$5:$W$9,MATCH(ROUNDUP((O$1)/10,0)*10,[1]Hugst!$R$4:$W$4,0))))</f>
        <v>1737.7133665856938</v>
      </c>
      <c r="P295">
        <f ca="1">IF($C295-P$1&lt;År1,0,O294*(1-VLOOKUP($A295,[1]Hugst!$R$5:$W$9,MATCH(ROUNDUP((P$1)/10,0)*10,[1]Hugst!$R$4:$W$4,0))))</f>
        <v>1739.5856306912699</v>
      </c>
      <c r="Q295">
        <f ca="1">IF($C295-Q$1&lt;År1,0,P294*(1-VLOOKUP($A295,[1]Hugst!$R$5:$W$9,MATCH(ROUNDUP((Q$1)/10,0)*10,[1]Hugst!$R$4:$W$4,0))))</f>
        <v>1741.4673031591697</v>
      </c>
      <c r="R295">
        <f ca="1">IF($C295-R$1&lt;År1,0,Q294*(1-VLOOKUP($A295,[1]Hugst!$R$5:$W$9,MATCH(ROUNDUP((R$1)/10,0)*10,[1]Hugst!$R$4:$W$4,0))))</f>
        <v>1743.3584312676312</v>
      </c>
      <c r="S295">
        <f ca="1">IF($C295-S$1&lt;År1,0,R294*(1-VLOOKUP($A295,[1]Hugst!$R$5:$W$9,MATCH(ROUNDUP((S$1)/10,0)*10,[1]Hugst!$R$4:$W$4,0))))</f>
        <v>1745.2590625324056</v>
      </c>
      <c r="T295">
        <f ca="1">IF($C295-T$1&lt;År1,0,S294*(1-VLOOKUP($A295,[1]Hugst!$R$5:$W$9,MATCH(ROUNDUP((T$1)/10,0)*10,[1]Hugst!$R$4:$W$4,0))))</f>
        <v>1747.16924470806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354.36514218531647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1581.3198746956041</v>
      </c>
      <c r="G296">
        <f ca="1">IF($C296-G$1&lt;År1,0,F295*(1-VLOOKUP($A296,[1]Hugst!$R$5:$W$9,MATCH(ROUNDUP((G$1)/10,0)*10,[1]Hugst!$R$4:$W$4,0))))</f>
        <v>1583.1006040533139</v>
      </c>
      <c r="H296">
        <f ca="1">IF($C296-H$1&lt;År1,0,G295*(1-VLOOKUP($A296,[1]Hugst!$R$5:$W$9,MATCH(ROUNDUP((H$1)/10,0)*10,[1]Hugst!$R$4:$W$4,0))))</f>
        <v>1584.8902817997587</v>
      </c>
      <c r="I296">
        <f ca="1">IF($C296-I$1&lt;År1,0,H295*(1-VLOOKUP($A296,[1]Hugst!$R$5:$W$9,MATCH(ROUNDUP((I$1)/10,0)*10,[1]Hugst!$R$4:$W$4,0))))</f>
        <v>1586.6889529017208</v>
      </c>
      <c r="J296">
        <f ca="1">IF($C296-J$1&lt;År1,0,I295*(1-VLOOKUP($A296,[1]Hugst!$R$5:$W$9,MATCH(ROUNDUP((J$1)/10,0)*10,[1]Hugst!$R$4:$W$4,0))))</f>
        <v>1588.4966625519155</v>
      </c>
      <c r="K296">
        <f ca="1">IF($C296-K$1&lt;År1,0,J295*(1-VLOOKUP($A296,[1]Hugst!$R$5:$W$9,MATCH(ROUNDUP((K$1)/10,0)*10,[1]Hugst!$R$4:$W$4,0))))</f>
        <v>1728.4915332372013</v>
      </c>
      <c r="L296">
        <f ca="1">IF($C296-L$1&lt;År1,0,K295*(1-VLOOKUP($A296,[1]Hugst!$R$5:$W$9,MATCH(ROUNDUP((L$1)/10,0)*10,[1]Hugst!$R$4:$W$4,0))))</f>
        <v>1730.3174564716644</v>
      </c>
      <c r="M296">
        <f ca="1">IF($C296-M$1&lt;År1,0,L295*(1-VLOOKUP($A296,[1]Hugst!$R$5:$W$9,MATCH(ROUNDUP((M$1)/10,0)*10,[1]Hugst!$R$4:$W$4,0))))</f>
        <v>1732.1525551997795</v>
      </c>
      <c r="N296">
        <f ca="1">IF($C296-N$1&lt;År1,0,M295*(1-VLOOKUP($A296,[1]Hugst!$R$5:$W$9,MATCH(ROUNDUP((N$1)/10,0)*10,[1]Hugst!$R$4:$W$4,0))))</f>
        <v>1733.9968755295329</v>
      </c>
      <c r="O296">
        <f ca="1">IF($C296-O$1&lt;År1,0,N295*(1-VLOOKUP($A296,[1]Hugst!$R$5:$W$9,MATCH(ROUNDUP((O$1)/10,0)*10,[1]Hugst!$R$4:$W$4,0))))</f>
        <v>1735.8504638006682</v>
      </c>
      <c r="P296">
        <f ca="1">IF($C296-P$1&lt;År1,0,O295*(1-VLOOKUP($A296,[1]Hugst!$R$5:$W$9,MATCH(ROUNDUP((P$1)/10,0)*10,[1]Hugst!$R$4:$W$4,0))))</f>
        <v>1737.7133665856938</v>
      </c>
      <c r="Q296">
        <f ca="1">IF($C296-Q$1&lt;År1,0,P295*(1-VLOOKUP($A296,[1]Hugst!$R$5:$W$9,MATCH(ROUNDUP((Q$1)/10,0)*10,[1]Hugst!$R$4:$W$4,0))))</f>
        <v>1739.5856306912699</v>
      </c>
      <c r="R296">
        <f ca="1">IF($C296-R$1&lt;År1,0,Q295*(1-VLOOKUP($A296,[1]Hugst!$R$5:$W$9,MATCH(ROUNDUP((R$1)/10,0)*10,[1]Hugst!$R$4:$W$4,0))))</f>
        <v>1741.4673031591697</v>
      </c>
      <c r="S296">
        <f ca="1">IF($C296-S$1&lt;År1,0,R295*(1-VLOOKUP($A296,[1]Hugst!$R$5:$W$9,MATCH(ROUNDUP((S$1)/10,0)*10,[1]Hugst!$R$4:$W$4,0))))</f>
        <v>1743.3584312676312</v>
      </c>
      <c r="T296">
        <f ca="1">IF($C296-T$1&lt;År1,0,S295*(1-VLOOKUP($A296,[1]Hugst!$R$5:$W$9,MATCH(ROUNDUP((T$1)/10,0)*10,[1]Hugst!$R$4:$W$4,0))))</f>
        <v>1745.2590625324056</v>
      </c>
      <c r="U296">
        <f ca="1">IF($C296-U$1&lt;År1,0,T295*(1-VLOOKUP($A296,[1]Hugst!$R$5:$W$9,MATCH(ROUNDUP((U$1)/10,0)*10,[1]Hugst!$R$4:$W$4,0))))</f>
        <v>1747.16924470806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352.59331647438194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1579.5480489846695</v>
      </c>
      <c r="G297">
        <f ca="1">IF($C297-G$1&lt;År1,0,F296*(1-VLOOKUP($A297,[1]Hugst!$R$5:$W$9,MATCH(ROUNDUP((G$1)/10,0)*10,[1]Hugst!$R$4:$W$4,0))))</f>
        <v>1581.3198746956041</v>
      </c>
      <c r="H297">
        <f ca="1">IF($C297-H$1&lt;År1,0,G296*(1-VLOOKUP($A297,[1]Hugst!$R$5:$W$9,MATCH(ROUNDUP((H$1)/10,0)*10,[1]Hugst!$R$4:$W$4,0))))</f>
        <v>1583.1006040533139</v>
      </c>
      <c r="I297">
        <f ca="1">IF($C297-I$1&lt;År1,0,H296*(1-VLOOKUP($A297,[1]Hugst!$R$5:$W$9,MATCH(ROUNDUP((I$1)/10,0)*10,[1]Hugst!$R$4:$W$4,0))))</f>
        <v>1584.8902817997587</v>
      </c>
      <c r="J297">
        <f ca="1">IF($C297-J$1&lt;År1,0,I296*(1-VLOOKUP($A297,[1]Hugst!$R$5:$W$9,MATCH(ROUNDUP((J$1)/10,0)*10,[1]Hugst!$R$4:$W$4,0))))</f>
        <v>1586.6889529017208</v>
      </c>
      <c r="K297">
        <f ca="1">IF($C297-K$1&lt;År1,0,J296*(1-VLOOKUP($A297,[1]Hugst!$R$5:$W$9,MATCH(ROUNDUP((K$1)/10,0)*10,[1]Hugst!$R$4:$W$4,0))))</f>
        <v>1588.4966625519155</v>
      </c>
      <c r="L297">
        <f ca="1">IF($C297-L$1&lt;År1,0,K296*(1-VLOOKUP($A297,[1]Hugst!$R$5:$W$9,MATCH(ROUNDUP((L$1)/10,0)*10,[1]Hugst!$R$4:$W$4,0))))</f>
        <v>1728.4915332372013</v>
      </c>
      <c r="M297">
        <f ca="1">IF($C297-M$1&lt;År1,0,L296*(1-VLOOKUP($A297,[1]Hugst!$R$5:$W$9,MATCH(ROUNDUP((M$1)/10,0)*10,[1]Hugst!$R$4:$W$4,0))))</f>
        <v>1730.3174564716644</v>
      </c>
      <c r="N297">
        <f ca="1">IF($C297-N$1&lt;År1,0,M296*(1-VLOOKUP($A297,[1]Hugst!$R$5:$W$9,MATCH(ROUNDUP((N$1)/10,0)*10,[1]Hugst!$R$4:$W$4,0))))</f>
        <v>1732.1525551997795</v>
      </c>
      <c r="O297">
        <f ca="1">IF($C297-O$1&lt;År1,0,N296*(1-VLOOKUP($A297,[1]Hugst!$R$5:$W$9,MATCH(ROUNDUP((O$1)/10,0)*10,[1]Hugst!$R$4:$W$4,0))))</f>
        <v>1733.9968755295329</v>
      </c>
      <c r="P297">
        <f ca="1">IF($C297-P$1&lt;År1,0,O296*(1-VLOOKUP($A297,[1]Hugst!$R$5:$W$9,MATCH(ROUNDUP((P$1)/10,0)*10,[1]Hugst!$R$4:$W$4,0))))</f>
        <v>1735.8504638006682</v>
      </c>
      <c r="Q297">
        <f ca="1">IF($C297-Q$1&lt;År1,0,P296*(1-VLOOKUP($A297,[1]Hugst!$R$5:$W$9,MATCH(ROUNDUP((Q$1)/10,0)*10,[1]Hugst!$R$4:$W$4,0))))</f>
        <v>1737.7133665856938</v>
      </c>
      <c r="R297">
        <f ca="1">IF($C297-R$1&lt;År1,0,Q296*(1-VLOOKUP($A297,[1]Hugst!$R$5:$W$9,MATCH(ROUNDUP((R$1)/10,0)*10,[1]Hugst!$R$4:$W$4,0))))</f>
        <v>1739.5856306912699</v>
      </c>
      <c r="S297">
        <f ca="1">IF($C297-S$1&lt;År1,0,R296*(1-VLOOKUP($A297,[1]Hugst!$R$5:$W$9,MATCH(ROUNDUP((S$1)/10,0)*10,[1]Hugst!$R$4:$W$4,0))))</f>
        <v>1741.4673031591697</v>
      </c>
      <c r="T297">
        <f ca="1">IF($C297-T$1&lt;År1,0,S296*(1-VLOOKUP($A297,[1]Hugst!$R$5:$W$9,MATCH(ROUNDUP((T$1)/10,0)*10,[1]Hugst!$R$4:$W$4,0))))</f>
        <v>1743.3584312676312</v>
      </c>
      <c r="U297">
        <f ca="1">IF($C297-U$1&lt;År1,0,T296*(1-VLOOKUP($A297,[1]Hugst!$R$5:$W$9,MATCH(ROUNDUP((U$1)/10,0)*10,[1]Hugst!$R$4:$W$4,0))))</f>
        <v>1745.2590625324056</v>
      </c>
      <c r="V297">
        <f ca="1">IF($C297-V$1&lt;År1,0,U296*(1-VLOOKUP($A297,[1]Hugst!$R$5:$W$9,MATCH(ROUNDUP((V$1)/10,0)*10,[1]Hugst!$R$4:$W$4,0))))</f>
        <v>1747.16924470806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350.83034989201406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1577.7850824023017</v>
      </c>
      <c r="G298">
        <f ca="1">IF($C298-G$1&lt;År1,0,F297*(1-VLOOKUP($A298,[1]Hugst!$R$5:$W$9,MATCH(ROUNDUP((G$1)/10,0)*10,[1]Hugst!$R$4:$W$4,0))))</f>
        <v>1579.5480489846695</v>
      </c>
      <c r="H298">
        <f ca="1">IF($C298-H$1&lt;År1,0,G297*(1-VLOOKUP($A298,[1]Hugst!$R$5:$W$9,MATCH(ROUNDUP((H$1)/10,0)*10,[1]Hugst!$R$4:$W$4,0))))</f>
        <v>1581.3198746956041</v>
      </c>
      <c r="I298">
        <f ca="1">IF($C298-I$1&lt;År1,0,H297*(1-VLOOKUP($A298,[1]Hugst!$R$5:$W$9,MATCH(ROUNDUP((I$1)/10,0)*10,[1]Hugst!$R$4:$W$4,0))))</f>
        <v>1583.1006040533139</v>
      </c>
      <c r="J298">
        <f ca="1">IF($C298-J$1&lt;År1,0,I297*(1-VLOOKUP($A298,[1]Hugst!$R$5:$W$9,MATCH(ROUNDUP((J$1)/10,0)*10,[1]Hugst!$R$4:$W$4,0))))</f>
        <v>1584.8902817997587</v>
      </c>
      <c r="K298">
        <f ca="1">IF($C298-K$1&lt;År1,0,J297*(1-VLOOKUP($A298,[1]Hugst!$R$5:$W$9,MATCH(ROUNDUP((K$1)/10,0)*10,[1]Hugst!$R$4:$W$4,0))))</f>
        <v>1586.6889529017208</v>
      </c>
      <c r="L298">
        <f ca="1">IF($C298-L$1&lt;År1,0,K297*(1-VLOOKUP($A298,[1]Hugst!$R$5:$W$9,MATCH(ROUNDUP((L$1)/10,0)*10,[1]Hugst!$R$4:$W$4,0))))</f>
        <v>1588.4966625519155</v>
      </c>
      <c r="M298">
        <f ca="1">IF($C298-M$1&lt;År1,0,L297*(1-VLOOKUP($A298,[1]Hugst!$R$5:$W$9,MATCH(ROUNDUP((M$1)/10,0)*10,[1]Hugst!$R$4:$W$4,0))))</f>
        <v>1728.4915332372013</v>
      </c>
      <c r="N298">
        <f ca="1">IF($C298-N$1&lt;År1,0,M297*(1-VLOOKUP($A298,[1]Hugst!$R$5:$W$9,MATCH(ROUNDUP((N$1)/10,0)*10,[1]Hugst!$R$4:$W$4,0))))</f>
        <v>1730.3174564716644</v>
      </c>
      <c r="O298">
        <f ca="1">IF($C298-O$1&lt;År1,0,N297*(1-VLOOKUP($A298,[1]Hugst!$R$5:$W$9,MATCH(ROUNDUP((O$1)/10,0)*10,[1]Hugst!$R$4:$W$4,0))))</f>
        <v>1732.1525551997795</v>
      </c>
      <c r="P298">
        <f ca="1">IF($C298-P$1&lt;År1,0,O297*(1-VLOOKUP($A298,[1]Hugst!$R$5:$W$9,MATCH(ROUNDUP((P$1)/10,0)*10,[1]Hugst!$R$4:$W$4,0))))</f>
        <v>1733.9968755295329</v>
      </c>
      <c r="Q298">
        <f ca="1">IF($C298-Q$1&lt;År1,0,P297*(1-VLOOKUP($A298,[1]Hugst!$R$5:$W$9,MATCH(ROUNDUP((Q$1)/10,0)*10,[1]Hugst!$R$4:$W$4,0))))</f>
        <v>1735.8504638006682</v>
      </c>
      <c r="R298">
        <f ca="1">IF($C298-R$1&lt;År1,0,Q297*(1-VLOOKUP($A298,[1]Hugst!$R$5:$W$9,MATCH(ROUNDUP((R$1)/10,0)*10,[1]Hugst!$R$4:$W$4,0))))</f>
        <v>1737.7133665856938</v>
      </c>
      <c r="S298">
        <f ca="1">IF($C298-S$1&lt;År1,0,R297*(1-VLOOKUP($A298,[1]Hugst!$R$5:$W$9,MATCH(ROUNDUP((S$1)/10,0)*10,[1]Hugst!$R$4:$W$4,0))))</f>
        <v>1739.5856306912699</v>
      </c>
      <c r="T298">
        <f ca="1">IF($C298-T$1&lt;År1,0,S297*(1-VLOOKUP($A298,[1]Hugst!$R$5:$W$9,MATCH(ROUNDUP((T$1)/10,0)*10,[1]Hugst!$R$4:$W$4,0))))</f>
        <v>1741.4673031591697</v>
      </c>
      <c r="U298">
        <f ca="1">IF($C298-U$1&lt;År1,0,T297*(1-VLOOKUP($A298,[1]Hugst!$R$5:$W$9,MATCH(ROUNDUP((U$1)/10,0)*10,[1]Hugst!$R$4:$W$4,0))))</f>
        <v>1743.3584312676312</v>
      </c>
      <c r="V298">
        <f ca="1">IF($C298-V$1&lt;År1,0,U297*(1-VLOOKUP($A298,[1]Hugst!$R$5:$W$9,MATCH(ROUNDUP((V$1)/10,0)*10,[1]Hugst!$R$4:$W$4,0))))</f>
        <v>1745.2590625324056</v>
      </c>
      <c r="W298">
        <f ca="1">IF($C298-W$1&lt;År1,0,V297*(1-VLOOKUP($A298,[1]Hugst!$R$5:$W$9,MATCH(ROUNDUP((W$1)/10,0)*10,[1]Hugst!$R$4:$W$4,0))))</f>
        <v>1747.16924470806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349.07619814256032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1576.0309306528479</v>
      </c>
      <c r="G299">
        <f ca="1">IF($C299-G$1&lt;År1,0,F298*(1-VLOOKUP($A299,[1]Hugst!$R$5:$W$9,MATCH(ROUNDUP((G$1)/10,0)*10,[1]Hugst!$R$4:$W$4,0))))</f>
        <v>1577.7850824023017</v>
      </c>
      <c r="H299">
        <f ca="1">IF($C299-H$1&lt;År1,0,G298*(1-VLOOKUP($A299,[1]Hugst!$R$5:$W$9,MATCH(ROUNDUP((H$1)/10,0)*10,[1]Hugst!$R$4:$W$4,0))))</f>
        <v>1579.5480489846695</v>
      </c>
      <c r="I299">
        <f ca="1">IF($C299-I$1&lt;År1,0,H298*(1-VLOOKUP($A299,[1]Hugst!$R$5:$W$9,MATCH(ROUNDUP((I$1)/10,0)*10,[1]Hugst!$R$4:$W$4,0))))</f>
        <v>1581.3198746956041</v>
      </c>
      <c r="J299">
        <f ca="1">IF($C299-J$1&lt;År1,0,I298*(1-VLOOKUP($A299,[1]Hugst!$R$5:$W$9,MATCH(ROUNDUP((J$1)/10,0)*10,[1]Hugst!$R$4:$W$4,0))))</f>
        <v>1583.1006040533139</v>
      </c>
      <c r="K299">
        <f ca="1">IF($C299-K$1&lt;År1,0,J298*(1-VLOOKUP($A299,[1]Hugst!$R$5:$W$9,MATCH(ROUNDUP((K$1)/10,0)*10,[1]Hugst!$R$4:$W$4,0))))</f>
        <v>1584.8902817997587</v>
      </c>
      <c r="L299">
        <f ca="1">IF($C299-L$1&lt;År1,0,K298*(1-VLOOKUP($A299,[1]Hugst!$R$5:$W$9,MATCH(ROUNDUP((L$1)/10,0)*10,[1]Hugst!$R$4:$W$4,0))))</f>
        <v>1586.6889529017208</v>
      </c>
      <c r="M299">
        <f ca="1">IF($C299-M$1&lt;År1,0,L298*(1-VLOOKUP($A299,[1]Hugst!$R$5:$W$9,MATCH(ROUNDUP((M$1)/10,0)*10,[1]Hugst!$R$4:$W$4,0))))</f>
        <v>1588.4966625519155</v>
      </c>
      <c r="N299">
        <f ca="1">IF($C299-N$1&lt;År1,0,M298*(1-VLOOKUP($A299,[1]Hugst!$R$5:$W$9,MATCH(ROUNDUP((N$1)/10,0)*10,[1]Hugst!$R$4:$W$4,0))))</f>
        <v>1728.4915332372013</v>
      </c>
      <c r="O299">
        <f ca="1">IF($C299-O$1&lt;År1,0,N298*(1-VLOOKUP($A299,[1]Hugst!$R$5:$W$9,MATCH(ROUNDUP((O$1)/10,0)*10,[1]Hugst!$R$4:$W$4,0))))</f>
        <v>1730.3174564716644</v>
      </c>
      <c r="P299">
        <f ca="1">IF($C299-P$1&lt;År1,0,O298*(1-VLOOKUP($A299,[1]Hugst!$R$5:$W$9,MATCH(ROUNDUP((P$1)/10,0)*10,[1]Hugst!$R$4:$W$4,0))))</f>
        <v>1732.1525551997795</v>
      </c>
      <c r="Q299">
        <f ca="1">IF($C299-Q$1&lt;År1,0,P298*(1-VLOOKUP($A299,[1]Hugst!$R$5:$W$9,MATCH(ROUNDUP((Q$1)/10,0)*10,[1]Hugst!$R$4:$W$4,0))))</f>
        <v>1733.9968755295329</v>
      </c>
      <c r="R299">
        <f ca="1">IF($C299-R$1&lt;År1,0,Q298*(1-VLOOKUP($A299,[1]Hugst!$R$5:$W$9,MATCH(ROUNDUP((R$1)/10,0)*10,[1]Hugst!$R$4:$W$4,0))))</f>
        <v>1735.8504638006682</v>
      </c>
      <c r="S299">
        <f ca="1">IF($C299-S$1&lt;År1,0,R298*(1-VLOOKUP($A299,[1]Hugst!$R$5:$W$9,MATCH(ROUNDUP((S$1)/10,0)*10,[1]Hugst!$R$4:$W$4,0))))</f>
        <v>1737.7133665856938</v>
      </c>
      <c r="T299">
        <f ca="1">IF($C299-T$1&lt;År1,0,S298*(1-VLOOKUP($A299,[1]Hugst!$R$5:$W$9,MATCH(ROUNDUP((T$1)/10,0)*10,[1]Hugst!$R$4:$W$4,0))))</f>
        <v>1739.5856306912699</v>
      </c>
      <c r="U299">
        <f ca="1">IF($C299-U$1&lt;År1,0,T298*(1-VLOOKUP($A299,[1]Hugst!$R$5:$W$9,MATCH(ROUNDUP((U$1)/10,0)*10,[1]Hugst!$R$4:$W$4,0))))</f>
        <v>1741.4673031591697</v>
      </c>
      <c r="V299">
        <f ca="1">IF($C299-V$1&lt;År1,0,U298*(1-VLOOKUP($A299,[1]Hugst!$R$5:$W$9,MATCH(ROUNDUP((V$1)/10,0)*10,[1]Hugst!$R$4:$W$4,0))))</f>
        <v>1743.3584312676312</v>
      </c>
      <c r="W299">
        <f ca="1">IF($C299-W$1&lt;År1,0,V298*(1-VLOOKUP($A299,[1]Hugst!$R$5:$W$9,MATCH(ROUNDUP((W$1)/10,0)*10,[1]Hugst!$R$4:$W$4,0))))</f>
        <v>1745.2590625324056</v>
      </c>
      <c r="X299">
        <f ca="1">IF($C299-X$1&lt;År1,0,W298*(1-VLOOKUP($A299,[1]Hugst!$R$5:$W$9,MATCH(ROUNDUP((X$1)/10,0)*10,[1]Hugst!$R$4:$W$4,0))))</f>
        <v>1747.16924470806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347.33081715183562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1574.2855496621232</v>
      </c>
      <c r="G300">
        <f ca="1">IF($C300-G$1&lt;År1,0,F299*(1-VLOOKUP($A300,[1]Hugst!$R$5:$W$9,MATCH(ROUNDUP((G$1)/10,0)*10,[1]Hugst!$R$4:$W$4,0))))</f>
        <v>1576.0309306528479</v>
      </c>
      <c r="H300">
        <f ca="1">IF($C300-H$1&lt;År1,0,G299*(1-VLOOKUP($A300,[1]Hugst!$R$5:$W$9,MATCH(ROUNDUP((H$1)/10,0)*10,[1]Hugst!$R$4:$W$4,0))))</f>
        <v>1577.7850824023017</v>
      </c>
      <c r="I300">
        <f ca="1">IF($C300-I$1&lt;År1,0,H299*(1-VLOOKUP($A300,[1]Hugst!$R$5:$W$9,MATCH(ROUNDUP((I$1)/10,0)*10,[1]Hugst!$R$4:$W$4,0))))</f>
        <v>1579.5480489846695</v>
      </c>
      <c r="J300">
        <f ca="1">IF($C300-J$1&lt;År1,0,I299*(1-VLOOKUP($A300,[1]Hugst!$R$5:$W$9,MATCH(ROUNDUP((J$1)/10,0)*10,[1]Hugst!$R$4:$W$4,0))))</f>
        <v>1581.3198746956041</v>
      </c>
      <c r="K300">
        <f ca="1">IF($C300-K$1&lt;År1,0,J299*(1-VLOOKUP($A300,[1]Hugst!$R$5:$W$9,MATCH(ROUNDUP((K$1)/10,0)*10,[1]Hugst!$R$4:$W$4,0))))</f>
        <v>1583.1006040533139</v>
      </c>
      <c r="L300">
        <f ca="1">IF($C300-L$1&lt;År1,0,K299*(1-VLOOKUP($A300,[1]Hugst!$R$5:$W$9,MATCH(ROUNDUP((L$1)/10,0)*10,[1]Hugst!$R$4:$W$4,0))))</f>
        <v>1584.8902817997587</v>
      </c>
      <c r="M300">
        <f ca="1">IF($C300-M$1&lt;År1,0,L299*(1-VLOOKUP($A300,[1]Hugst!$R$5:$W$9,MATCH(ROUNDUP((M$1)/10,0)*10,[1]Hugst!$R$4:$W$4,0))))</f>
        <v>1586.6889529017208</v>
      </c>
      <c r="N300">
        <f ca="1">IF($C300-N$1&lt;År1,0,M299*(1-VLOOKUP($A300,[1]Hugst!$R$5:$W$9,MATCH(ROUNDUP((N$1)/10,0)*10,[1]Hugst!$R$4:$W$4,0))))</f>
        <v>1588.4966625519155</v>
      </c>
      <c r="O300">
        <f ca="1">IF($C300-O$1&lt;År1,0,N299*(1-VLOOKUP($A300,[1]Hugst!$R$5:$W$9,MATCH(ROUNDUP((O$1)/10,0)*10,[1]Hugst!$R$4:$W$4,0))))</f>
        <v>1728.4915332372013</v>
      </c>
      <c r="P300">
        <f ca="1">IF($C300-P$1&lt;År1,0,O299*(1-VLOOKUP($A300,[1]Hugst!$R$5:$W$9,MATCH(ROUNDUP((P$1)/10,0)*10,[1]Hugst!$R$4:$W$4,0))))</f>
        <v>1730.3174564716644</v>
      </c>
      <c r="Q300">
        <f ca="1">IF($C300-Q$1&lt;År1,0,P299*(1-VLOOKUP($A300,[1]Hugst!$R$5:$W$9,MATCH(ROUNDUP((Q$1)/10,0)*10,[1]Hugst!$R$4:$W$4,0))))</f>
        <v>1732.1525551997795</v>
      </c>
      <c r="R300">
        <f ca="1">IF($C300-R$1&lt;År1,0,Q299*(1-VLOOKUP($A300,[1]Hugst!$R$5:$W$9,MATCH(ROUNDUP((R$1)/10,0)*10,[1]Hugst!$R$4:$W$4,0))))</f>
        <v>1733.9968755295329</v>
      </c>
      <c r="S300">
        <f ca="1">IF($C300-S$1&lt;År1,0,R299*(1-VLOOKUP($A300,[1]Hugst!$R$5:$W$9,MATCH(ROUNDUP((S$1)/10,0)*10,[1]Hugst!$R$4:$W$4,0))))</f>
        <v>1735.8504638006682</v>
      </c>
      <c r="T300">
        <f ca="1">IF($C300-T$1&lt;År1,0,S299*(1-VLOOKUP($A300,[1]Hugst!$R$5:$W$9,MATCH(ROUNDUP((T$1)/10,0)*10,[1]Hugst!$R$4:$W$4,0))))</f>
        <v>1737.7133665856938</v>
      </c>
      <c r="U300">
        <f ca="1">IF($C300-U$1&lt;År1,0,T299*(1-VLOOKUP($A300,[1]Hugst!$R$5:$W$9,MATCH(ROUNDUP((U$1)/10,0)*10,[1]Hugst!$R$4:$W$4,0))))</f>
        <v>1739.5856306912699</v>
      </c>
      <c r="V300">
        <f ca="1">IF($C300-V$1&lt;År1,0,U299*(1-VLOOKUP($A300,[1]Hugst!$R$5:$W$9,MATCH(ROUNDUP((V$1)/10,0)*10,[1]Hugst!$R$4:$W$4,0))))</f>
        <v>1741.4673031591697</v>
      </c>
      <c r="W300">
        <f ca="1">IF($C300-W$1&lt;År1,0,V299*(1-VLOOKUP($A300,[1]Hugst!$R$5:$W$9,MATCH(ROUNDUP((W$1)/10,0)*10,[1]Hugst!$R$4:$W$4,0))))</f>
        <v>1743.3584312676312</v>
      </c>
      <c r="X300">
        <f ca="1">IF($C300-X$1&lt;År1,0,W299*(1-VLOOKUP($A300,[1]Hugst!$R$5:$W$9,MATCH(ROUNDUP((X$1)/10,0)*10,[1]Hugst!$R$4:$W$4,0))))</f>
        <v>1745.2590625324056</v>
      </c>
      <c r="Y300">
        <f ca="1">IF($C300-Y$1&lt;År1,0,X299*(1-VLOOKUP($A300,[1]Hugst!$R$5:$W$9,MATCH(ROUNDUP((Y$1)/10,0)*10,[1]Hugst!$R$4:$W$4,0))))</f>
        <v>1747.16924470806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345.59416306607818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1572.5488955763658</v>
      </c>
      <c r="G301">
        <f ca="1">IF($C301-G$1&lt;År1,0,F300*(1-VLOOKUP($A301,[1]Hugst!$R$5:$W$9,MATCH(ROUNDUP((G$1)/10,0)*10,[1]Hugst!$R$4:$W$4,0))))</f>
        <v>1574.2855496621232</v>
      </c>
      <c r="H301">
        <f ca="1">IF($C301-H$1&lt;År1,0,G300*(1-VLOOKUP($A301,[1]Hugst!$R$5:$W$9,MATCH(ROUNDUP((H$1)/10,0)*10,[1]Hugst!$R$4:$W$4,0))))</f>
        <v>1576.0309306528479</v>
      </c>
      <c r="I301">
        <f ca="1">IF($C301-I$1&lt;År1,0,H300*(1-VLOOKUP($A301,[1]Hugst!$R$5:$W$9,MATCH(ROUNDUP((I$1)/10,0)*10,[1]Hugst!$R$4:$W$4,0))))</f>
        <v>1577.7850824023017</v>
      </c>
      <c r="J301">
        <f ca="1">IF($C301-J$1&lt;År1,0,I300*(1-VLOOKUP($A301,[1]Hugst!$R$5:$W$9,MATCH(ROUNDUP((J$1)/10,0)*10,[1]Hugst!$R$4:$W$4,0))))</f>
        <v>1579.5480489846695</v>
      </c>
      <c r="K301">
        <f ca="1">IF($C301-K$1&lt;År1,0,J300*(1-VLOOKUP($A301,[1]Hugst!$R$5:$W$9,MATCH(ROUNDUP((K$1)/10,0)*10,[1]Hugst!$R$4:$W$4,0))))</f>
        <v>1581.3198746956041</v>
      </c>
      <c r="L301">
        <f ca="1">IF($C301-L$1&lt;År1,0,K300*(1-VLOOKUP($A301,[1]Hugst!$R$5:$W$9,MATCH(ROUNDUP((L$1)/10,0)*10,[1]Hugst!$R$4:$W$4,0))))</f>
        <v>1583.1006040533139</v>
      </c>
      <c r="M301">
        <f ca="1">IF($C301-M$1&lt;År1,0,L300*(1-VLOOKUP($A301,[1]Hugst!$R$5:$W$9,MATCH(ROUNDUP((M$1)/10,0)*10,[1]Hugst!$R$4:$W$4,0))))</f>
        <v>1584.8902817997587</v>
      </c>
      <c r="N301">
        <f ca="1">IF($C301-N$1&lt;År1,0,M300*(1-VLOOKUP($A301,[1]Hugst!$R$5:$W$9,MATCH(ROUNDUP((N$1)/10,0)*10,[1]Hugst!$R$4:$W$4,0))))</f>
        <v>1586.6889529017208</v>
      </c>
      <c r="O301">
        <f ca="1">IF($C301-O$1&lt;År1,0,N300*(1-VLOOKUP($A301,[1]Hugst!$R$5:$W$9,MATCH(ROUNDUP((O$1)/10,0)*10,[1]Hugst!$R$4:$W$4,0))))</f>
        <v>1588.4966625519155</v>
      </c>
      <c r="P301">
        <f ca="1">IF($C301-P$1&lt;År1,0,O300*(1-VLOOKUP($A301,[1]Hugst!$R$5:$W$9,MATCH(ROUNDUP((P$1)/10,0)*10,[1]Hugst!$R$4:$W$4,0))))</f>
        <v>1728.4915332372013</v>
      </c>
      <c r="Q301">
        <f ca="1">IF($C301-Q$1&lt;År1,0,P300*(1-VLOOKUP($A301,[1]Hugst!$R$5:$W$9,MATCH(ROUNDUP((Q$1)/10,0)*10,[1]Hugst!$R$4:$W$4,0))))</f>
        <v>1730.3174564716644</v>
      </c>
      <c r="R301">
        <f ca="1">IF($C301-R$1&lt;År1,0,Q300*(1-VLOOKUP($A301,[1]Hugst!$R$5:$W$9,MATCH(ROUNDUP((R$1)/10,0)*10,[1]Hugst!$R$4:$W$4,0))))</f>
        <v>1732.1525551997795</v>
      </c>
      <c r="S301">
        <f ca="1">IF($C301-S$1&lt;År1,0,R300*(1-VLOOKUP($A301,[1]Hugst!$R$5:$W$9,MATCH(ROUNDUP((S$1)/10,0)*10,[1]Hugst!$R$4:$W$4,0))))</f>
        <v>1733.9968755295329</v>
      </c>
      <c r="T301">
        <f ca="1">IF($C301-T$1&lt;År1,0,S300*(1-VLOOKUP($A301,[1]Hugst!$R$5:$W$9,MATCH(ROUNDUP((T$1)/10,0)*10,[1]Hugst!$R$4:$W$4,0))))</f>
        <v>1735.8504638006682</v>
      </c>
      <c r="U301">
        <f ca="1">IF($C301-U$1&lt;År1,0,T300*(1-VLOOKUP($A301,[1]Hugst!$R$5:$W$9,MATCH(ROUNDUP((U$1)/10,0)*10,[1]Hugst!$R$4:$W$4,0))))</f>
        <v>1737.7133665856938</v>
      </c>
      <c r="V301">
        <f ca="1">IF($C301-V$1&lt;År1,0,U300*(1-VLOOKUP($A301,[1]Hugst!$R$5:$W$9,MATCH(ROUNDUP((V$1)/10,0)*10,[1]Hugst!$R$4:$W$4,0))))</f>
        <v>1739.5856306912699</v>
      </c>
      <c r="W301">
        <f ca="1">IF($C301-W$1&lt;År1,0,V300*(1-VLOOKUP($A301,[1]Hugst!$R$5:$W$9,MATCH(ROUNDUP((W$1)/10,0)*10,[1]Hugst!$R$4:$W$4,0))))</f>
        <v>1741.4673031591697</v>
      </c>
      <c r="X301">
        <f ca="1">IF($C301-X$1&lt;År1,0,W300*(1-VLOOKUP($A301,[1]Hugst!$R$5:$W$9,MATCH(ROUNDUP((X$1)/10,0)*10,[1]Hugst!$R$4:$W$4,0))))</f>
        <v>1743.3584312676312</v>
      </c>
      <c r="Y301">
        <f ca="1">IF($C301-Y$1&lt;År1,0,X300*(1-VLOOKUP($A301,[1]Hugst!$R$5:$W$9,MATCH(ROUNDUP((Y$1)/10,0)*10,[1]Hugst!$R$4:$W$4,0))))</f>
        <v>1745.2590625324056</v>
      </c>
      <c r="Z301">
        <f ca="1">IF($C301-Z$1&lt;År1,0,Y300*(1-VLOOKUP($A301,[1]Hugst!$R$5:$W$9,MATCH(ROUNDUP((Z$1)/10,0)*10,[1]Hugst!$R$4:$W$4,0))))</f>
        <v>1747.16924470806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343.86619225075447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1570.8209247610421</v>
      </c>
      <c r="G302">
        <f ca="1">IF($C302-G$1&lt;År1,0,F301*(1-VLOOKUP($A302,[1]Hugst!$R$5:$W$9,MATCH(ROUNDUP((G$1)/10,0)*10,[1]Hugst!$R$4:$W$4,0))))</f>
        <v>1572.5488955763658</v>
      </c>
      <c r="H302">
        <f ca="1">IF($C302-H$1&lt;År1,0,G301*(1-VLOOKUP($A302,[1]Hugst!$R$5:$W$9,MATCH(ROUNDUP((H$1)/10,0)*10,[1]Hugst!$R$4:$W$4,0))))</f>
        <v>1574.2855496621232</v>
      </c>
      <c r="I302">
        <f ca="1">IF($C302-I$1&lt;År1,0,H301*(1-VLOOKUP($A302,[1]Hugst!$R$5:$W$9,MATCH(ROUNDUP((I$1)/10,0)*10,[1]Hugst!$R$4:$W$4,0))))</f>
        <v>1576.0309306528479</v>
      </c>
      <c r="J302">
        <f ca="1">IF($C302-J$1&lt;År1,0,I301*(1-VLOOKUP($A302,[1]Hugst!$R$5:$W$9,MATCH(ROUNDUP((J$1)/10,0)*10,[1]Hugst!$R$4:$W$4,0))))</f>
        <v>1577.7850824023017</v>
      </c>
      <c r="K302">
        <f ca="1">IF($C302-K$1&lt;År1,0,J301*(1-VLOOKUP($A302,[1]Hugst!$R$5:$W$9,MATCH(ROUNDUP((K$1)/10,0)*10,[1]Hugst!$R$4:$W$4,0))))</f>
        <v>1579.5480489846695</v>
      </c>
      <c r="L302">
        <f ca="1">IF($C302-L$1&lt;År1,0,K301*(1-VLOOKUP($A302,[1]Hugst!$R$5:$W$9,MATCH(ROUNDUP((L$1)/10,0)*10,[1]Hugst!$R$4:$W$4,0))))</f>
        <v>1581.3198746956041</v>
      </c>
      <c r="M302">
        <f ca="1">IF($C302-M$1&lt;År1,0,L301*(1-VLOOKUP($A302,[1]Hugst!$R$5:$W$9,MATCH(ROUNDUP((M$1)/10,0)*10,[1]Hugst!$R$4:$W$4,0))))</f>
        <v>1583.1006040533139</v>
      </c>
      <c r="N302">
        <f ca="1">IF($C302-N$1&lt;År1,0,M301*(1-VLOOKUP($A302,[1]Hugst!$R$5:$W$9,MATCH(ROUNDUP((N$1)/10,0)*10,[1]Hugst!$R$4:$W$4,0))))</f>
        <v>1584.8902817997587</v>
      </c>
      <c r="O302">
        <f ca="1">IF($C302-O$1&lt;År1,0,N301*(1-VLOOKUP($A302,[1]Hugst!$R$5:$W$9,MATCH(ROUNDUP((O$1)/10,0)*10,[1]Hugst!$R$4:$W$4,0))))</f>
        <v>1586.6889529017208</v>
      </c>
      <c r="P302">
        <f ca="1">IF($C302-P$1&lt;År1,0,O301*(1-VLOOKUP($A302,[1]Hugst!$R$5:$W$9,MATCH(ROUNDUP((P$1)/10,0)*10,[1]Hugst!$R$4:$W$4,0))))</f>
        <v>1588.4966625519155</v>
      </c>
      <c r="Q302">
        <f ca="1">IF($C302-Q$1&lt;År1,0,P301*(1-VLOOKUP($A302,[1]Hugst!$R$5:$W$9,MATCH(ROUNDUP((Q$1)/10,0)*10,[1]Hugst!$R$4:$W$4,0))))</f>
        <v>1728.4915332372013</v>
      </c>
      <c r="R302">
        <f ca="1">IF($C302-R$1&lt;År1,0,Q301*(1-VLOOKUP($A302,[1]Hugst!$R$5:$W$9,MATCH(ROUNDUP((R$1)/10,0)*10,[1]Hugst!$R$4:$W$4,0))))</f>
        <v>1730.3174564716644</v>
      </c>
      <c r="S302">
        <f ca="1">IF($C302-S$1&lt;År1,0,R301*(1-VLOOKUP($A302,[1]Hugst!$R$5:$W$9,MATCH(ROUNDUP((S$1)/10,0)*10,[1]Hugst!$R$4:$W$4,0))))</f>
        <v>1732.1525551997795</v>
      </c>
      <c r="T302">
        <f ca="1">IF($C302-T$1&lt;År1,0,S301*(1-VLOOKUP($A302,[1]Hugst!$R$5:$W$9,MATCH(ROUNDUP((T$1)/10,0)*10,[1]Hugst!$R$4:$W$4,0))))</f>
        <v>1733.9968755295329</v>
      </c>
      <c r="U302">
        <f ca="1">IF($C302-U$1&lt;År1,0,T301*(1-VLOOKUP($A302,[1]Hugst!$R$5:$W$9,MATCH(ROUNDUP((U$1)/10,0)*10,[1]Hugst!$R$4:$W$4,0))))</f>
        <v>1735.8504638006682</v>
      </c>
      <c r="V302">
        <f ca="1">IF($C302-V$1&lt;År1,0,U301*(1-VLOOKUP($A302,[1]Hugst!$R$5:$W$9,MATCH(ROUNDUP((V$1)/10,0)*10,[1]Hugst!$R$4:$W$4,0))))</f>
        <v>1737.7133665856938</v>
      </c>
      <c r="W302">
        <f ca="1">IF($C302-W$1&lt;År1,0,V301*(1-VLOOKUP($A302,[1]Hugst!$R$5:$W$9,MATCH(ROUNDUP((W$1)/10,0)*10,[1]Hugst!$R$4:$W$4,0))))</f>
        <v>1739.5856306912699</v>
      </c>
      <c r="X302">
        <f ca="1">IF($C302-X$1&lt;År1,0,W301*(1-VLOOKUP($A302,[1]Hugst!$R$5:$W$9,MATCH(ROUNDUP((X$1)/10,0)*10,[1]Hugst!$R$4:$W$4,0))))</f>
        <v>1741.4673031591697</v>
      </c>
      <c r="Y302">
        <f ca="1">IF($C302-Y$1&lt;År1,0,X301*(1-VLOOKUP($A302,[1]Hugst!$R$5:$W$9,MATCH(ROUNDUP((Y$1)/10,0)*10,[1]Hugst!$R$4:$W$4,0))))</f>
        <v>1743.3584312676312</v>
      </c>
      <c r="Z302">
        <f ca="1">IF($C302-Z$1&lt;År1,0,Y301*(1-VLOOKUP($A302,[1]Hugst!$R$5:$W$9,MATCH(ROUNDUP((Z$1)/10,0)*10,[1]Hugst!$R$4:$W$4,0))))</f>
        <v>1745.2590625324056</v>
      </c>
      <c r="AA302">
        <f ca="1">IF($C302-AA$1&lt;År1,0,Z301*(1-VLOOKUP($A302,[1]Hugst!$R$5:$W$9,MATCH(ROUNDUP((AA$1)/10,0)*10,[1]Hugst!$R$4:$W$4,0))))</f>
        <v>1747.16924470806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342.14686128949688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1569.1015937997845</v>
      </c>
      <c r="G303">
        <f ca="1">IF($C303-G$1&lt;År1,0,F302*(1-VLOOKUP($A303,[1]Hugst!$R$5:$W$9,MATCH(ROUNDUP((G$1)/10,0)*10,[1]Hugst!$R$4:$W$4,0))))</f>
        <v>1570.8209247610421</v>
      </c>
      <c r="H303">
        <f ca="1">IF($C303-H$1&lt;År1,0,G302*(1-VLOOKUP($A303,[1]Hugst!$R$5:$W$9,MATCH(ROUNDUP((H$1)/10,0)*10,[1]Hugst!$R$4:$W$4,0))))</f>
        <v>1572.5488955763658</v>
      </c>
      <c r="I303">
        <f ca="1">IF($C303-I$1&lt;År1,0,H302*(1-VLOOKUP($A303,[1]Hugst!$R$5:$W$9,MATCH(ROUNDUP((I$1)/10,0)*10,[1]Hugst!$R$4:$W$4,0))))</f>
        <v>1574.2855496621232</v>
      </c>
      <c r="J303">
        <f ca="1">IF($C303-J$1&lt;År1,0,I302*(1-VLOOKUP($A303,[1]Hugst!$R$5:$W$9,MATCH(ROUNDUP((J$1)/10,0)*10,[1]Hugst!$R$4:$W$4,0))))</f>
        <v>1576.0309306528479</v>
      </c>
      <c r="K303">
        <f ca="1">IF($C303-K$1&lt;År1,0,J302*(1-VLOOKUP($A303,[1]Hugst!$R$5:$W$9,MATCH(ROUNDUP((K$1)/10,0)*10,[1]Hugst!$R$4:$W$4,0))))</f>
        <v>1577.7850824023017</v>
      </c>
      <c r="L303">
        <f ca="1">IF($C303-L$1&lt;År1,0,K302*(1-VLOOKUP($A303,[1]Hugst!$R$5:$W$9,MATCH(ROUNDUP((L$1)/10,0)*10,[1]Hugst!$R$4:$W$4,0))))</f>
        <v>1579.5480489846695</v>
      </c>
      <c r="M303">
        <f ca="1">IF($C303-M$1&lt;År1,0,L302*(1-VLOOKUP($A303,[1]Hugst!$R$5:$W$9,MATCH(ROUNDUP((M$1)/10,0)*10,[1]Hugst!$R$4:$W$4,0))))</f>
        <v>1581.3198746956041</v>
      </c>
      <c r="N303">
        <f ca="1">IF($C303-N$1&lt;År1,0,M302*(1-VLOOKUP($A303,[1]Hugst!$R$5:$W$9,MATCH(ROUNDUP((N$1)/10,0)*10,[1]Hugst!$R$4:$W$4,0))))</f>
        <v>1583.1006040533139</v>
      </c>
      <c r="O303">
        <f ca="1">IF($C303-O$1&lt;År1,0,N302*(1-VLOOKUP($A303,[1]Hugst!$R$5:$W$9,MATCH(ROUNDUP((O$1)/10,0)*10,[1]Hugst!$R$4:$W$4,0))))</f>
        <v>1584.8902817997587</v>
      </c>
      <c r="P303">
        <f ca="1">IF($C303-P$1&lt;År1,0,O302*(1-VLOOKUP($A303,[1]Hugst!$R$5:$W$9,MATCH(ROUNDUP((P$1)/10,0)*10,[1]Hugst!$R$4:$W$4,0))))</f>
        <v>1586.6889529017208</v>
      </c>
      <c r="Q303">
        <f ca="1">IF($C303-Q$1&lt;År1,0,P302*(1-VLOOKUP($A303,[1]Hugst!$R$5:$W$9,MATCH(ROUNDUP((Q$1)/10,0)*10,[1]Hugst!$R$4:$W$4,0))))</f>
        <v>1588.4966625519155</v>
      </c>
      <c r="R303">
        <f ca="1">IF($C303-R$1&lt;År1,0,Q302*(1-VLOOKUP($A303,[1]Hugst!$R$5:$W$9,MATCH(ROUNDUP((R$1)/10,0)*10,[1]Hugst!$R$4:$W$4,0))))</f>
        <v>1728.4915332372013</v>
      </c>
      <c r="S303">
        <f ca="1">IF($C303-S$1&lt;År1,0,R302*(1-VLOOKUP($A303,[1]Hugst!$R$5:$W$9,MATCH(ROUNDUP((S$1)/10,0)*10,[1]Hugst!$R$4:$W$4,0))))</f>
        <v>1730.3174564716644</v>
      </c>
      <c r="T303">
        <f ca="1">IF($C303-T$1&lt;År1,0,S302*(1-VLOOKUP($A303,[1]Hugst!$R$5:$W$9,MATCH(ROUNDUP((T$1)/10,0)*10,[1]Hugst!$R$4:$W$4,0))))</f>
        <v>1732.1525551997795</v>
      </c>
      <c r="U303">
        <f ca="1">IF($C303-U$1&lt;År1,0,T302*(1-VLOOKUP($A303,[1]Hugst!$R$5:$W$9,MATCH(ROUNDUP((U$1)/10,0)*10,[1]Hugst!$R$4:$W$4,0))))</f>
        <v>1733.9968755295329</v>
      </c>
      <c r="V303">
        <f ca="1">IF($C303-V$1&lt;År1,0,U302*(1-VLOOKUP($A303,[1]Hugst!$R$5:$W$9,MATCH(ROUNDUP((V$1)/10,0)*10,[1]Hugst!$R$4:$W$4,0))))</f>
        <v>1735.8504638006682</v>
      </c>
      <c r="W303">
        <f ca="1">IF($C303-W$1&lt;År1,0,V302*(1-VLOOKUP($A303,[1]Hugst!$R$5:$W$9,MATCH(ROUNDUP((W$1)/10,0)*10,[1]Hugst!$R$4:$W$4,0))))</f>
        <v>1737.7133665856938</v>
      </c>
      <c r="X303">
        <f ca="1">IF($C303-X$1&lt;År1,0,W302*(1-VLOOKUP($A303,[1]Hugst!$R$5:$W$9,MATCH(ROUNDUP((X$1)/10,0)*10,[1]Hugst!$R$4:$W$4,0))))</f>
        <v>1739.5856306912699</v>
      </c>
      <c r="Y303">
        <f ca="1">IF($C303-Y$1&lt;År1,0,X302*(1-VLOOKUP($A303,[1]Hugst!$R$5:$W$9,MATCH(ROUNDUP((Y$1)/10,0)*10,[1]Hugst!$R$4:$W$4,0))))</f>
        <v>1741.4673031591697</v>
      </c>
      <c r="Z303">
        <f ca="1">IF($C303-Z$1&lt;År1,0,Y302*(1-VLOOKUP($A303,[1]Hugst!$R$5:$W$9,MATCH(ROUNDUP((Z$1)/10,0)*10,[1]Hugst!$R$4:$W$4,0))))</f>
        <v>1743.3584312676312</v>
      </c>
      <c r="AA303">
        <f ca="1">IF($C303-AA$1&lt;År1,0,Z302*(1-VLOOKUP($A303,[1]Hugst!$R$5:$W$9,MATCH(ROUNDUP((AA$1)/10,0)*10,[1]Hugst!$R$4:$W$4,0))))</f>
        <v>1745.2590625324056</v>
      </c>
      <c r="AB303">
        <f ca="1">IF($C303-AB$1&lt;År1,0,AA302*(1-VLOOKUP($A303,[1]Hugst!$R$5:$W$9,MATCH(ROUNDUP((AB$1)/10,0)*10,[1]Hugst!$R$4:$W$4,0))))</f>
        <v>1747.16924470806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340.43612698305151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1567.3908594933391</v>
      </c>
      <c r="G304">
        <f ca="1">IF($C304-G$1&lt;År1,0,F303*(1-VLOOKUP($A304,[1]Hugst!$R$5:$W$9,MATCH(ROUNDUP((G$1)/10,0)*10,[1]Hugst!$R$4:$W$4,0))))</f>
        <v>1569.1015937997845</v>
      </c>
      <c r="H304">
        <f ca="1">IF($C304-H$1&lt;År1,0,G303*(1-VLOOKUP($A304,[1]Hugst!$R$5:$W$9,MATCH(ROUNDUP((H$1)/10,0)*10,[1]Hugst!$R$4:$W$4,0))))</f>
        <v>1570.8209247610421</v>
      </c>
      <c r="I304">
        <f ca="1">IF($C304-I$1&lt;År1,0,H303*(1-VLOOKUP($A304,[1]Hugst!$R$5:$W$9,MATCH(ROUNDUP((I$1)/10,0)*10,[1]Hugst!$R$4:$W$4,0))))</f>
        <v>1572.5488955763658</v>
      </c>
      <c r="J304">
        <f ca="1">IF($C304-J$1&lt;År1,0,I303*(1-VLOOKUP($A304,[1]Hugst!$R$5:$W$9,MATCH(ROUNDUP((J$1)/10,0)*10,[1]Hugst!$R$4:$W$4,0))))</f>
        <v>1574.2855496621232</v>
      </c>
      <c r="K304">
        <f ca="1">IF($C304-K$1&lt;År1,0,J303*(1-VLOOKUP($A304,[1]Hugst!$R$5:$W$9,MATCH(ROUNDUP((K$1)/10,0)*10,[1]Hugst!$R$4:$W$4,0))))</f>
        <v>1576.0309306528479</v>
      </c>
      <c r="L304">
        <f ca="1">IF($C304-L$1&lt;År1,0,K303*(1-VLOOKUP($A304,[1]Hugst!$R$5:$W$9,MATCH(ROUNDUP((L$1)/10,0)*10,[1]Hugst!$R$4:$W$4,0))))</f>
        <v>1577.7850824023017</v>
      </c>
      <c r="M304">
        <f ca="1">IF($C304-M$1&lt;År1,0,L303*(1-VLOOKUP($A304,[1]Hugst!$R$5:$W$9,MATCH(ROUNDUP((M$1)/10,0)*10,[1]Hugst!$R$4:$W$4,0))))</f>
        <v>1579.5480489846695</v>
      </c>
      <c r="N304">
        <f ca="1">IF($C304-N$1&lt;År1,0,M303*(1-VLOOKUP($A304,[1]Hugst!$R$5:$W$9,MATCH(ROUNDUP((N$1)/10,0)*10,[1]Hugst!$R$4:$W$4,0))))</f>
        <v>1581.3198746956041</v>
      </c>
      <c r="O304">
        <f ca="1">IF($C304-O$1&lt;År1,0,N303*(1-VLOOKUP($A304,[1]Hugst!$R$5:$W$9,MATCH(ROUNDUP((O$1)/10,0)*10,[1]Hugst!$R$4:$W$4,0))))</f>
        <v>1583.1006040533139</v>
      </c>
      <c r="P304">
        <f ca="1">IF($C304-P$1&lt;År1,0,O303*(1-VLOOKUP($A304,[1]Hugst!$R$5:$W$9,MATCH(ROUNDUP((P$1)/10,0)*10,[1]Hugst!$R$4:$W$4,0))))</f>
        <v>1584.8902817997587</v>
      </c>
      <c r="Q304">
        <f ca="1">IF($C304-Q$1&lt;År1,0,P303*(1-VLOOKUP($A304,[1]Hugst!$R$5:$W$9,MATCH(ROUNDUP((Q$1)/10,0)*10,[1]Hugst!$R$4:$W$4,0))))</f>
        <v>1586.6889529017208</v>
      </c>
      <c r="R304">
        <f ca="1">IF($C304-R$1&lt;År1,0,Q303*(1-VLOOKUP($A304,[1]Hugst!$R$5:$W$9,MATCH(ROUNDUP((R$1)/10,0)*10,[1]Hugst!$R$4:$W$4,0))))</f>
        <v>1588.4966625519155</v>
      </c>
      <c r="S304">
        <f ca="1">IF($C304-S$1&lt;År1,0,R303*(1-VLOOKUP($A304,[1]Hugst!$R$5:$W$9,MATCH(ROUNDUP((S$1)/10,0)*10,[1]Hugst!$R$4:$W$4,0))))</f>
        <v>1728.4915332372013</v>
      </c>
      <c r="T304">
        <f ca="1">IF($C304-T$1&lt;År1,0,S303*(1-VLOOKUP($A304,[1]Hugst!$R$5:$W$9,MATCH(ROUNDUP((T$1)/10,0)*10,[1]Hugst!$R$4:$W$4,0))))</f>
        <v>1730.3174564716644</v>
      </c>
      <c r="U304">
        <f ca="1">IF($C304-U$1&lt;År1,0,T303*(1-VLOOKUP($A304,[1]Hugst!$R$5:$W$9,MATCH(ROUNDUP((U$1)/10,0)*10,[1]Hugst!$R$4:$W$4,0))))</f>
        <v>1732.1525551997795</v>
      </c>
      <c r="V304">
        <f ca="1">IF($C304-V$1&lt;År1,0,U303*(1-VLOOKUP($A304,[1]Hugst!$R$5:$W$9,MATCH(ROUNDUP((V$1)/10,0)*10,[1]Hugst!$R$4:$W$4,0))))</f>
        <v>1733.9968755295329</v>
      </c>
      <c r="W304">
        <f ca="1">IF($C304-W$1&lt;År1,0,V303*(1-VLOOKUP($A304,[1]Hugst!$R$5:$W$9,MATCH(ROUNDUP((W$1)/10,0)*10,[1]Hugst!$R$4:$W$4,0))))</f>
        <v>1735.8504638006682</v>
      </c>
      <c r="X304">
        <f ca="1">IF($C304-X$1&lt;År1,0,W303*(1-VLOOKUP($A304,[1]Hugst!$R$5:$W$9,MATCH(ROUNDUP((X$1)/10,0)*10,[1]Hugst!$R$4:$W$4,0))))</f>
        <v>1737.7133665856938</v>
      </c>
      <c r="Y304">
        <f ca="1">IF($C304-Y$1&lt;År1,0,X303*(1-VLOOKUP($A304,[1]Hugst!$R$5:$W$9,MATCH(ROUNDUP((Y$1)/10,0)*10,[1]Hugst!$R$4:$W$4,0))))</f>
        <v>1739.5856306912699</v>
      </c>
      <c r="Z304">
        <f ca="1">IF($C304-Z$1&lt;År1,0,Y303*(1-VLOOKUP($A304,[1]Hugst!$R$5:$W$9,MATCH(ROUNDUP((Z$1)/10,0)*10,[1]Hugst!$R$4:$W$4,0))))</f>
        <v>1741.4673031591697</v>
      </c>
      <c r="AA304">
        <f ca="1">IF($C304-AA$1&lt;År1,0,Z303*(1-VLOOKUP($A304,[1]Hugst!$R$5:$W$9,MATCH(ROUNDUP((AA$1)/10,0)*10,[1]Hugst!$R$4:$W$4,0))))</f>
        <v>1743.3584312676312</v>
      </c>
      <c r="AB304">
        <f ca="1">IF($C304-AB$1&lt;År1,0,AA303*(1-VLOOKUP($A304,[1]Hugst!$R$5:$W$9,MATCH(ROUNDUP((AB$1)/10,0)*10,[1]Hugst!$R$4:$W$4,0))))</f>
        <v>1745.2590625324056</v>
      </c>
      <c r="AC304">
        <f ca="1">IF($C304-AC$1&lt;År1,0,AB303*(1-VLOOKUP($A304,[1]Hugst!$R$5:$W$9,MATCH(ROUNDUP((AC$1)/10,0)*10,[1]Hugst!$R$4:$W$4,0))))</f>
        <v>1747.16924470806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338.73394634813121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1565.6886788584188</v>
      </c>
      <c r="G305">
        <f ca="1">IF($C305-G$1&lt;År1,0,F304*(1-VLOOKUP($A305,[1]Hugst!$R$5:$W$9,MATCH(ROUNDUP((G$1)/10,0)*10,[1]Hugst!$R$4:$W$4,0))))</f>
        <v>1567.3908594933391</v>
      </c>
      <c r="H305">
        <f ca="1">IF($C305-H$1&lt;År1,0,G304*(1-VLOOKUP($A305,[1]Hugst!$R$5:$W$9,MATCH(ROUNDUP((H$1)/10,0)*10,[1]Hugst!$R$4:$W$4,0))))</f>
        <v>1569.1015937997845</v>
      </c>
      <c r="I305">
        <f ca="1">IF($C305-I$1&lt;År1,0,H304*(1-VLOOKUP($A305,[1]Hugst!$R$5:$W$9,MATCH(ROUNDUP((I$1)/10,0)*10,[1]Hugst!$R$4:$W$4,0))))</f>
        <v>1570.8209247610421</v>
      </c>
      <c r="J305">
        <f ca="1">IF($C305-J$1&lt;År1,0,I304*(1-VLOOKUP($A305,[1]Hugst!$R$5:$W$9,MATCH(ROUNDUP((J$1)/10,0)*10,[1]Hugst!$R$4:$W$4,0))))</f>
        <v>1572.5488955763658</v>
      </c>
      <c r="K305">
        <f ca="1">IF($C305-K$1&lt;År1,0,J304*(1-VLOOKUP($A305,[1]Hugst!$R$5:$W$9,MATCH(ROUNDUP((K$1)/10,0)*10,[1]Hugst!$R$4:$W$4,0))))</f>
        <v>1574.2855496621232</v>
      </c>
      <c r="L305">
        <f ca="1">IF($C305-L$1&lt;År1,0,K304*(1-VLOOKUP($A305,[1]Hugst!$R$5:$W$9,MATCH(ROUNDUP((L$1)/10,0)*10,[1]Hugst!$R$4:$W$4,0))))</f>
        <v>1576.0309306528479</v>
      </c>
      <c r="M305">
        <f ca="1">IF($C305-M$1&lt;År1,0,L304*(1-VLOOKUP($A305,[1]Hugst!$R$5:$W$9,MATCH(ROUNDUP((M$1)/10,0)*10,[1]Hugst!$R$4:$W$4,0))))</f>
        <v>1577.7850824023017</v>
      </c>
      <c r="N305">
        <f ca="1">IF($C305-N$1&lt;År1,0,M304*(1-VLOOKUP($A305,[1]Hugst!$R$5:$W$9,MATCH(ROUNDUP((N$1)/10,0)*10,[1]Hugst!$R$4:$W$4,0))))</f>
        <v>1579.5480489846695</v>
      </c>
      <c r="O305">
        <f ca="1">IF($C305-O$1&lt;År1,0,N304*(1-VLOOKUP($A305,[1]Hugst!$R$5:$W$9,MATCH(ROUNDUP((O$1)/10,0)*10,[1]Hugst!$R$4:$W$4,0))))</f>
        <v>1581.3198746956041</v>
      </c>
      <c r="P305">
        <f ca="1">IF($C305-P$1&lt;År1,0,O304*(1-VLOOKUP($A305,[1]Hugst!$R$5:$W$9,MATCH(ROUNDUP((P$1)/10,0)*10,[1]Hugst!$R$4:$W$4,0))))</f>
        <v>1583.1006040533139</v>
      </c>
      <c r="Q305">
        <f ca="1">IF($C305-Q$1&lt;År1,0,P304*(1-VLOOKUP($A305,[1]Hugst!$R$5:$W$9,MATCH(ROUNDUP((Q$1)/10,0)*10,[1]Hugst!$R$4:$W$4,0))))</f>
        <v>1584.8902817997587</v>
      </c>
      <c r="R305">
        <f ca="1">IF($C305-R$1&lt;År1,0,Q304*(1-VLOOKUP($A305,[1]Hugst!$R$5:$W$9,MATCH(ROUNDUP((R$1)/10,0)*10,[1]Hugst!$R$4:$W$4,0))))</f>
        <v>1586.6889529017208</v>
      </c>
      <c r="S305">
        <f ca="1">IF($C305-S$1&lt;År1,0,R304*(1-VLOOKUP($A305,[1]Hugst!$R$5:$W$9,MATCH(ROUNDUP((S$1)/10,0)*10,[1]Hugst!$R$4:$W$4,0))))</f>
        <v>1588.4966625519155</v>
      </c>
      <c r="T305">
        <f ca="1">IF($C305-T$1&lt;År1,0,S304*(1-VLOOKUP($A305,[1]Hugst!$R$5:$W$9,MATCH(ROUNDUP((T$1)/10,0)*10,[1]Hugst!$R$4:$W$4,0))))</f>
        <v>1728.4915332372013</v>
      </c>
      <c r="U305">
        <f ca="1">IF($C305-U$1&lt;År1,0,T304*(1-VLOOKUP($A305,[1]Hugst!$R$5:$W$9,MATCH(ROUNDUP((U$1)/10,0)*10,[1]Hugst!$R$4:$W$4,0))))</f>
        <v>1730.3174564716644</v>
      </c>
      <c r="V305">
        <f ca="1">IF($C305-V$1&lt;År1,0,U304*(1-VLOOKUP($A305,[1]Hugst!$R$5:$W$9,MATCH(ROUNDUP((V$1)/10,0)*10,[1]Hugst!$R$4:$W$4,0))))</f>
        <v>1732.1525551997795</v>
      </c>
      <c r="W305">
        <f ca="1">IF($C305-W$1&lt;År1,0,V304*(1-VLOOKUP($A305,[1]Hugst!$R$5:$W$9,MATCH(ROUNDUP((W$1)/10,0)*10,[1]Hugst!$R$4:$W$4,0))))</f>
        <v>1733.9968755295329</v>
      </c>
      <c r="X305">
        <f ca="1">IF($C305-X$1&lt;År1,0,W304*(1-VLOOKUP($A305,[1]Hugst!$R$5:$W$9,MATCH(ROUNDUP((X$1)/10,0)*10,[1]Hugst!$R$4:$W$4,0))))</f>
        <v>1735.8504638006682</v>
      </c>
      <c r="Y305">
        <f ca="1">IF($C305-Y$1&lt;År1,0,X304*(1-VLOOKUP($A305,[1]Hugst!$R$5:$W$9,MATCH(ROUNDUP((Y$1)/10,0)*10,[1]Hugst!$R$4:$W$4,0))))</f>
        <v>1737.7133665856938</v>
      </c>
      <c r="Z305">
        <f ca="1">IF($C305-Z$1&lt;År1,0,Y304*(1-VLOOKUP($A305,[1]Hugst!$R$5:$W$9,MATCH(ROUNDUP((Z$1)/10,0)*10,[1]Hugst!$R$4:$W$4,0))))</f>
        <v>1739.5856306912699</v>
      </c>
      <c r="AA305">
        <f ca="1">IF($C305-AA$1&lt;År1,0,Z304*(1-VLOOKUP($A305,[1]Hugst!$R$5:$W$9,MATCH(ROUNDUP((AA$1)/10,0)*10,[1]Hugst!$R$4:$W$4,0))))</f>
        <v>1741.4673031591697</v>
      </c>
      <c r="AB305">
        <f ca="1">IF($C305-AB$1&lt;År1,0,AA304*(1-VLOOKUP($A305,[1]Hugst!$R$5:$W$9,MATCH(ROUNDUP((AB$1)/10,0)*10,[1]Hugst!$R$4:$W$4,0))))</f>
        <v>1743.3584312676312</v>
      </c>
      <c r="AC305">
        <f ca="1">IF($C305-AC$1&lt;År1,0,AB304*(1-VLOOKUP($A305,[1]Hugst!$R$5:$W$9,MATCH(ROUNDUP((AC$1)/10,0)*10,[1]Hugst!$R$4:$W$4,0))))</f>
        <v>1745.2590625324056</v>
      </c>
      <c r="AD305">
        <f ca="1">IF($C305-AD$1&lt;År1,0,AC304*(1-VLOOKUP($A305,[1]Hugst!$R$5:$W$9,MATCH(ROUNDUP((AD$1)/10,0)*10,[1]Hugst!$R$4:$W$4,0))))</f>
        <v>1747.16924470806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337.04027661639157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1563.9950091266792</v>
      </c>
      <c r="G306">
        <f ca="1">IF($C306-G$1&lt;År1,0,F305*(1-VLOOKUP($A306,[1]Hugst!$R$5:$W$9,MATCH(ROUNDUP((G$1)/10,0)*10,[1]Hugst!$R$4:$W$4,0))))</f>
        <v>1565.6886788584188</v>
      </c>
      <c r="H306">
        <f ca="1">IF($C306-H$1&lt;År1,0,G305*(1-VLOOKUP($A306,[1]Hugst!$R$5:$W$9,MATCH(ROUNDUP((H$1)/10,0)*10,[1]Hugst!$R$4:$W$4,0))))</f>
        <v>1567.3908594933391</v>
      </c>
      <c r="I306">
        <f ca="1">IF($C306-I$1&lt;År1,0,H305*(1-VLOOKUP($A306,[1]Hugst!$R$5:$W$9,MATCH(ROUNDUP((I$1)/10,0)*10,[1]Hugst!$R$4:$W$4,0))))</f>
        <v>1569.1015937997845</v>
      </c>
      <c r="J306">
        <f ca="1">IF($C306-J$1&lt;År1,0,I305*(1-VLOOKUP($A306,[1]Hugst!$R$5:$W$9,MATCH(ROUNDUP((J$1)/10,0)*10,[1]Hugst!$R$4:$W$4,0))))</f>
        <v>1570.8209247610421</v>
      </c>
      <c r="K306">
        <f ca="1">IF($C306-K$1&lt;År1,0,J305*(1-VLOOKUP($A306,[1]Hugst!$R$5:$W$9,MATCH(ROUNDUP((K$1)/10,0)*10,[1]Hugst!$R$4:$W$4,0))))</f>
        <v>1572.5488955763658</v>
      </c>
      <c r="L306">
        <f ca="1">IF($C306-L$1&lt;År1,0,K305*(1-VLOOKUP($A306,[1]Hugst!$R$5:$W$9,MATCH(ROUNDUP((L$1)/10,0)*10,[1]Hugst!$R$4:$W$4,0))))</f>
        <v>1574.2855496621232</v>
      </c>
      <c r="M306">
        <f ca="1">IF($C306-M$1&lt;År1,0,L305*(1-VLOOKUP($A306,[1]Hugst!$R$5:$W$9,MATCH(ROUNDUP((M$1)/10,0)*10,[1]Hugst!$R$4:$W$4,0))))</f>
        <v>1576.0309306528479</v>
      </c>
      <c r="N306">
        <f ca="1">IF($C306-N$1&lt;År1,0,M305*(1-VLOOKUP($A306,[1]Hugst!$R$5:$W$9,MATCH(ROUNDUP((N$1)/10,0)*10,[1]Hugst!$R$4:$W$4,0))))</f>
        <v>1577.7850824023017</v>
      </c>
      <c r="O306">
        <f ca="1">IF($C306-O$1&lt;År1,0,N305*(1-VLOOKUP($A306,[1]Hugst!$R$5:$W$9,MATCH(ROUNDUP((O$1)/10,0)*10,[1]Hugst!$R$4:$W$4,0))))</f>
        <v>1579.5480489846695</v>
      </c>
      <c r="P306">
        <f ca="1">IF($C306-P$1&lt;År1,0,O305*(1-VLOOKUP($A306,[1]Hugst!$R$5:$W$9,MATCH(ROUNDUP((P$1)/10,0)*10,[1]Hugst!$R$4:$W$4,0))))</f>
        <v>1581.3198746956041</v>
      </c>
      <c r="Q306">
        <f ca="1">IF($C306-Q$1&lt;År1,0,P305*(1-VLOOKUP($A306,[1]Hugst!$R$5:$W$9,MATCH(ROUNDUP((Q$1)/10,0)*10,[1]Hugst!$R$4:$W$4,0))))</f>
        <v>1583.1006040533139</v>
      </c>
      <c r="R306">
        <f ca="1">IF($C306-R$1&lt;År1,0,Q305*(1-VLOOKUP($A306,[1]Hugst!$R$5:$W$9,MATCH(ROUNDUP((R$1)/10,0)*10,[1]Hugst!$R$4:$W$4,0))))</f>
        <v>1584.8902817997587</v>
      </c>
      <c r="S306">
        <f ca="1">IF($C306-S$1&lt;År1,0,R305*(1-VLOOKUP($A306,[1]Hugst!$R$5:$W$9,MATCH(ROUNDUP((S$1)/10,0)*10,[1]Hugst!$R$4:$W$4,0))))</f>
        <v>1586.6889529017208</v>
      </c>
      <c r="T306">
        <f ca="1">IF($C306-T$1&lt;År1,0,S305*(1-VLOOKUP($A306,[1]Hugst!$R$5:$W$9,MATCH(ROUNDUP((T$1)/10,0)*10,[1]Hugst!$R$4:$W$4,0))))</f>
        <v>1588.4966625519155</v>
      </c>
      <c r="U306">
        <f ca="1">IF($C306-U$1&lt;År1,0,T305*(1-VLOOKUP($A306,[1]Hugst!$R$5:$W$9,MATCH(ROUNDUP((U$1)/10,0)*10,[1]Hugst!$R$4:$W$4,0))))</f>
        <v>1728.4915332372013</v>
      </c>
      <c r="V306">
        <f ca="1">IF($C306-V$1&lt;År1,0,U305*(1-VLOOKUP($A306,[1]Hugst!$R$5:$W$9,MATCH(ROUNDUP((V$1)/10,0)*10,[1]Hugst!$R$4:$W$4,0))))</f>
        <v>1730.3174564716644</v>
      </c>
      <c r="W306">
        <f ca="1">IF($C306-W$1&lt;År1,0,V305*(1-VLOOKUP($A306,[1]Hugst!$R$5:$W$9,MATCH(ROUNDUP((W$1)/10,0)*10,[1]Hugst!$R$4:$W$4,0))))</f>
        <v>1732.1525551997795</v>
      </c>
      <c r="X306">
        <f ca="1">IF($C306-X$1&lt;År1,0,W305*(1-VLOOKUP($A306,[1]Hugst!$R$5:$W$9,MATCH(ROUNDUP((X$1)/10,0)*10,[1]Hugst!$R$4:$W$4,0))))</f>
        <v>1733.9968755295329</v>
      </c>
      <c r="Y306">
        <f ca="1">IF($C306-Y$1&lt;År1,0,X305*(1-VLOOKUP($A306,[1]Hugst!$R$5:$W$9,MATCH(ROUNDUP((Y$1)/10,0)*10,[1]Hugst!$R$4:$W$4,0))))</f>
        <v>1735.8504638006682</v>
      </c>
      <c r="Z306">
        <f ca="1">IF($C306-Z$1&lt;År1,0,Y305*(1-VLOOKUP($A306,[1]Hugst!$R$5:$W$9,MATCH(ROUNDUP((Z$1)/10,0)*10,[1]Hugst!$R$4:$W$4,0))))</f>
        <v>1737.7133665856938</v>
      </c>
      <c r="AA306">
        <f ca="1">IF($C306-AA$1&lt;År1,0,Z305*(1-VLOOKUP($A306,[1]Hugst!$R$5:$W$9,MATCH(ROUNDUP((AA$1)/10,0)*10,[1]Hugst!$R$4:$W$4,0))))</f>
        <v>1739.5856306912699</v>
      </c>
      <c r="AB306">
        <f ca="1">IF($C306-AB$1&lt;År1,0,AA305*(1-VLOOKUP($A306,[1]Hugst!$R$5:$W$9,MATCH(ROUNDUP((AB$1)/10,0)*10,[1]Hugst!$R$4:$W$4,0))))</f>
        <v>1741.4673031591697</v>
      </c>
      <c r="AC306">
        <f ca="1">IF($C306-AC$1&lt;År1,0,AB305*(1-VLOOKUP($A306,[1]Hugst!$R$5:$W$9,MATCH(ROUNDUP((AC$1)/10,0)*10,[1]Hugst!$R$4:$W$4,0))))</f>
        <v>1743.3584312676312</v>
      </c>
      <c r="AD306">
        <f ca="1">IF($C306-AD$1&lt;År1,0,AC305*(1-VLOOKUP($A306,[1]Hugst!$R$5:$W$9,MATCH(ROUNDUP((AD$1)/10,0)*10,[1]Hugst!$R$4:$W$4,0))))</f>
        <v>1745.2590625324056</v>
      </c>
      <c r="AE306">
        <f ca="1">IF($C306-AE$1&lt;År1,0,AD305*(1-VLOOKUP($A306,[1]Hugst!$R$5:$W$9,MATCH(ROUNDUP((AE$1)/10,0)*10,[1]Hugst!$R$4:$W$4,0))))</f>
        <v>1747.16924470806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335.35507523331944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1562.3098077436071</v>
      </c>
      <c r="G307">
        <f ca="1">IF($C307-G$1&lt;År1,0,F306*(1-VLOOKUP($A307,[1]Hugst!$R$5:$W$9,MATCH(ROUNDUP((G$1)/10,0)*10,[1]Hugst!$R$4:$W$4,0))))</f>
        <v>1563.9950091266792</v>
      </c>
      <c r="H307">
        <f ca="1">IF($C307-H$1&lt;År1,0,G306*(1-VLOOKUP($A307,[1]Hugst!$R$5:$W$9,MATCH(ROUNDUP((H$1)/10,0)*10,[1]Hugst!$R$4:$W$4,0))))</f>
        <v>1565.6886788584188</v>
      </c>
      <c r="I307">
        <f ca="1">IF($C307-I$1&lt;År1,0,H306*(1-VLOOKUP($A307,[1]Hugst!$R$5:$W$9,MATCH(ROUNDUP((I$1)/10,0)*10,[1]Hugst!$R$4:$W$4,0))))</f>
        <v>1567.3908594933391</v>
      </c>
      <c r="J307">
        <f ca="1">IF($C307-J$1&lt;År1,0,I306*(1-VLOOKUP($A307,[1]Hugst!$R$5:$W$9,MATCH(ROUNDUP((J$1)/10,0)*10,[1]Hugst!$R$4:$W$4,0))))</f>
        <v>1569.1015937997845</v>
      </c>
      <c r="K307">
        <f ca="1">IF($C307-K$1&lt;År1,0,J306*(1-VLOOKUP($A307,[1]Hugst!$R$5:$W$9,MATCH(ROUNDUP((K$1)/10,0)*10,[1]Hugst!$R$4:$W$4,0))))</f>
        <v>1570.8209247610421</v>
      </c>
      <c r="L307">
        <f ca="1">IF($C307-L$1&lt;År1,0,K306*(1-VLOOKUP($A307,[1]Hugst!$R$5:$W$9,MATCH(ROUNDUP((L$1)/10,0)*10,[1]Hugst!$R$4:$W$4,0))))</f>
        <v>1572.5488955763658</v>
      </c>
      <c r="M307">
        <f ca="1">IF($C307-M$1&lt;År1,0,L306*(1-VLOOKUP($A307,[1]Hugst!$R$5:$W$9,MATCH(ROUNDUP((M$1)/10,0)*10,[1]Hugst!$R$4:$W$4,0))))</f>
        <v>1574.2855496621232</v>
      </c>
      <c r="N307">
        <f ca="1">IF($C307-N$1&lt;År1,0,M306*(1-VLOOKUP($A307,[1]Hugst!$R$5:$W$9,MATCH(ROUNDUP((N$1)/10,0)*10,[1]Hugst!$R$4:$W$4,0))))</f>
        <v>1576.0309306528479</v>
      </c>
      <c r="O307">
        <f ca="1">IF($C307-O$1&lt;År1,0,N306*(1-VLOOKUP($A307,[1]Hugst!$R$5:$W$9,MATCH(ROUNDUP((O$1)/10,0)*10,[1]Hugst!$R$4:$W$4,0))))</f>
        <v>1577.7850824023017</v>
      </c>
      <c r="P307">
        <f ca="1">IF($C307-P$1&lt;År1,0,O306*(1-VLOOKUP($A307,[1]Hugst!$R$5:$W$9,MATCH(ROUNDUP((P$1)/10,0)*10,[1]Hugst!$R$4:$W$4,0))))</f>
        <v>1579.5480489846695</v>
      </c>
      <c r="Q307">
        <f ca="1">IF($C307-Q$1&lt;År1,0,P306*(1-VLOOKUP($A307,[1]Hugst!$R$5:$W$9,MATCH(ROUNDUP((Q$1)/10,0)*10,[1]Hugst!$R$4:$W$4,0))))</f>
        <v>1581.3198746956041</v>
      </c>
      <c r="R307">
        <f ca="1">IF($C307-R$1&lt;År1,0,Q306*(1-VLOOKUP($A307,[1]Hugst!$R$5:$W$9,MATCH(ROUNDUP((R$1)/10,0)*10,[1]Hugst!$R$4:$W$4,0))))</f>
        <v>1583.1006040533139</v>
      </c>
      <c r="S307">
        <f ca="1">IF($C307-S$1&lt;År1,0,R306*(1-VLOOKUP($A307,[1]Hugst!$R$5:$W$9,MATCH(ROUNDUP((S$1)/10,0)*10,[1]Hugst!$R$4:$W$4,0))))</f>
        <v>1584.8902817997587</v>
      </c>
      <c r="T307">
        <f ca="1">IF($C307-T$1&lt;År1,0,S306*(1-VLOOKUP($A307,[1]Hugst!$R$5:$W$9,MATCH(ROUNDUP((T$1)/10,0)*10,[1]Hugst!$R$4:$W$4,0))))</f>
        <v>1586.6889529017208</v>
      </c>
      <c r="U307">
        <f ca="1">IF($C307-U$1&lt;År1,0,T306*(1-VLOOKUP($A307,[1]Hugst!$R$5:$W$9,MATCH(ROUNDUP((U$1)/10,0)*10,[1]Hugst!$R$4:$W$4,0))))</f>
        <v>1588.4966625519155</v>
      </c>
      <c r="V307">
        <f ca="1">IF($C307-V$1&lt;År1,0,U306*(1-VLOOKUP($A307,[1]Hugst!$R$5:$W$9,MATCH(ROUNDUP((V$1)/10,0)*10,[1]Hugst!$R$4:$W$4,0))))</f>
        <v>1728.4915332372013</v>
      </c>
      <c r="W307">
        <f ca="1">IF($C307-W$1&lt;År1,0,V306*(1-VLOOKUP($A307,[1]Hugst!$R$5:$W$9,MATCH(ROUNDUP((W$1)/10,0)*10,[1]Hugst!$R$4:$W$4,0))))</f>
        <v>1730.3174564716644</v>
      </c>
      <c r="X307">
        <f ca="1">IF($C307-X$1&lt;År1,0,W306*(1-VLOOKUP($A307,[1]Hugst!$R$5:$W$9,MATCH(ROUNDUP((X$1)/10,0)*10,[1]Hugst!$R$4:$W$4,0))))</f>
        <v>1732.1525551997795</v>
      </c>
      <c r="Y307">
        <f ca="1">IF($C307-Y$1&lt;År1,0,X306*(1-VLOOKUP($A307,[1]Hugst!$R$5:$W$9,MATCH(ROUNDUP((Y$1)/10,0)*10,[1]Hugst!$R$4:$W$4,0))))</f>
        <v>1733.9968755295329</v>
      </c>
      <c r="Z307">
        <f ca="1">IF($C307-Z$1&lt;År1,0,Y306*(1-VLOOKUP($A307,[1]Hugst!$R$5:$W$9,MATCH(ROUNDUP((Z$1)/10,0)*10,[1]Hugst!$R$4:$W$4,0))))</f>
        <v>1735.8504638006682</v>
      </c>
      <c r="AA307">
        <f ca="1">IF($C307-AA$1&lt;År1,0,Z306*(1-VLOOKUP($A307,[1]Hugst!$R$5:$W$9,MATCH(ROUNDUP((AA$1)/10,0)*10,[1]Hugst!$R$4:$W$4,0))))</f>
        <v>1737.7133665856938</v>
      </c>
      <c r="AB307">
        <f ca="1">IF($C307-AB$1&lt;År1,0,AA306*(1-VLOOKUP($A307,[1]Hugst!$R$5:$W$9,MATCH(ROUNDUP((AB$1)/10,0)*10,[1]Hugst!$R$4:$W$4,0))))</f>
        <v>1739.5856306912699</v>
      </c>
      <c r="AC307">
        <f ca="1">IF($C307-AC$1&lt;År1,0,AB306*(1-VLOOKUP($A307,[1]Hugst!$R$5:$W$9,MATCH(ROUNDUP((AC$1)/10,0)*10,[1]Hugst!$R$4:$W$4,0))))</f>
        <v>1741.4673031591697</v>
      </c>
      <c r="AD307">
        <f ca="1">IF($C307-AD$1&lt;År1,0,AC306*(1-VLOOKUP($A307,[1]Hugst!$R$5:$W$9,MATCH(ROUNDUP((AD$1)/10,0)*10,[1]Hugst!$R$4:$W$4,0))))</f>
        <v>1743.3584312676312</v>
      </c>
      <c r="AE307">
        <f ca="1">IF($C307-AE$1&lt;År1,0,AD306*(1-VLOOKUP($A307,[1]Hugst!$R$5:$W$9,MATCH(ROUNDUP((AE$1)/10,0)*10,[1]Hugst!$R$4:$W$4,0))))</f>
        <v>1745.2590625324056</v>
      </c>
      <c r="AF307">
        <f ca="1">IF($C307-AF$1&lt;År1,0,AE306*(1-VLOOKUP($A307,[1]Hugst!$R$5:$W$9,MATCH(ROUNDUP((AF$1)/10,0)*10,[1]Hugst!$R$4:$W$4,0))))</f>
        <v>1747.16924470806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333.67829985713252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1560.6330323674201</v>
      </c>
      <c r="G308">
        <f ca="1">IF($C308-G$1&lt;År1,0,F307*(1-VLOOKUP($A308,[1]Hugst!$R$5:$W$9,MATCH(ROUNDUP((G$1)/10,0)*10,[1]Hugst!$R$4:$W$4,0))))</f>
        <v>1562.3098077436071</v>
      </c>
      <c r="H308">
        <f ca="1">IF($C308-H$1&lt;År1,0,G307*(1-VLOOKUP($A308,[1]Hugst!$R$5:$W$9,MATCH(ROUNDUP((H$1)/10,0)*10,[1]Hugst!$R$4:$W$4,0))))</f>
        <v>1563.9950091266792</v>
      </c>
      <c r="I308">
        <f ca="1">IF($C308-I$1&lt;År1,0,H307*(1-VLOOKUP($A308,[1]Hugst!$R$5:$W$9,MATCH(ROUNDUP((I$1)/10,0)*10,[1]Hugst!$R$4:$W$4,0))))</f>
        <v>1565.6886788584188</v>
      </c>
      <c r="J308">
        <f ca="1">IF($C308-J$1&lt;År1,0,I307*(1-VLOOKUP($A308,[1]Hugst!$R$5:$W$9,MATCH(ROUNDUP((J$1)/10,0)*10,[1]Hugst!$R$4:$W$4,0))))</f>
        <v>1567.3908594933391</v>
      </c>
      <c r="K308">
        <f ca="1">IF($C308-K$1&lt;År1,0,J307*(1-VLOOKUP($A308,[1]Hugst!$R$5:$W$9,MATCH(ROUNDUP((K$1)/10,0)*10,[1]Hugst!$R$4:$W$4,0))))</f>
        <v>1569.1015937997845</v>
      </c>
      <c r="L308">
        <f ca="1">IF($C308-L$1&lt;År1,0,K307*(1-VLOOKUP($A308,[1]Hugst!$R$5:$W$9,MATCH(ROUNDUP((L$1)/10,0)*10,[1]Hugst!$R$4:$W$4,0))))</f>
        <v>1570.8209247610421</v>
      </c>
      <c r="M308">
        <f ca="1">IF($C308-M$1&lt;År1,0,L307*(1-VLOOKUP($A308,[1]Hugst!$R$5:$W$9,MATCH(ROUNDUP((M$1)/10,0)*10,[1]Hugst!$R$4:$W$4,0))))</f>
        <v>1572.5488955763658</v>
      </c>
      <c r="N308">
        <f ca="1">IF($C308-N$1&lt;År1,0,M307*(1-VLOOKUP($A308,[1]Hugst!$R$5:$W$9,MATCH(ROUNDUP((N$1)/10,0)*10,[1]Hugst!$R$4:$W$4,0))))</f>
        <v>1574.2855496621232</v>
      </c>
      <c r="O308">
        <f ca="1">IF($C308-O$1&lt;År1,0,N307*(1-VLOOKUP($A308,[1]Hugst!$R$5:$W$9,MATCH(ROUNDUP((O$1)/10,0)*10,[1]Hugst!$R$4:$W$4,0))))</f>
        <v>1576.0309306528479</v>
      </c>
      <c r="P308">
        <f ca="1">IF($C308-P$1&lt;År1,0,O307*(1-VLOOKUP($A308,[1]Hugst!$R$5:$W$9,MATCH(ROUNDUP((P$1)/10,0)*10,[1]Hugst!$R$4:$W$4,0))))</f>
        <v>1577.7850824023017</v>
      </c>
      <c r="Q308">
        <f ca="1">IF($C308-Q$1&lt;År1,0,P307*(1-VLOOKUP($A308,[1]Hugst!$R$5:$W$9,MATCH(ROUNDUP((Q$1)/10,0)*10,[1]Hugst!$R$4:$W$4,0))))</f>
        <v>1579.5480489846695</v>
      </c>
      <c r="R308">
        <f ca="1">IF($C308-R$1&lt;År1,0,Q307*(1-VLOOKUP($A308,[1]Hugst!$R$5:$W$9,MATCH(ROUNDUP((R$1)/10,0)*10,[1]Hugst!$R$4:$W$4,0))))</f>
        <v>1581.3198746956041</v>
      </c>
      <c r="S308">
        <f ca="1">IF($C308-S$1&lt;År1,0,R307*(1-VLOOKUP($A308,[1]Hugst!$R$5:$W$9,MATCH(ROUNDUP((S$1)/10,0)*10,[1]Hugst!$R$4:$W$4,0))))</f>
        <v>1583.1006040533139</v>
      </c>
      <c r="T308">
        <f ca="1">IF($C308-T$1&lt;År1,0,S307*(1-VLOOKUP($A308,[1]Hugst!$R$5:$W$9,MATCH(ROUNDUP((T$1)/10,0)*10,[1]Hugst!$R$4:$W$4,0))))</f>
        <v>1584.8902817997587</v>
      </c>
      <c r="U308">
        <f ca="1">IF($C308-U$1&lt;År1,0,T307*(1-VLOOKUP($A308,[1]Hugst!$R$5:$W$9,MATCH(ROUNDUP((U$1)/10,0)*10,[1]Hugst!$R$4:$W$4,0))))</f>
        <v>1586.6889529017208</v>
      </c>
      <c r="V308">
        <f ca="1">IF($C308-V$1&lt;År1,0,U307*(1-VLOOKUP($A308,[1]Hugst!$R$5:$W$9,MATCH(ROUNDUP((V$1)/10,0)*10,[1]Hugst!$R$4:$W$4,0))))</f>
        <v>1588.4966625519155</v>
      </c>
      <c r="W308">
        <f ca="1">IF($C308-W$1&lt;År1,0,V307*(1-VLOOKUP($A308,[1]Hugst!$R$5:$W$9,MATCH(ROUNDUP((W$1)/10,0)*10,[1]Hugst!$R$4:$W$4,0))))</f>
        <v>1728.4915332372013</v>
      </c>
      <c r="X308">
        <f ca="1">IF($C308-X$1&lt;År1,0,W307*(1-VLOOKUP($A308,[1]Hugst!$R$5:$W$9,MATCH(ROUNDUP((X$1)/10,0)*10,[1]Hugst!$R$4:$W$4,0))))</f>
        <v>1730.3174564716644</v>
      </c>
      <c r="Y308">
        <f ca="1">IF($C308-Y$1&lt;År1,0,X307*(1-VLOOKUP($A308,[1]Hugst!$R$5:$W$9,MATCH(ROUNDUP((Y$1)/10,0)*10,[1]Hugst!$R$4:$W$4,0))))</f>
        <v>1732.1525551997795</v>
      </c>
      <c r="Z308">
        <f ca="1">IF($C308-Z$1&lt;År1,0,Y307*(1-VLOOKUP($A308,[1]Hugst!$R$5:$W$9,MATCH(ROUNDUP((Z$1)/10,0)*10,[1]Hugst!$R$4:$W$4,0))))</f>
        <v>1733.9968755295329</v>
      </c>
      <c r="AA308">
        <f ca="1">IF($C308-AA$1&lt;År1,0,Z307*(1-VLOOKUP($A308,[1]Hugst!$R$5:$W$9,MATCH(ROUNDUP((AA$1)/10,0)*10,[1]Hugst!$R$4:$W$4,0))))</f>
        <v>1735.8504638006682</v>
      </c>
      <c r="AB308">
        <f ca="1">IF($C308-AB$1&lt;År1,0,AA307*(1-VLOOKUP($A308,[1]Hugst!$R$5:$W$9,MATCH(ROUNDUP((AB$1)/10,0)*10,[1]Hugst!$R$4:$W$4,0))))</f>
        <v>1737.7133665856938</v>
      </c>
      <c r="AC308">
        <f ca="1">IF($C308-AC$1&lt;År1,0,AB307*(1-VLOOKUP($A308,[1]Hugst!$R$5:$W$9,MATCH(ROUNDUP((AC$1)/10,0)*10,[1]Hugst!$R$4:$W$4,0))))</f>
        <v>1739.5856306912699</v>
      </c>
      <c r="AD308">
        <f ca="1">IF($C308-AD$1&lt;År1,0,AC307*(1-VLOOKUP($A308,[1]Hugst!$R$5:$W$9,MATCH(ROUNDUP((AD$1)/10,0)*10,[1]Hugst!$R$4:$W$4,0))))</f>
        <v>1741.4673031591697</v>
      </c>
      <c r="AE308">
        <f ca="1">IF($C308-AE$1&lt;År1,0,AD307*(1-VLOOKUP($A308,[1]Hugst!$R$5:$W$9,MATCH(ROUNDUP((AE$1)/10,0)*10,[1]Hugst!$R$4:$W$4,0))))</f>
        <v>1743.3584312676312</v>
      </c>
      <c r="AF308">
        <f ca="1">IF($C308-AF$1&lt;År1,0,AE307*(1-VLOOKUP($A308,[1]Hugst!$R$5:$W$9,MATCH(ROUNDUP((AF$1)/10,0)*10,[1]Hugst!$R$4:$W$4,0))))</f>
        <v>1745.2590625324056</v>
      </c>
      <c r="AG308">
        <f ca="1">IF($C308-AG$1&lt;År1,0,AF307*(1-VLOOKUP($A308,[1]Hugst!$R$5:$W$9,MATCH(ROUNDUP((AG$1)/10,0)*10,[1]Hugst!$R$4:$W$4,0))))</f>
        <v>1747.16924470806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332.00990835785342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1558.964640868141</v>
      </c>
      <c r="G309">
        <f ca="1">IF($C309-G$1&lt;År1,0,F308*(1-VLOOKUP($A309,[1]Hugst!$R$5:$W$9,MATCH(ROUNDUP((G$1)/10,0)*10,[1]Hugst!$R$4:$W$4,0))))</f>
        <v>1560.6330323674201</v>
      </c>
      <c r="H309">
        <f ca="1">IF($C309-H$1&lt;År1,0,G308*(1-VLOOKUP($A309,[1]Hugst!$R$5:$W$9,MATCH(ROUNDUP((H$1)/10,0)*10,[1]Hugst!$R$4:$W$4,0))))</f>
        <v>1562.3098077436071</v>
      </c>
      <c r="I309">
        <f ca="1">IF($C309-I$1&lt;År1,0,H308*(1-VLOOKUP($A309,[1]Hugst!$R$5:$W$9,MATCH(ROUNDUP((I$1)/10,0)*10,[1]Hugst!$R$4:$W$4,0))))</f>
        <v>1563.9950091266792</v>
      </c>
      <c r="J309">
        <f ca="1">IF($C309-J$1&lt;År1,0,I308*(1-VLOOKUP($A309,[1]Hugst!$R$5:$W$9,MATCH(ROUNDUP((J$1)/10,0)*10,[1]Hugst!$R$4:$W$4,0))))</f>
        <v>1565.6886788584188</v>
      </c>
      <c r="K309">
        <f ca="1">IF($C309-K$1&lt;År1,0,J308*(1-VLOOKUP($A309,[1]Hugst!$R$5:$W$9,MATCH(ROUNDUP((K$1)/10,0)*10,[1]Hugst!$R$4:$W$4,0))))</f>
        <v>1567.3908594933391</v>
      </c>
      <c r="L309">
        <f ca="1">IF($C309-L$1&lt;År1,0,K308*(1-VLOOKUP($A309,[1]Hugst!$R$5:$W$9,MATCH(ROUNDUP((L$1)/10,0)*10,[1]Hugst!$R$4:$W$4,0))))</f>
        <v>1569.1015937997845</v>
      </c>
      <c r="M309">
        <f ca="1">IF($C309-M$1&lt;År1,0,L308*(1-VLOOKUP($A309,[1]Hugst!$R$5:$W$9,MATCH(ROUNDUP((M$1)/10,0)*10,[1]Hugst!$R$4:$W$4,0))))</f>
        <v>1570.8209247610421</v>
      </c>
      <c r="N309">
        <f ca="1">IF($C309-N$1&lt;År1,0,M308*(1-VLOOKUP($A309,[1]Hugst!$R$5:$W$9,MATCH(ROUNDUP((N$1)/10,0)*10,[1]Hugst!$R$4:$W$4,0))))</f>
        <v>1572.5488955763658</v>
      </c>
      <c r="O309">
        <f ca="1">IF($C309-O$1&lt;År1,0,N308*(1-VLOOKUP($A309,[1]Hugst!$R$5:$W$9,MATCH(ROUNDUP((O$1)/10,0)*10,[1]Hugst!$R$4:$W$4,0))))</f>
        <v>1574.2855496621232</v>
      </c>
      <c r="P309">
        <f ca="1">IF($C309-P$1&lt;År1,0,O308*(1-VLOOKUP($A309,[1]Hugst!$R$5:$W$9,MATCH(ROUNDUP((P$1)/10,0)*10,[1]Hugst!$R$4:$W$4,0))))</f>
        <v>1576.0309306528479</v>
      </c>
      <c r="Q309">
        <f ca="1">IF($C309-Q$1&lt;År1,0,P308*(1-VLOOKUP($A309,[1]Hugst!$R$5:$W$9,MATCH(ROUNDUP((Q$1)/10,0)*10,[1]Hugst!$R$4:$W$4,0))))</f>
        <v>1577.7850824023017</v>
      </c>
      <c r="R309">
        <f ca="1">IF($C309-R$1&lt;År1,0,Q308*(1-VLOOKUP($A309,[1]Hugst!$R$5:$W$9,MATCH(ROUNDUP((R$1)/10,0)*10,[1]Hugst!$R$4:$W$4,0))))</f>
        <v>1579.5480489846695</v>
      </c>
      <c r="S309">
        <f ca="1">IF($C309-S$1&lt;År1,0,R308*(1-VLOOKUP($A309,[1]Hugst!$R$5:$W$9,MATCH(ROUNDUP((S$1)/10,0)*10,[1]Hugst!$R$4:$W$4,0))))</f>
        <v>1581.3198746956041</v>
      </c>
      <c r="T309">
        <f ca="1">IF($C309-T$1&lt;År1,0,S308*(1-VLOOKUP($A309,[1]Hugst!$R$5:$W$9,MATCH(ROUNDUP((T$1)/10,0)*10,[1]Hugst!$R$4:$W$4,0))))</f>
        <v>1583.1006040533139</v>
      </c>
      <c r="U309">
        <f ca="1">IF($C309-U$1&lt;År1,0,T308*(1-VLOOKUP($A309,[1]Hugst!$R$5:$W$9,MATCH(ROUNDUP((U$1)/10,0)*10,[1]Hugst!$R$4:$W$4,0))))</f>
        <v>1584.8902817997587</v>
      </c>
      <c r="V309">
        <f ca="1">IF($C309-V$1&lt;År1,0,U308*(1-VLOOKUP($A309,[1]Hugst!$R$5:$W$9,MATCH(ROUNDUP((V$1)/10,0)*10,[1]Hugst!$R$4:$W$4,0))))</f>
        <v>1586.6889529017208</v>
      </c>
      <c r="W309">
        <f ca="1">IF($C309-W$1&lt;År1,0,V308*(1-VLOOKUP($A309,[1]Hugst!$R$5:$W$9,MATCH(ROUNDUP((W$1)/10,0)*10,[1]Hugst!$R$4:$W$4,0))))</f>
        <v>1588.4966625519155</v>
      </c>
      <c r="X309">
        <f ca="1">IF($C309-X$1&lt;År1,0,W308*(1-VLOOKUP($A309,[1]Hugst!$R$5:$W$9,MATCH(ROUNDUP((X$1)/10,0)*10,[1]Hugst!$R$4:$W$4,0))))</f>
        <v>1728.4915332372013</v>
      </c>
      <c r="Y309">
        <f ca="1">IF($C309-Y$1&lt;År1,0,X308*(1-VLOOKUP($A309,[1]Hugst!$R$5:$W$9,MATCH(ROUNDUP((Y$1)/10,0)*10,[1]Hugst!$R$4:$W$4,0))))</f>
        <v>1730.3174564716644</v>
      </c>
      <c r="Z309">
        <f ca="1">IF($C309-Z$1&lt;År1,0,Y308*(1-VLOOKUP($A309,[1]Hugst!$R$5:$W$9,MATCH(ROUNDUP((Z$1)/10,0)*10,[1]Hugst!$R$4:$W$4,0))))</f>
        <v>1732.1525551997795</v>
      </c>
      <c r="AA309">
        <f ca="1">IF($C309-AA$1&lt;År1,0,Z308*(1-VLOOKUP($A309,[1]Hugst!$R$5:$W$9,MATCH(ROUNDUP((AA$1)/10,0)*10,[1]Hugst!$R$4:$W$4,0))))</f>
        <v>1733.9968755295329</v>
      </c>
      <c r="AB309">
        <f ca="1">IF($C309-AB$1&lt;År1,0,AA308*(1-VLOOKUP($A309,[1]Hugst!$R$5:$W$9,MATCH(ROUNDUP((AB$1)/10,0)*10,[1]Hugst!$R$4:$W$4,0))))</f>
        <v>1735.8504638006682</v>
      </c>
      <c r="AC309">
        <f ca="1">IF($C309-AC$1&lt;År1,0,AB308*(1-VLOOKUP($A309,[1]Hugst!$R$5:$W$9,MATCH(ROUNDUP((AC$1)/10,0)*10,[1]Hugst!$R$4:$W$4,0))))</f>
        <v>1737.7133665856938</v>
      </c>
      <c r="AD309">
        <f ca="1">IF($C309-AD$1&lt;År1,0,AC308*(1-VLOOKUP($A309,[1]Hugst!$R$5:$W$9,MATCH(ROUNDUP((AD$1)/10,0)*10,[1]Hugst!$R$4:$W$4,0))))</f>
        <v>1739.5856306912699</v>
      </c>
      <c r="AE309">
        <f ca="1">IF($C309-AE$1&lt;År1,0,AD308*(1-VLOOKUP($A309,[1]Hugst!$R$5:$W$9,MATCH(ROUNDUP((AE$1)/10,0)*10,[1]Hugst!$R$4:$W$4,0))))</f>
        <v>1741.4673031591697</v>
      </c>
      <c r="AF309">
        <f ca="1">IF($C309-AF$1&lt;År1,0,AE308*(1-VLOOKUP($A309,[1]Hugst!$R$5:$W$9,MATCH(ROUNDUP((AF$1)/10,0)*10,[1]Hugst!$R$4:$W$4,0))))</f>
        <v>1743.3584312676312</v>
      </c>
      <c r="AG309">
        <f ca="1">IF($C309-AG$1&lt;År1,0,AF308*(1-VLOOKUP($A309,[1]Hugst!$R$5:$W$9,MATCH(ROUNDUP((AG$1)/10,0)*10,[1]Hugst!$R$4:$W$4,0))))</f>
        <v>1745.2590625324056</v>
      </c>
      <c r="AH309">
        <f ca="1">IF($C309-AH$1&lt;År1,0,AG308*(1-VLOOKUP($A309,[1]Hugst!$R$5:$W$9,MATCH(ROUNDUP((AH$1)/10,0)*10,[1]Hugst!$R$4:$W$4,0))))</f>
        <v>1747.16924470806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330.34985881607463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1557.3045913263622</v>
      </c>
      <c r="G310">
        <f ca="1">IF($C310-G$1&lt;År1,0,F309*(1-VLOOKUP($A310,[1]Hugst!$R$5:$W$9,MATCH(ROUNDUP((G$1)/10,0)*10,[1]Hugst!$R$4:$W$4,0))))</f>
        <v>1558.964640868141</v>
      </c>
      <c r="H310">
        <f ca="1">IF($C310-H$1&lt;År1,0,G309*(1-VLOOKUP($A310,[1]Hugst!$R$5:$W$9,MATCH(ROUNDUP((H$1)/10,0)*10,[1]Hugst!$R$4:$W$4,0))))</f>
        <v>1560.6330323674201</v>
      </c>
      <c r="I310">
        <f ca="1">IF($C310-I$1&lt;År1,0,H309*(1-VLOOKUP($A310,[1]Hugst!$R$5:$W$9,MATCH(ROUNDUP((I$1)/10,0)*10,[1]Hugst!$R$4:$W$4,0))))</f>
        <v>1562.3098077436071</v>
      </c>
      <c r="J310">
        <f ca="1">IF($C310-J$1&lt;År1,0,I309*(1-VLOOKUP($A310,[1]Hugst!$R$5:$W$9,MATCH(ROUNDUP((J$1)/10,0)*10,[1]Hugst!$R$4:$W$4,0))))</f>
        <v>1563.9950091266792</v>
      </c>
      <c r="K310">
        <f ca="1">IF($C310-K$1&lt;År1,0,J309*(1-VLOOKUP($A310,[1]Hugst!$R$5:$W$9,MATCH(ROUNDUP((K$1)/10,0)*10,[1]Hugst!$R$4:$W$4,0))))</f>
        <v>1565.6886788584188</v>
      </c>
      <c r="L310">
        <f ca="1">IF($C310-L$1&lt;År1,0,K309*(1-VLOOKUP($A310,[1]Hugst!$R$5:$W$9,MATCH(ROUNDUP((L$1)/10,0)*10,[1]Hugst!$R$4:$W$4,0))))</f>
        <v>1567.3908594933391</v>
      </c>
      <c r="M310">
        <f ca="1">IF($C310-M$1&lt;År1,0,L309*(1-VLOOKUP($A310,[1]Hugst!$R$5:$W$9,MATCH(ROUNDUP((M$1)/10,0)*10,[1]Hugst!$R$4:$W$4,0))))</f>
        <v>1569.1015937997845</v>
      </c>
      <c r="N310">
        <f ca="1">IF($C310-N$1&lt;År1,0,M309*(1-VLOOKUP($A310,[1]Hugst!$R$5:$W$9,MATCH(ROUNDUP((N$1)/10,0)*10,[1]Hugst!$R$4:$W$4,0))))</f>
        <v>1570.8209247610421</v>
      </c>
      <c r="O310">
        <f ca="1">IF($C310-O$1&lt;År1,0,N309*(1-VLOOKUP($A310,[1]Hugst!$R$5:$W$9,MATCH(ROUNDUP((O$1)/10,0)*10,[1]Hugst!$R$4:$W$4,0))))</f>
        <v>1572.5488955763658</v>
      </c>
      <c r="P310">
        <f ca="1">IF($C310-P$1&lt;År1,0,O309*(1-VLOOKUP($A310,[1]Hugst!$R$5:$W$9,MATCH(ROUNDUP((P$1)/10,0)*10,[1]Hugst!$R$4:$W$4,0))))</f>
        <v>1574.2855496621232</v>
      </c>
      <c r="Q310">
        <f ca="1">IF($C310-Q$1&lt;År1,0,P309*(1-VLOOKUP($A310,[1]Hugst!$R$5:$W$9,MATCH(ROUNDUP((Q$1)/10,0)*10,[1]Hugst!$R$4:$W$4,0))))</f>
        <v>1576.0309306528479</v>
      </c>
      <c r="R310">
        <f ca="1">IF($C310-R$1&lt;År1,0,Q309*(1-VLOOKUP($A310,[1]Hugst!$R$5:$W$9,MATCH(ROUNDUP((R$1)/10,0)*10,[1]Hugst!$R$4:$W$4,0))))</f>
        <v>1577.7850824023017</v>
      </c>
      <c r="S310">
        <f ca="1">IF($C310-S$1&lt;År1,0,R309*(1-VLOOKUP($A310,[1]Hugst!$R$5:$W$9,MATCH(ROUNDUP((S$1)/10,0)*10,[1]Hugst!$R$4:$W$4,0))))</f>
        <v>1579.5480489846695</v>
      </c>
      <c r="T310">
        <f ca="1">IF($C310-T$1&lt;År1,0,S309*(1-VLOOKUP($A310,[1]Hugst!$R$5:$W$9,MATCH(ROUNDUP((T$1)/10,0)*10,[1]Hugst!$R$4:$W$4,0))))</f>
        <v>1581.3198746956041</v>
      </c>
      <c r="U310">
        <f ca="1">IF($C310-U$1&lt;År1,0,T309*(1-VLOOKUP($A310,[1]Hugst!$R$5:$W$9,MATCH(ROUNDUP((U$1)/10,0)*10,[1]Hugst!$R$4:$W$4,0))))</f>
        <v>1583.1006040533139</v>
      </c>
      <c r="V310">
        <f ca="1">IF($C310-V$1&lt;År1,0,U309*(1-VLOOKUP($A310,[1]Hugst!$R$5:$W$9,MATCH(ROUNDUP((V$1)/10,0)*10,[1]Hugst!$R$4:$W$4,0))))</f>
        <v>1584.8902817997587</v>
      </c>
      <c r="W310">
        <f ca="1">IF($C310-W$1&lt;År1,0,V309*(1-VLOOKUP($A310,[1]Hugst!$R$5:$W$9,MATCH(ROUNDUP((W$1)/10,0)*10,[1]Hugst!$R$4:$W$4,0))))</f>
        <v>1586.6889529017208</v>
      </c>
      <c r="X310">
        <f ca="1">IF($C310-X$1&lt;År1,0,W309*(1-VLOOKUP($A310,[1]Hugst!$R$5:$W$9,MATCH(ROUNDUP((X$1)/10,0)*10,[1]Hugst!$R$4:$W$4,0))))</f>
        <v>1588.4966625519155</v>
      </c>
      <c r="Y310">
        <f ca="1">IF($C310-Y$1&lt;År1,0,X309*(1-VLOOKUP($A310,[1]Hugst!$R$5:$W$9,MATCH(ROUNDUP((Y$1)/10,0)*10,[1]Hugst!$R$4:$W$4,0))))</f>
        <v>1728.4915332372013</v>
      </c>
      <c r="Z310">
        <f ca="1">IF($C310-Z$1&lt;År1,0,Y309*(1-VLOOKUP($A310,[1]Hugst!$R$5:$W$9,MATCH(ROUNDUP((Z$1)/10,0)*10,[1]Hugst!$R$4:$W$4,0))))</f>
        <v>1730.3174564716644</v>
      </c>
      <c r="AA310">
        <f ca="1">IF($C310-AA$1&lt;År1,0,Z309*(1-VLOOKUP($A310,[1]Hugst!$R$5:$W$9,MATCH(ROUNDUP((AA$1)/10,0)*10,[1]Hugst!$R$4:$W$4,0))))</f>
        <v>1732.1525551997795</v>
      </c>
      <c r="AB310">
        <f ca="1">IF($C310-AB$1&lt;År1,0,AA309*(1-VLOOKUP($A310,[1]Hugst!$R$5:$W$9,MATCH(ROUNDUP((AB$1)/10,0)*10,[1]Hugst!$R$4:$W$4,0))))</f>
        <v>1733.9968755295329</v>
      </c>
      <c r="AC310">
        <f ca="1">IF($C310-AC$1&lt;År1,0,AB309*(1-VLOOKUP($A310,[1]Hugst!$R$5:$W$9,MATCH(ROUNDUP((AC$1)/10,0)*10,[1]Hugst!$R$4:$W$4,0))))</f>
        <v>1735.8504638006682</v>
      </c>
      <c r="AD310">
        <f ca="1">IF($C310-AD$1&lt;År1,0,AC309*(1-VLOOKUP($A310,[1]Hugst!$R$5:$W$9,MATCH(ROUNDUP((AD$1)/10,0)*10,[1]Hugst!$R$4:$W$4,0))))</f>
        <v>1737.7133665856938</v>
      </c>
      <c r="AE310">
        <f ca="1">IF($C310-AE$1&lt;År1,0,AD309*(1-VLOOKUP($A310,[1]Hugst!$R$5:$W$9,MATCH(ROUNDUP((AE$1)/10,0)*10,[1]Hugst!$R$4:$W$4,0))))</f>
        <v>1739.5856306912699</v>
      </c>
      <c r="AF310">
        <f ca="1">IF($C310-AF$1&lt;År1,0,AE309*(1-VLOOKUP($A310,[1]Hugst!$R$5:$W$9,MATCH(ROUNDUP((AF$1)/10,0)*10,[1]Hugst!$R$4:$W$4,0))))</f>
        <v>1741.4673031591697</v>
      </c>
      <c r="AG310">
        <f ca="1">IF($C310-AG$1&lt;År1,0,AF309*(1-VLOOKUP($A310,[1]Hugst!$R$5:$W$9,MATCH(ROUNDUP((AG$1)/10,0)*10,[1]Hugst!$R$4:$W$4,0))))</f>
        <v>1743.3584312676312</v>
      </c>
      <c r="AH310">
        <f ca="1">IF($C310-AH$1&lt;År1,0,AG309*(1-VLOOKUP($A310,[1]Hugst!$R$5:$W$9,MATCH(ROUNDUP((AH$1)/10,0)*10,[1]Hugst!$R$4:$W$4,0))))</f>
        <v>1745.2590625324056</v>
      </c>
      <c r="AI310">
        <f ca="1">IF($C310-AI$1&lt;År1,0,AH309*(1-VLOOKUP($A310,[1]Hugst!$R$5:$W$9,MATCH(ROUNDUP((AI$1)/10,0)*10,[1]Hugst!$R$4:$W$4,0))))</f>
        <v>1747.16924470806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328.69810952199077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1555.6528420322784</v>
      </c>
      <c r="G311">
        <f ca="1">IF($C311-G$1&lt;År1,0,F310*(1-VLOOKUP($A311,[1]Hugst!$R$5:$W$9,MATCH(ROUNDUP((G$1)/10,0)*10,[1]Hugst!$R$4:$W$4,0))))</f>
        <v>1557.3045913263622</v>
      </c>
      <c r="H311">
        <f ca="1">IF($C311-H$1&lt;År1,0,G310*(1-VLOOKUP($A311,[1]Hugst!$R$5:$W$9,MATCH(ROUNDUP((H$1)/10,0)*10,[1]Hugst!$R$4:$W$4,0))))</f>
        <v>1558.964640868141</v>
      </c>
      <c r="I311">
        <f ca="1">IF($C311-I$1&lt;År1,0,H310*(1-VLOOKUP($A311,[1]Hugst!$R$5:$W$9,MATCH(ROUNDUP((I$1)/10,0)*10,[1]Hugst!$R$4:$W$4,0))))</f>
        <v>1560.6330323674201</v>
      </c>
      <c r="J311">
        <f ca="1">IF($C311-J$1&lt;År1,0,I310*(1-VLOOKUP($A311,[1]Hugst!$R$5:$W$9,MATCH(ROUNDUP((J$1)/10,0)*10,[1]Hugst!$R$4:$W$4,0))))</f>
        <v>1562.3098077436071</v>
      </c>
      <c r="K311">
        <f ca="1">IF($C311-K$1&lt;År1,0,J310*(1-VLOOKUP($A311,[1]Hugst!$R$5:$W$9,MATCH(ROUNDUP((K$1)/10,0)*10,[1]Hugst!$R$4:$W$4,0))))</f>
        <v>1563.9950091266792</v>
      </c>
      <c r="L311">
        <f ca="1">IF($C311-L$1&lt;År1,0,K310*(1-VLOOKUP($A311,[1]Hugst!$R$5:$W$9,MATCH(ROUNDUP((L$1)/10,0)*10,[1]Hugst!$R$4:$W$4,0))))</f>
        <v>1565.6886788584188</v>
      </c>
      <c r="M311">
        <f ca="1">IF($C311-M$1&lt;År1,0,L310*(1-VLOOKUP($A311,[1]Hugst!$R$5:$W$9,MATCH(ROUNDUP((M$1)/10,0)*10,[1]Hugst!$R$4:$W$4,0))))</f>
        <v>1567.3908594933391</v>
      </c>
      <c r="N311">
        <f ca="1">IF($C311-N$1&lt;År1,0,M310*(1-VLOOKUP($A311,[1]Hugst!$R$5:$W$9,MATCH(ROUNDUP((N$1)/10,0)*10,[1]Hugst!$R$4:$W$4,0))))</f>
        <v>1569.1015937997845</v>
      </c>
      <c r="O311">
        <f ca="1">IF($C311-O$1&lt;År1,0,N310*(1-VLOOKUP($A311,[1]Hugst!$R$5:$W$9,MATCH(ROUNDUP((O$1)/10,0)*10,[1]Hugst!$R$4:$W$4,0))))</f>
        <v>1570.8209247610421</v>
      </c>
      <c r="P311">
        <f ca="1">IF($C311-P$1&lt;År1,0,O310*(1-VLOOKUP($A311,[1]Hugst!$R$5:$W$9,MATCH(ROUNDUP((P$1)/10,0)*10,[1]Hugst!$R$4:$W$4,0))))</f>
        <v>1572.5488955763658</v>
      </c>
      <c r="Q311">
        <f ca="1">IF($C311-Q$1&lt;År1,0,P310*(1-VLOOKUP($A311,[1]Hugst!$R$5:$W$9,MATCH(ROUNDUP((Q$1)/10,0)*10,[1]Hugst!$R$4:$W$4,0))))</f>
        <v>1574.2855496621232</v>
      </c>
      <c r="R311">
        <f ca="1">IF($C311-R$1&lt;År1,0,Q310*(1-VLOOKUP($A311,[1]Hugst!$R$5:$W$9,MATCH(ROUNDUP((R$1)/10,0)*10,[1]Hugst!$R$4:$W$4,0))))</f>
        <v>1576.0309306528479</v>
      </c>
      <c r="S311">
        <f ca="1">IF($C311-S$1&lt;År1,0,R310*(1-VLOOKUP($A311,[1]Hugst!$R$5:$W$9,MATCH(ROUNDUP((S$1)/10,0)*10,[1]Hugst!$R$4:$W$4,0))))</f>
        <v>1577.7850824023017</v>
      </c>
      <c r="T311">
        <f ca="1">IF($C311-T$1&lt;År1,0,S310*(1-VLOOKUP($A311,[1]Hugst!$R$5:$W$9,MATCH(ROUNDUP((T$1)/10,0)*10,[1]Hugst!$R$4:$W$4,0))))</f>
        <v>1579.5480489846695</v>
      </c>
      <c r="U311">
        <f ca="1">IF($C311-U$1&lt;År1,0,T310*(1-VLOOKUP($A311,[1]Hugst!$R$5:$W$9,MATCH(ROUNDUP((U$1)/10,0)*10,[1]Hugst!$R$4:$W$4,0))))</f>
        <v>1581.3198746956041</v>
      </c>
      <c r="V311">
        <f ca="1">IF($C311-V$1&lt;År1,0,U310*(1-VLOOKUP($A311,[1]Hugst!$R$5:$W$9,MATCH(ROUNDUP((V$1)/10,0)*10,[1]Hugst!$R$4:$W$4,0))))</f>
        <v>1583.1006040533139</v>
      </c>
      <c r="W311">
        <f ca="1">IF($C311-W$1&lt;År1,0,V310*(1-VLOOKUP($A311,[1]Hugst!$R$5:$W$9,MATCH(ROUNDUP((W$1)/10,0)*10,[1]Hugst!$R$4:$W$4,0))))</f>
        <v>1584.8902817997587</v>
      </c>
      <c r="X311">
        <f ca="1">IF($C311-X$1&lt;År1,0,W310*(1-VLOOKUP($A311,[1]Hugst!$R$5:$W$9,MATCH(ROUNDUP((X$1)/10,0)*10,[1]Hugst!$R$4:$W$4,0))))</f>
        <v>1586.6889529017208</v>
      </c>
      <c r="Y311">
        <f ca="1">IF($C311-Y$1&lt;År1,0,X310*(1-VLOOKUP($A311,[1]Hugst!$R$5:$W$9,MATCH(ROUNDUP((Y$1)/10,0)*10,[1]Hugst!$R$4:$W$4,0))))</f>
        <v>1588.4966625519155</v>
      </c>
      <c r="Z311">
        <f ca="1">IF($C311-Z$1&lt;År1,0,Y310*(1-VLOOKUP($A311,[1]Hugst!$R$5:$W$9,MATCH(ROUNDUP((Z$1)/10,0)*10,[1]Hugst!$R$4:$W$4,0))))</f>
        <v>1728.4915332372013</v>
      </c>
      <c r="AA311">
        <f ca="1">IF($C311-AA$1&lt;År1,0,Z310*(1-VLOOKUP($A311,[1]Hugst!$R$5:$W$9,MATCH(ROUNDUP((AA$1)/10,0)*10,[1]Hugst!$R$4:$W$4,0))))</f>
        <v>1730.3174564716644</v>
      </c>
      <c r="AB311">
        <f ca="1">IF($C311-AB$1&lt;År1,0,AA310*(1-VLOOKUP($A311,[1]Hugst!$R$5:$W$9,MATCH(ROUNDUP((AB$1)/10,0)*10,[1]Hugst!$R$4:$W$4,0))))</f>
        <v>1732.1525551997795</v>
      </c>
      <c r="AC311">
        <f ca="1">IF($C311-AC$1&lt;År1,0,AB310*(1-VLOOKUP($A311,[1]Hugst!$R$5:$W$9,MATCH(ROUNDUP((AC$1)/10,0)*10,[1]Hugst!$R$4:$W$4,0))))</f>
        <v>1733.9968755295329</v>
      </c>
      <c r="AD311">
        <f ca="1">IF($C311-AD$1&lt;År1,0,AC310*(1-VLOOKUP($A311,[1]Hugst!$R$5:$W$9,MATCH(ROUNDUP((AD$1)/10,0)*10,[1]Hugst!$R$4:$W$4,0))))</f>
        <v>1735.8504638006682</v>
      </c>
      <c r="AE311">
        <f ca="1">IF($C311-AE$1&lt;År1,0,AD310*(1-VLOOKUP($A311,[1]Hugst!$R$5:$W$9,MATCH(ROUNDUP((AE$1)/10,0)*10,[1]Hugst!$R$4:$W$4,0))))</f>
        <v>1737.7133665856938</v>
      </c>
      <c r="AF311">
        <f ca="1">IF($C311-AF$1&lt;År1,0,AE310*(1-VLOOKUP($A311,[1]Hugst!$R$5:$W$9,MATCH(ROUNDUP((AF$1)/10,0)*10,[1]Hugst!$R$4:$W$4,0))))</f>
        <v>1739.5856306912699</v>
      </c>
      <c r="AG311">
        <f ca="1">IF($C311-AG$1&lt;År1,0,AF310*(1-VLOOKUP($A311,[1]Hugst!$R$5:$W$9,MATCH(ROUNDUP((AG$1)/10,0)*10,[1]Hugst!$R$4:$W$4,0))))</f>
        <v>1741.4673031591697</v>
      </c>
      <c r="AH311">
        <f ca="1">IF($C311-AH$1&lt;År1,0,AG310*(1-VLOOKUP($A311,[1]Hugst!$R$5:$W$9,MATCH(ROUNDUP((AH$1)/10,0)*10,[1]Hugst!$R$4:$W$4,0))))</f>
        <v>1743.3584312676312</v>
      </c>
      <c r="AI311">
        <f ca="1">IF($C311-AI$1&lt;År1,0,AH310*(1-VLOOKUP($A311,[1]Hugst!$R$5:$W$9,MATCH(ROUNDUP((AI$1)/10,0)*10,[1]Hugst!$R$4:$W$4,0))))</f>
        <v>1745.2590625324056</v>
      </c>
      <c r="AJ311">
        <f ca="1">IF($C311-AJ$1&lt;År1,0,AI310*(1-VLOOKUP($A311,[1]Hugst!$R$5:$W$9,MATCH(ROUNDUP((AJ$1)/10,0)*10,[1]Hugst!$R$4:$W$4,0))))</f>
        <v>1747.16924470806</v>
      </c>
    </row>
  </sheetData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topLeftCell="A3" workbookViewId="0">
      <selection activeCell="C6" sqref="C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270</v>
      </c>
      <c r="F1" s="73"/>
    </row>
    <row r="2" spans="1:7" s="296" customFormat="1" x14ac:dyDescent="0.25">
      <c r="A2" s="295"/>
      <c r="C2" s="461" t="s">
        <v>315</v>
      </c>
      <c r="D2" s="461"/>
      <c r="E2" s="461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316</v>
      </c>
      <c r="G3" s="1" t="s">
        <v>313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 t="shared" ref="D4:E7" si="0">C4</f>
        <v>2.9353333333333332E-3</v>
      </c>
      <c r="E4" s="3">
        <f t="shared" si="0"/>
        <v>2.9353333333333332E-3</v>
      </c>
      <c r="F4" s="297">
        <v>150000</v>
      </c>
      <c r="G4" s="462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si="0"/>
        <v>1.2E-5</v>
      </c>
      <c r="E5" s="3">
        <f t="shared" si="0"/>
        <v>1.2E-5</v>
      </c>
      <c r="F5" s="104">
        <v>50000</v>
      </c>
      <c r="G5" s="462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si="0"/>
        <v>3.6170212765957447E-4</v>
      </c>
      <c r="E6" s="3">
        <f t="shared" si="0"/>
        <v>3.6170212765957447E-4</v>
      </c>
      <c r="F6" s="297">
        <v>47000</v>
      </c>
      <c r="G6" s="463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si="0"/>
        <v>0</v>
      </c>
      <c r="E7" s="3">
        <f t="shared" si="0"/>
        <v>0</v>
      </c>
      <c r="F7" s="297">
        <v>20000</v>
      </c>
      <c r="G7" s="463"/>
    </row>
    <row r="8" spans="1:7" x14ac:dyDescent="0.25">
      <c r="A8" s="294"/>
      <c r="C8" s="1" t="s">
        <v>239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>D4*$F4</f>
        <v>440.29999999999995</v>
      </c>
      <c r="D12" s="1">
        <f>E4*$F4</f>
        <v>440.29999999999995</v>
      </c>
      <c r="E12" s="1">
        <f>C5*$F$5</f>
        <v>0.6</v>
      </c>
      <c r="F12" s="1">
        <f>D5*$F$5</f>
        <v>0.6</v>
      </c>
      <c r="G12" s="1">
        <f>E5*$F$5</f>
        <v>0.6</v>
      </c>
    </row>
    <row r="13" spans="1:7" x14ac:dyDescent="0.25">
      <c r="A13" s="102" t="s">
        <v>99</v>
      </c>
      <c r="B13" s="1">
        <f>C6*$F6</f>
        <v>17</v>
      </c>
      <c r="C13" s="1">
        <f>D6*$F6</f>
        <v>17</v>
      </c>
      <c r="D13" s="1">
        <f>E6*$F6</f>
        <v>17</v>
      </c>
      <c r="E13" s="1">
        <f>C7*$F$7</f>
        <v>0</v>
      </c>
      <c r="F13" s="1">
        <f>D7*$F$7</f>
        <v>0</v>
      </c>
      <c r="G13" s="1">
        <f>E7*$F$7</f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270</v>
      </c>
    </row>
    <row r="2" spans="1:10" ht="15.75" x14ac:dyDescent="0.25">
      <c r="A2" s="201" t="s">
        <v>25</v>
      </c>
    </row>
    <row r="3" spans="1:10" x14ac:dyDescent="0.25">
      <c r="A3" s="6" t="s">
        <v>300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319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219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587428.20442739874</v>
      </c>
      <c r="J5" s="10">
        <f>SUMIFS('Resultat-Produktion &amp; forbrug'!$O$4:$O$1001,'Resultat-Produktion &amp; forbrug'!$A$4:$A$1001,Adfærd!$G5,'Resultat-Produktion &amp; forbrug'!$E$4:$E$1001,Adfærd!J$4)</f>
        <v>938380.44520582655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>A7</f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76.5</v>
      </c>
      <c r="J7" s="10">
        <f>SUMIFS('Resultat-Produktion &amp; forbrug'!$O$4:$O$1001,'Resultat-Produktion &amp; forbrug'!$A$4:$A$1001,Adfærd!$G7,'Resultat-Produktion &amp; forbrug'!$E$4:$E$1001,Adfærd!J$4)</f>
        <v>76.5</v>
      </c>
    </row>
    <row r="8" spans="1:10" x14ac:dyDescent="0.25">
      <c r="A8" s="2" t="s">
        <v>205</v>
      </c>
      <c r="B8" s="84">
        <v>0</v>
      </c>
      <c r="C8" s="3"/>
      <c r="D8" s="3"/>
    </row>
    <row r="9" spans="1:10" x14ac:dyDescent="0.25">
      <c r="A9" s="1" t="s">
        <v>220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317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318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>SUM($B$20:$B$21,$B$27)*C5</f>
        <v>0</v>
      </c>
      <c r="D22" s="108">
        <f>SUM($B$20:$B$21,$B$27)*D5</f>
        <v>0</v>
      </c>
      <c r="F22" s="1" t="s">
        <v>204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0">SUM($B$20:$B$21,$B$27)*C6</f>
        <v>0</v>
      </c>
      <c r="D23" s="108">
        <f t="shared" si="0"/>
        <v>0</v>
      </c>
      <c r="F23" s="1" t="s">
        <v>206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0"/>
        <v>0</v>
      </c>
      <c r="D24" s="108">
        <f t="shared" si="0"/>
        <v>0</v>
      </c>
    </row>
    <row r="25" spans="1:9" hidden="1" x14ac:dyDescent="0.25">
      <c r="A25" s="2" t="s">
        <v>205</v>
      </c>
      <c r="B25" s="108">
        <f>SUM($B$20:$B$21,$B$27)*B8</f>
        <v>0</v>
      </c>
      <c r="C25" s="108">
        <f t="shared" si="0"/>
        <v>0</v>
      </c>
      <c r="D25" s="108">
        <f t="shared" si="0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312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8" sqref="C8:D8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270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67" t="s">
        <v>322</v>
      </c>
      <c r="G2" s="468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0.78468220873738315</v>
      </c>
      <c r="AC3" s="207">
        <f>SUM(E12:E14)/SUM(E12:E15)</f>
        <v>2.4623026001832887E-2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201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0.39069606148994707</v>
      </c>
      <c r="AC5" s="319">
        <f t="shared" si="0"/>
        <v>0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f>B6</f>
        <v>0.37924884410556858</v>
      </c>
      <c r="D6" s="162">
        <f>C6</f>
        <v>0.37924884410556858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0.28081673328378137</v>
      </c>
      <c r="AC6" s="319">
        <f t="shared" si="0"/>
        <v>1.8902412683603143E-2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207</v>
      </c>
      <c r="B8" s="207">
        <v>0</v>
      </c>
      <c r="C8" s="162">
        <v>0</v>
      </c>
      <c r="D8" s="162">
        <v>0</v>
      </c>
      <c r="F8" s="158"/>
      <c r="G8" s="159"/>
      <c r="I8" s="141"/>
    </row>
    <row r="10" spans="1:29" ht="23.45" customHeight="1" x14ac:dyDescent="0.2">
      <c r="B10" s="115"/>
      <c r="C10" s="465" t="s">
        <v>209</v>
      </c>
      <c r="D10" s="465"/>
      <c r="E10" s="465"/>
      <c r="F10" s="464" t="s">
        <v>323</v>
      </c>
      <c r="G10" s="464"/>
      <c r="J10" s="466" t="s">
        <v>210</v>
      </c>
      <c r="K10" s="466"/>
      <c r="L10" s="466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213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5815234.6514047869</v>
      </c>
      <c r="E12" s="118">
        <f>SUMIFS('Resultater - Danmark'!J$3:J$504,'Resultater - Danmark'!$F$3:$F$504,$A12)*D3</f>
        <v>0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7753646.2018730491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0.39069606148994707</v>
      </c>
      <c r="L12" s="119">
        <f t="shared" ref="L12:L28" si="3">E12/E$29</f>
        <v>0</v>
      </c>
      <c r="M12" s="114" t="s">
        <v>211</v>
      </c>
      <c r="N12" s="114">
        <f>S12+2/3*T12</f>
        <v>2914869.3333333335</v>
      </c>
      <c r="O12" s="136">
        <f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4179758.5362353604</v>
      </c>
      <c r="E13" s="121">
        <f>SUMIFS('Resultater - Danmark'!J$3:J$504,'Resultater - Danmark'!$F$3:$F$504,$A13)*D4</f>
        <v>66267.713341306167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5573011.3816471472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73630.792601451292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0.28081673328378137</v>
      </c>
      <c r="L13" s="122">
        <f t="shared" si="3"/>
        <v>1.8902412683603143E-2</v>
      </c>
      <c r="M13" s="114" t="s">
        <v>212</v>
      </c>
      <c r="N13" s="114">
        <f>S13+1/3*T13</f>
        <v>4353509.666666667</v>
      </c>
      <c r="O13" s="136">
        <f>N13-C13</f>
        <v>0</v>
      </c>
      <c r="P13" s="115">
        <f t="shared" ref="P13:P28" si="4">C13*I13</f>
        <v>61384486.300000004</v>
      </c>
      <c r="Q13" s="114">
        <f t="shared" ref="Q13:Q28" si="5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6572.2723545464542</v>
      </c>
      <c r="E14" s="121">
        <f>SUMIFS('Resultater - Danmark'!J$3:J$504,'Resultater - Danmark'!$F$3:$F$504,$A14)*D5</f>
        <v>5480.9700138047256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8763.0298060619389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6089.9666820052507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4.4155757727510898E-4</v>
      </c>
      <c r="L14" s="122">
        <f t="shared" si="3"/>
        <v>1.5634092664973925E-3</v>
      </c>
      <c r="M14" s="114" t="s">
        <v>145</v>
      </c>
      <c r="N14" s="115">
        <v>11417</v>
      </c>
      <c r="O14" s="136">
        <f>N14-C14</f>
        <v>6975.5</v>
      </c>
      <c r="P14" s="115">
        <f t="shared" si="4"/>
        <v>58183.65</v>
      </c>
      <c r="Q14" s="114">
        <f t="shared" si="5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2744442.2213671906</v>
      </c>
      <c r="E15" s="121">
        <f>SUMIFS('Resultater - Danmark'!J$3:J$504,'Resultater - Danmark'!$F$3:$F$504,$A15)*D6</f>
        <v>2842137.0165491197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7236520.991487165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7494121.763909651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0.18438512478870667</v>
      </c>
      <c r="L15" s="122">
        <f t="shared" si="3"/>
        <v>0.81070017481151213</v>
      </c>
      <c r="M15" s="124" t="s">
        <v>290</v>
      </c>
      <c r="N15" s="125">
        <f>SUM(S15:Z15)</f>
        <v>2668834</v>
      </c>
      <c r="O15" s="136">
        <f>N15-C15</f>
        <v>0</v>
      </c>
      <c r="P15" s="115">
        <f>C15*I15</f>
        <v>37096792.600000001</v>
      </c>
      <c r="Q15" s="114">
        <f t="shared" si="5"/>
        <v>1.3317748543399999</v>
      </c>
      <c r="S15" s="149">
        <v>2666649</v>
      </c>
      <c r="T15" s="114">
        <v>2185</v>
      </c>
      <c r="U15" s="149" t="s">
        <v>292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2138285.3141394733</v>
      </c>
      <c r="E16" s="121">
        <f>SUMIFS('Resultater - Danmark'!J$3:J$504,'Resultater - Danmark'!$F$3:$F$504,$A16)*D7</f>
        <v>591894.98801768466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2851047.0855192984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657661.09779742733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0.14366052286028974</v>
      </c>
      <c r="L16" s="122">
        <f t="shared" si="3"/>
        <v>0.1688340032383874</v>
      </c>
      <c r="M16" s="220" t="s">
        <v>156</v>
      </c>
      <c r="N16" s="221">
        <v>757087</v>
      </c>
      <c r="O16" s="136">
        <f>N16-C16</f>
        <v>0</v>
      </c>
      <c r="P16" s="115">
        <f t="shared" si="4"/>
        <v>45425220</v>
      </c>
      <c r="Q16" s="114">
        <f t="shared" si="5"/>
        <v>1.6307653980000001</v>
      </c>
    </row>
    <row r="17" spans="1:23" x14ac:dyDescent="0.2">
      <c r="A17" s="114" t="s">
        <v>207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16557407.347165897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6303839.9494497506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4"/>
        <v>0</v>
      </c>
      <c r="Q17" s="114">
        <f t="shared" si="5"/>
        <v>0</v>
      </c>
    </row>
    <row r="18" spans="1:23" x14ac:dyDescent="0.2">
      <c r="A18" s="114" t="s">
        <v>102</v>
      </c>
      <c r="B18" s="114" t="s">
        <v>139</v>
      </c>
      <c r="C18" s="223">
        <f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288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595441.49803282123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386055.55758656352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289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1507538.4346968941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843666.09680397634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6">N20-C20</f>
        <v>0</v>
      </c>
      <c r="P20" s="115">
        <f t="shared" si="4"/>
        <v>12195000.4</v>
      </c>
      <c r="Q20" s="114">
        <f t="shared" si="5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7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2506827.3802092117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476180.49081991403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6"/>
        <v>0</v>
      </c>
      <c r="P21" s="115">
        <f t="shared" si="4"/>
        <v>361184.4</v>
      </c>
      <c r="Q21" s="114">
        <f t="shared" si="5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7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-14870926.792952001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26193182.890956748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291</v>
      </c>
      <c r="N22" s="148">
        <f>SUM(S22:Z22)</f>
        <v>85677</v>
      </c>
      <c r="O22" s="136">
        <f t="shared" si="6"/>
        <v>0</v>
      </c>
      <c r="P22" s="115">
        <f t="shared" si="4"/>
        <v>4390946.25</v>
      </c>
      <c r="Q22" s="114">
        <f t="shared" si="5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7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1026994.1457082359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43926.582985718967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6"/>
        <v>0</v>
      </c>
      <c r="P23" s="115">
        <f t="shared" si="4"/>
        <v>33002600</v>
      </c>
      <c r="Q23" s="114">
        <f t="shared" si="5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7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-2431669.8538372577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1818979.7815367144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6"/>
        <v>0</v>
      </c>
      <c r="P24" s="115">
        <f t="shared" si="4"/>
        <v>2165562</v>
      </c>
      <c r="Q24" s="114">
        <f t="shared" si="5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7"/>
        <v>78</v>
      </c>
      <c r="D25" s="224"/>
      <c r="E25" s="224"/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982809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6"/>
        <v>0</v>
      </c>
      <c r="P25" s="115">
        <f t="shared" si="4"/>
        <v>3689.3999999999996</v>
      </c>
      <c r="Q25" s="114">
        <f t="shared" si="5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7"/>
        <v>142742</v>
      </c>
      <c r="D26" s="224"/>
      <c r="E26" s="224"/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0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0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0</v>
      </c>
      <c r="L26" s="122">
        <f t="shared" si="3"/>
        <v>0</v>
      </c>
      <c r="M26" s="114" t="s">
        <v>161</v>
      </c>
      <c r="N26" s="114">
        <v>142742</v>
      </c>
      <c r="O26" s="136">
        <f t="shared" si="6"/>
        <v>0</v>
      </c>
      <c r="P26" s="115">
        <f t="shared" si="4"/>
        <v>60431253.120000005</v>
      </c>
      <c r="Q26" s="114">
        <f t="shared" si="5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7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6"/>
        <v>0</v>
      </c>
      <c r="P27" s="115">
        <f t="shared" si="4"/>
        <v>0</v>
      </c>
      <c r="Q27" s="114">
        <f t="shared" si="5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7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76.5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76.5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6"/>
        <v>0</v>
      </c>
      <c r="P28" s="115">
        <f t="shared" si="4"/>
        <v>0</v>
      </c>
      <c r="Q28" s="114">
        <f t="shared" si="5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14884292.995501358</v>
      </c>
      <c r="E29" s="129">
        <f>SUM(E12:E28)</f>
        <v>3505780.6879219152</v>
      </c>
      <c r="F29" s="129"/>
      <c r="G29" s="129"/>
      <c r="H29" s="130"/>
      <c r="I29" s="130"/>
      <c r="J29" s="131">
        <f>SUM(J12:J28)</f>
        <v>1</v>
      </c>
      <c r="K29" s="131">
        <f>SUM(K12:K28)</f>
        <v>1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9.5065957276842403E-2</v>
      </c>
      <c r="E30" s="133">
        <f>SUMPRODUCT(E12:E28,$H$12:$H$28)/E29</f>
        <v>0.10082728960795012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295248373.67099291</v>
      </c>
      <c r="E32" s="114">
        <f>SUMPRODUCT(E12:E28,$I$12:$I$28)</f>
        <v>76025579.27638711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10.599416614788646</v>
      </c>
      <c r="E33" s="114">
        <f>E32*[1]Energiindhold!$C$10</f>
        <v>2.7293182960222975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8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5079263.9571064683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9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735970.69429831882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0">I12</f>
        <v>12</v>
      </c>
    </row>
    <row r="40" spans="1:15" hidden="1" x14ac:dyDescent="0.2">
      <c r="A40" s="114" t="str">
        <f t="shared" si="8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3902399.3654423635</v>
      </c>
      <c r="E40" s="121">
        <f>SUMIFS('Resultater - Vestdanmark'!J$3:J$504,'Resultater - Vestdanmark'!$F$3:$F$504,$A40)*D4</f>
        <v>61870.340176480422</v>
      </c>
      <c r="F40" s="122">
        <f>VLOOKUP(A40,[1]Biogasudbytte!$A$2:$C$18,3,FALSE)</f>
        <v>7.5999999999999998E-2</v>
      </c>
      <c r="G40" s="123">
        <f t="shared" si="9"/>
        <v>14.1</v>
      </c>
      <c r="I40" s="114" t="str">
        <f t="shared" ref="I40:I55" si="11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277359.170792997</v>
      </c>
      <c r="M40" s="121">
        <f>SUMIFS('Resultater - Østdanmark'!J$3:J$504,'Resultater - Østdanmark'!$F$3:$F$504,$A40)*D4</f>
        <v>4397.3731648257435</v>
      </c>
      <c r="N40" s="122">
        <f>VLOOKUP(I40,[1]Biogasudbytte!$A$2:$C$18,3,FALSE)</f>
        <v>7.5999999999999998E-2</v>
      </c>
      <c r="O40" s="123">
        <f t="shared" si="10"/>
        <v>14.1</v>
      </c>
    </row>
    <row r="41" spans="1:15" hidden="1" x14ac:dyDescent="0.2">
      <c r="A41" s="114" t="str">
        <f t="shared" si="8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6063.3754879128683</v>
      </c>
      <c r="E41" s="121">
        <f>SUMIFS('Resultater - Vestdanmark'!J$3:J$504,'Resultater - Vestdanmark'!$F$3:$F$504,$A41)*D5</f>
        <v>5056.5736535095893</v>
      </c>
      <c r="F41" s="122">
        <f>VLOOKUP(A41,[1]Biogasudbytte!$A$2:$C$18,3,FALSE)</f>
        <v>6.3E-2</v>
      </c>
      <c r="G41" s="123">
        <f t="shared" si="9"/>
        <v>13.1</v>
      </c>
      <c r="I41" s="114" t="str">
        <f t="shared" si="11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508.89686663358577</v>
      </c>
      <c r="M41" s="121">
        <f>SUMIFS('Resultater - Østdanmark'!J$3:J$504,'Resultater - Østdanmark'!$F$3:$F$504,$A41)*D5</f>
        <v>424.39636029513713</v>
      </c>
      <c r="N41" s="122">
        <f>VLOOKUP(I41,[1]Biogasudbytte!$A$2:$C$18,3,FALSE)</f>
        <v>6.3E-2</v>
      </c>
      <c r="O41" s="123">
        <f t="shared" si="10"/>
        <v>13.1</v>
      </c>
    </row>
    <row r="42" spans="1:15" hidden="1" x14ac:dyDescent="0.2">
      <c r="A42" s="114" t="str">
        <f t="shared" si="8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1478263.2016142127</v>
      </c>
      <c r="E42" s="121">
        <f>SUMIFS('Resultater - Vestdanmark'!J$3:J$504,'Resultater - Vestdanmark'!$F$3:$F$504,$A42)*D6</f>
        <v>1517880.3720548805</v>
      </c>
      <c r="F42" s="122">
        <f>VLOOKUP(A42,[1]Biogasudbytte!$A$2:$C$18,3,FALSE)</f>
        <v>0.06</v>
      </c>
      <c r="G42" s="123">
        <f t="shared" si="9"/>
        <v>13.9</v>
      </c>
      <c r="I42" s="114" t="str">
        <f t="shared" si="11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1266179.0197529776</v>
      </c>
      <c r="M42" s="121">
        <f>SUMIFS('Resultater - Østdanmark'!J$3:J$504,'Resultater - Østdanmark'!$F$3:$F$504,$A42)*D6</f>
        <v>1324256.6444942397</v>
      </c>
      <c r="N42" s="122">
        <f>VLOOKUP(I42,[1]Biogasudbytte!$A$2:$C$18,3,FALSE)</f>
        <v>0.06</v>
      </c>
      <c r="O42" s="123">
        <f t="shared" si="10"/>
        <v>13.9</v>
      </c>
    </row>
    <row r="43" spans="1:15" hidden="1" x14ac:dyDescent="0.2">
      <c r="A43" s="114" t="str">
        <f t="shared" si="8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1877024.5274718911</v>
      </c>
      <c r="E43" s="121">
        <f>SUMIFS('Resultater - Vestdanmark'!J$3:J$504,'Resultater - Vestdanmark'!$F$3:$F$504,$A43)*D7</f>
        <v>518251.34982790216</v>
      </c>
      <c r="F43" s="122">
        <f>VLOOKUP(A43,[1]Biogasudbytte!$A$2:$C$18,3,FALSE)</f>
        <v>0.3</v>
      </c>
      <c r="G43" s="123">
        <f t="shared" si="9"/>
        <v>60</v>
      </c>
      <c r="I43" s="114" t="str">
        <f t="shared" si="11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261260.78666758281</v>
      </c>
      <c r="M43" s="121">
        <f>SUMIFS('Resultater - Østdanmark'!J$3:J$504,'Resultater - Østdanmark'!$F$3:$F$504,$A43)*D7</f>
        <v>73643.638189782447</v>
      </c>
      <c r="N43" s="122">
        <f>VLOOKUP(I43,[1]Biogasudbytte!$A$2:$C$18,3,FALSE)</f>
        <v>0.3</v>
      </c>
      <c r="O43" s="123">
        <f t="shared" si="10"/>
        <v>60</v>
      </c>
    </row>
    <row r="44" spans="1:15" hidden="1" x14ac:dyDescent="0.2">
      <c r="A44" s="114" t="str">
        <f t="shared" si="8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9"/>
        <v>15.822453396634783</v>
      </c>
      <c r="I44" s="114" t="str">
        <f t="shared" si="11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0"/>
        <v>15.822453396634783</v>
      </c>
    </row>
    <row r="45" spans="1:15" hidden="1" x14ac:dyDescent="0.2">
      <c r="A45" s="114" t="str">
        <f t="shared" si="8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9"/>
        <v>94.9</v>
      </c>
      <c r="I45" s="114" t="str">
        <f t="shared" si="11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0"/>
        <v>94.9</v>
      </c>
    </row>
    <row r="46" spans="1:15" hidden="1" x14ac:dyDescent="0.2">
      <c r="A46" s="114" t="str">
        <f t="shared" si="8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9"/>
        <v>102.595</v>
      </c>
      <c r="I46" s="114" t="str">
        <f t="shared" si="11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0"/>
        <v>102.595</v>
      </c>
    </row>
    <row r="47" spans="1:15" hidden="1" x14ac:dyDescent="0.2">
      <c r="A47" s="114" t="str">
        <f t="shared" si="8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9"/>
        <v>160.6</v>
      </c>
      <c r="I47" s="114" t="str">
        <f t="shared" si="11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0"/>
        <v>160.6</v>
      </c>
    </row>
    <row r="48" spans="1:15" hidden="1" x14ac:dyDescent="0.2">
      <c r="A48" s="114" t="str">
        <f t="shared" si="8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9"/>
        <v>95.4</v>
      </c>
      <c r="I48" s="114" t="str">
        <f t="shared" si="11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0"/>
        <v>95.4</v>
      </c>
    </row>
    <row r="49" spans="1:15" hidden="1" x14ac:dyDescent="0.2">
      <c r="A49" s="114" t="str">
        <f t="shared" si="8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9"/>
        <v>51.25</v>
      </c>
      <c r="I49" s="114" t="str">
        <f t="shared" si="11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0"/>
        <v>51.25</v>
      </c>
    </row>
    <row r="50" spans="1:15" hidden="1" x14ac:dyDescent="0.2">
      <c r="A50" s="114" t="str">
        <f t="shared" si="8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9"/>
        <v>100</v>
      </c>
      <c r="I50" s="114" t="str">
        <f t="shared" si="11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0"/>
        <v>100</v>
      </c>
    </row>
    <row r="51" spans="1:15" hidden="1" x14ac:dyDescent="0.2">
      <c r="A51" s="114" t="str">
        <f t="shared" si="8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9"/>
        <v>75.599999999999994</v>
      </c>
      <c r="I51" s="114" t="str">
        <f t="shared" si="11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0"/>
        <v>75.599999999999994</v>
      </c>
    </row>
    <row r="52" spans="1:15" hidden="1" x14ac:dyDescent="0.2">
      <c r="A52" s="114" t="str">
        <f t="shared" si="8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9"/>
        <v>47.3</v>
      </c>
      <c r="I52" s="114" t="str">
        <f t="shared" si="11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0"/>
        <v>47.3</v>
      </c>
    </row>
    <row r="53" spans="1:15" hidden="1" x14ac:dyDescent="0.2">
      <c r="A53" s="114" t="str">
        <f t="shared" si="8"/>
        <v>Glycerin</v>
      </c>
      <c r="B53" s="114" t="s">
        <v>139</v>
      </c>
      <c r="C53" s="121">
        <f>C26*$B$36</f>
        <v>114193.60000000001</v>
      </c>
      <c r="D53" s="121">
        <f>D26*$B$36</f>
        <v>0</v>
      </c>
      <c r="E53" s="121">
        <f>E26*$B$36</f>
        <v>0</v>
      </c>
      <c r="F53" s="122">
        <f>VLOOKUP(A53,[1]Biogasudbytte!$A$2:$C$18,3,FALSE)</f>
        <v>0.9</v>
      </c>
      <c r="G53" s="123">
        <f t="shared" si="9"/>
        <v>423.36</v>
      </c>
      <c r="I53" s="114" t="str">
        <f t="shared" si="11"/>
        <v>Glycerin</v>
      </c>
      <c r="J53" s="114" t="s">
        <v>139</v>
      </c>
      <c r="K53" s="121">
        <f>C26*$C$36</f>
        <v>28548.400000000001</v>
      </c>
      <c r="L53" s="121">
        <f>D26*$C$36</f>
        <v>0</v>
      </c>
      <c r="M53" s="121">
        <f>E26*$C$36</f>
        <v>0</v>
      </c>
      <c r="N53" s="122">
        <f>VLOOKUP(I53,[1]Biogasudbytte!$A$2:$C$18,3,FALSE)</f>
        <v>0.9</v>
      </c>
      <c r="O53" s="123">
        <f t="shared" si="10"/>
        <v>423.36</v>
      </c>
    </row>
    <row r="54" spans="1:15" hidden="1" x14ac:dyDescent="0.2">
      <c r="A54" s="114" t="str">
        <f t="shared" si="8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9"/>
        <v>25</v>
      </c>
      <c r="I54" s="114" t="str">
        <f t="shared" si="11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0"/>
        <v>25</v>
      </c>
    </row>
    <row r="55" spans="1:15" ht="12.75" hidden="1" thickBot="1" x14ac:dyDescent="0.25">
      <c r="A55" s="126" t="str">
        <f t="shared" si="8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9"/>
        <v>25</v>
      </c>
      <c r="I55" s="126" t="str">
        <f t="shared" si="11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0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12343014.427122848</v>
      </c>
      <c r="E56" s="129">
        <f ca="1">SUM(E39:E55)</f>
        <v>2103058.6357127726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2541278.56837851</v>
      </c>
      <c r="M56" s="129">
        <f ca="1">SUM(M39:M55)</f>
        <v>1402722.0522091431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9.7442217192924216E-2</v>
      </c>
      <c r="E57" s="133">
        <f ca="1">SUMPRODUCT(E39:E55,$F$39:$F$55)/E56</f>
        <v>0.11962050557852605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8.3524440029677335E-2</v>
      </c>
      <c r="M57" s="133">
        <f ca="1">SUMPRODUCT(M39:M55,$N$39:$N$55)/M56</f>
        <v>7.2651190802424173E-2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249223758.90765762</v>
      </c>
      <c r="E59" s="114">
        <f ca="1">SUMPRODUCT(E39:E55,$I$12:$I$28)</f>
        <v>53132231.072586313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46024614.763335347</v>
      </c>
      <c r="M59" s="114">
        <f ca="1">SUMPRODUCT(M39:M55,$I$12:$I$28)</f>
        <v>22893348.20380079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8.9471329447849097</v>
      </c>
      <c r="E60" s="114">
        <f ca="1">E59*[1]Energiindhold!$C$10</f>
        <v>1.9074470955058489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1.6522836700037391</v>
      </c>
      <c r="M60" s="114">
        <f ca="1">M59*[1]Energiindhold!$C$10</f>
        <v>0.82187120051644846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270</v>
      </c>
    </row>
    <row r="2" spans="1:4" ht="15.75" x14ac:dyDescent="0.25">
      <c r="A2" s="201" t="s">
        <v>307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293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245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>A13</f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G142" sqref="G142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440000.4707175892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30771.543538260554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96240.251864570237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91166.13849133953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114296.21103509518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80440.71043353487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227046.32891431812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187694.99101158135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9481.9223145863507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6881.5772424356765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39881.846198414576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28944.553232959333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24527.48639267926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17801.00981362825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59557.460174493739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4165.1659503881319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39626.646276650128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47993.907124893325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22893.887839858267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1601.0898017343659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33065.770650056205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2312.4629833348681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9092.1843258992376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4068.6562623492623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24758.282800161851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28378.147046292288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57931.441956188719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4051.4499575007239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9463.8157203712435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811.27805994298762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868.70275369028457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8016.6956445237793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37.494387069399458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591.93918991521116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15.529713724807898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2004.6526689192153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34.150981524689662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603.99089174013625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1490.8276372254238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171.2857518958528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281.31436481905746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25740.044427812609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4362.53125925926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4783.9196669834782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275.45437396803328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356.70094108511353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8226.6497090955108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9.5619378520505975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506.11617449253043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5.4731720415014316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680.64252345157081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19.505146385739103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344.96609564581217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1097.5667816533621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97.828920732618897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230.9275001580348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22387.839736166919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3395.8482962962953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147104.34892199337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30771.543538260554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32175.782829362139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91166.13849133953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38212.390275736827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80440.71043353487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75907.878770217794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187694.99101158135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3170.0693554744112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6881.5772424356765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13333.606232867891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28944.553232959333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8200.2183102298641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17801.00981362825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19911.709158237998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4165.1659503881319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13248.285827926327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47993.907124893325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7654.0610501689234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1601.0898017343659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11054.803316795702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2312.4629833348681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3039.7691469712631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4068.6562623492623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8277.3799441728734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28378.147046292288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19368.086214042141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4051.4499575007239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3164.0158193296338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271.23273438316426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290.43140062996218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2680.2034810784762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12.53541249416833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197.90167267747967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5.1920135965015621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670.21093226368919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11.417619381277788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201.93089052687492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498.42498707170773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57.265572855320727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94.051186835371922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8605.6100590103106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4362.53125925926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1599.3968978237997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92.09202952487432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119.25500809717734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2750.3969422854166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3.1968207667243238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169.20866063209289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1.8298330644739016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227.55765487630734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6.5211108865925631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115.33172411697309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366.94698655710141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32.706918850889117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77.205461856732612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7484.8751474917772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3395.8482962962953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139605.98929550874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12262.026478572649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30535.684540723742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36328.42150866046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36264.587599780585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32054.489566465109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72038.621486705946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74793.80898841859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3008.481202286293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2742.211558421523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12653.951447780619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11533.996587194459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7782.2280444329399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7093.4515653607632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18896.748301264219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1659.7599372226859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12572.980085436488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19124.895676548345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7263.9100942126888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638.01172401471331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10491.306102220859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921.48391246980407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2884.822794857841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1621.3021865186959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7855.4565133477763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11308.291703398067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18380.83548506023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1614.4457165015567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1885.6446303801165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50.990844974029841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205.95998830023743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605.60866356368342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11.46957223200376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19.499322517256413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54.477004659634666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58.080893697554018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12.529242712581604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89.464869797138064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649.51071214656338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19.633252031251775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41.669093631679907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3909.3241537121544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662.5687407407404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1039.4234458542505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18.879357376435923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92.221243178496934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677.69572474534289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3.1896419604766248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18.180578675197953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20.936492564620558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21.50444750263269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7.8034365445890632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55.720321686388786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521.44066181544724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12.227940658851667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37.300345620778415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3400.2009155611872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515.75170370370324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46674.150433143222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12262.026478572649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10208.92542665859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36328.42150866046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12124.256456112609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32054.489566465109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24084.507213724151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74793.80898841859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1005.8186251133239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2742.211558421523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4230.5665854867711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11533.996587194459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2601.8144657248918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7093.4515653607632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6317.7065494196841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1659.7599372226859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4203.4956154954561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19124.895676548345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2428.5264133794421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638.01172401471331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3507.5343237509874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921.48391246980407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964.47619317495321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1621.3021865186959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2626.2967719022085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11308.291703398067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6145.2226000174778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1614.4457165015567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630.42324749774684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17.047652332402613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68.858130841260106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202.47175647281159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3.8345957967977244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6.5191638059906802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18.213172110035202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19.418052072198943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4.188872999872153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29.910584871501143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217.14942775483027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6.5639401534468442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13.93113257097435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1306.995384388938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662.5687407407404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347.50805836020203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6.3118922813807306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30.832116866658851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226.57245841872887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1.0663856861901932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6.0782711997520584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6.9996495740238407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7.1895326467329399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2.6089050549735591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18.628847441986572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174.33206135601603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4.0881393748137143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12.470539061381483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1136.7813790559183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515.75170370370324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4528990.8965631956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656237.71529944777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2782800.9518239009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1074244.3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403219.82986184256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155654.9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510563.66032128973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36287.806603745157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420929.45348368905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93364.229814031074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29917.144107405104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6635.7701859689205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9267841.2008731291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777846.49111438286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7477118.4636429986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8509733.5999999996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627551.79275658482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714218.8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68398.710275273785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63253.301873701501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6851.9293420453778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62064.056099830283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66721.648373425152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6636.0224586675931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102582.36331715142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92273.057756571012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10293.596108827296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92863.526025887099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102582.36331715142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10293.596108827296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11580.571901266099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10716.064338153163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1163.0027141892861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10562.303139891397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11296.555654095237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1126.3560590873876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17368.192678475018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15631.861980377071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1747.16924470806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15804.694883280621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17368.192678475018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1747.16924470806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124" workbookViewId="0">
      <selection activeCell="E131" sqref="E13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222</v>
      </c>
      <c r="I1" s="140" t="s">
        <v>188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5079263.9571064683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3902399.3654423635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6063.3754879128683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1478263.2016142127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1877024.5274718911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0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61870.340176480422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5056.5736535095893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1517880.3720548805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518251.34982790216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0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735970.69429831882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277359.170792997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508.89686663358577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1266179.0197529776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261260.78666758281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0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4397.3731648257435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424.39636029513713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1324256.6444942397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73643.638189782447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0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2691129.5009707427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482187.74728528946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40228.873469919861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5144644.6526032425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3525167.7695113979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133537.51054598394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7632870.0065635424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609921.6300278171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5023765.8070002273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27571.701941246847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1942953.6559396777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123145.11430255328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64762.968256356122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5403.1676876681813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1819188.8605265266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472676.57715918368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17935.514963231879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1025176.0247393751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0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1901555.3413212085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4432.6987357664457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343178.29580461275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61489.560168524171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5130.0675922754817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656055.52752620552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449536.54854955332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17028.97436880333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973359.07469549077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77778.444140950844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640640.81180260039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3515.9993902993874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247769.39356957746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16515.993687659306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8685.8888472677336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724.66280069904622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243986.22639057698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63394.503378227986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2405.4779078760002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137494.70167152316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0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255033.06559799711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594.50530988460082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>C279</f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>C280</f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1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1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1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1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1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1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1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1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1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1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1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2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1015280.1328495261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1"/>
        <v>Rapsolie</v>
      </c>
      <c r="D303">
        <f t="shared" si="22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207354.36506441425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1"/>
        <v>Pil &amp; poppel</v>
      </c>
      <c r="D304">
        <f t="shared" si="22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792652.16456581966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1"/>
        <v>Træ til energi</v>
      </c>
      <c r="D305">
        <f t="shared" si="22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2215801.6184005174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1"/>
        <v>Have/parkaffald</v>
      </c>
      <c r="D306">
        <f t="shared" si="22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1"/>
        <v>Bioaffald</v>
      </c>
      <c r="D307">
        <f t="shared" si="22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1"/>
        <v>Halm</v>
      </c>
      <c r="D308">
        <f t="shared" si="22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1"/>
        <v>Rapsolie</v>
      </c>
      <c r="D309">
        <f t="shared" si="22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1"/>
        <v>Pil &amp; poppel</v>
      </c>
      <c r="D310">
        <f t="shared" si="22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1"/>
        <v>Træmaterialer</v>
      </c>
      <c r="D311">
        <f t="shared" si="22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613452.88379897492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1"/>
        <v>Have/parkaffald</v>
      </c>
      <c r="D312">
        <f t="shared" si="22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1"/>
        <v>Bioaffald</v>
      </c>
      <c r="D313">
        <f t="shared" si="22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2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492258.30184736766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1"/>
        <v>Rapsolie</v>
      </c>
      <c r="D315">
        <f t="shared" si="22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65588.474496815557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1"/>
        <v>Pil &amp; poppel</v>
      </c>
      <c r="D316">
        <f t="shared" si="22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248146.38123349831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1"/>
        <v>Træ til energi</v>
      </c>
      <c r="D317">
        <f t="shared" si="22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647094.30995983595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1"/>
        <v>Have/parkaffald</v>
      </c>
      <c r="D318">
        <f t="shared" si="22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1"/>
        <v>Bioaffald</v>
      </c>
      <c r="D319">
        <f t="shared" si="22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1"/>
        <v>Halm</v>
      </c>
      <c r="D320">
        <f t="shared" si="22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1"/>
        <v>Rapsolie</v>
      </c>
      <c r="D321">
        <f t="shared" si="22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1"/>
        <v>Pil &amp; poppel</v>
      </c>
      <c r="D322">
        <f t="shared" si="22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1"/>
        <v>Træmaterialer</v>
      </c>
      <c r="D323">
        <f t="shared" si="22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178637.08828513199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1"/>
        <v>Have/parkaffald</v>
      </c>
      <c r="D324">
        <f t="shared" si="22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1"/>
        <v>Bioaffald</v>
      </c>
      <c r="D325">
        <f t="shared" si="22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3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577911.40512234275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1"/>
        <v>Rapsolie</v>
      </c>
      <c r="D327">
        <f t="shared" si="23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214603.79935685833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1"/>
        <v>Pil &amp; poppel</v>
      </c>
      <c r="D328">
        <f t="shared" si="23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1328394.2479560631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1"/>
        <v>Træ til energi</v>
      </c>
      <c r="D329">
        <f t="shared" si="23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2249732.4484132435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1"/>
        <v>Have/parkaffald</v>
      </c>
      <c r="D330">
        <f t="shared" si="23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1"/>
        <v>Bioaffald</v>
      </c>
      <c r="D331">
        <f t="shared" si="23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1"/>
        <v>Halm</v>
      </c>
      <c r="D332">
        <f t="shared" si="23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1"/>
        <v>Rapsolie</v>
      </c>
      <c r="D333">
        <f t="shared" si="23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1"/>
        <v>Pil &amp; poppel</v>
      </c>
      <c r="D334">
        <f t="shared" si="23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1"/>
        <v>Træmaterialer</v>
      </c>
      <c r="D335">
        <f t="shared" si="23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697041.55294512468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1"/>
        <v>Have/parkaffald</v>
      </c>
      <c r="D336">
        <f t="shared" si="23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1"/>
        <v>Bioaffald</v>
      </c>
      <c r="D337">
        <f t="shared" si="23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3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265754.69168163347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1"/>
        <v>Rapsolie</v>
      </c>
      <c r="D339">
        <f t="shared" si="23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85516.589924849774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1"/>
        <v>Pil &amp; poppel</v>
      </c>
      <c r="D340">
        <f t="shared" si="23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529346.388560839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1"/>
        <v>Træ til energi</v>
      </c>
      <c r="D341">
        <f t="shared" si="23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626992.95337647933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1"/>
        <v>Have/parkaffald</v>
      </c>
      <c r="D342">
        <f t="shared" si="23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1"/>
        <v>Bioaffald</v>
      </c>
      <c r="D343">
        <f t="shared" si="23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1"/>
        <v>Halm</v>
      </c>
      <c r="D344">
        <f t="shared" si="23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1"/>
        <v>Rapsolie</v>
      </c>
      <c r="D345">
        <f t="shared" si="23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1"/>
        <v>Pil &amp; poppel</v>
      </c>
      <c r="D346">
        <f t="shared" si="23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1"/>
        <v>Træmaterialer</v>
      </c>
      <c r="D347">
        <f t="shared" si="23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185714.85587464209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1"/>
        <v>Have/parkaffald</v>
      </c>
      <c r="D348">
        <f t="shared" si="23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1"/>
        <v>Bioaffald</v>
      </c>
      <c r="D349">
        <f t="shared" si="23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4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4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4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4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4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4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5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1693087.9857021561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5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1300799.7884807878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5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2021.1251626376227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5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236862.61894288147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5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8903736.5766237658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5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995222.8905503545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6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6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6874.4822418311569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6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561.84151705662089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6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21799.461540380005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6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47604.725505662638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6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982391.24658337084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7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7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7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7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7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7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245323.56476610628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92453.05693099901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169.63228887786195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32968.623079480683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1833172.5263920096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378703.95707755227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488.59701831397138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47.155151143904114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3097.7085905225945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31751.943156603487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390323.36216618225</v>
      </c>
    </row>
    <row r="386" spans="1:7" x14ac:dyDescent="0.25">
      <c r="A386" t="s">
        <v>208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208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30051588.08806663</v>
      </c>
      <c r="G387">
        <v>1</v>
      </c>
    </row>
    <row r="388" spans="1:7" x14ac:dyDescent="0.25">
      <c r="A388" t="s">
        <v>208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11374884.904949415</v>
      </c>
      <c r="G388">
        <v>1</v>
      </c>
    </row>
    <row r="389" spans="1:7" x14ac:dyDescent="0.25">
      <c r="A389" t="s">
        <v>208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208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3832239.5048490944</v>
      </c>
      <c r="G390">
        <v>1</v>
      </c>
    </row>
    <row r="391" spans="1:7" x14ac:dyDescent="0.25">
      <c r="A391" t="s">
        <v>208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1525578.4068414355</v>
      </c>
      <c r="G391">
        <v>1</v>
      </c>
    </row>
    <row r="392" spans="1:7" x14ac:dyDescent="0.25">
      <c r="A392" t="s">
        <v>236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236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647982.39082629455</v>
      </c>
      <c r="G393">
        <v>1</v>
      </c>
    </row>
    <row r="394" spans="1:7" x14ac:dyDescent="0.25">
      <c r="A394" t="s">
        <v>236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670636.87299018225</v>
      </c>
      <c r="G394">
        <v>1</v>
      </c>
    </row>
    <row r="395" spans="1:7" x14ac:dyDescent="0.25">
      <c r="A395" t="s">
        <v>236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236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204963.98280254862</v>
      </c>
      <c r="G396">
        <v>1</v>
      </c>
    </row>
    <row r="397" spans="1:7" x14ac:dyDescent="0.25">
      <c r="A397" t="s">
        <v>236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267239.34351515555</v>
      </c>
      <c r="G397">
        <v>1</v>
      </c>
    </row>
    <row r="398" spans="1:7" x14ac:dyDescent="0.25">
      <c r="A398" t="s">
        <v>309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309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309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309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309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309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305</v>
      </c>
      <c r="D404">
        <f t="shared" ref="D404:D411" si="30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306</v>
      </c>
      <c r="D405">
        <f t="shared" si="30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305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306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305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306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305</v>
      </c>
      <c r="D410">
        <f t="shared" si="30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306</v>
      </c>
      <c r="D411">
        <f t="shared" si="30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305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306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305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306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190</v>
      </c>
      <c r="G1" t="s">
        <v>166</v>
      </c>
      <c r="H1" t="s">
        <v>227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482187.74728528946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1497467.8801348156</v>
      </c>
      <c r="F14">
        <f>E14-D14</f>
        <v>1015280.1328495261</v>
      </c>
      <c r="G14">
        <f t="shared" si="3"/>
        <v>1015280.1328495261</v>
      </c>
      <c r="H14">
        <f t="shared" si="1"/>
        <v>492258.30184736766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207354.36506441425</v>
      </c>
      <c r="F15">
        <f t="shared" si="2"/>
        <v>207354.36506441425</v>
      </c>
      <c r="G15">
        <f t="shared" si="3"/>
        <v>207354.36506441425</v>
      </c>
      <c r="H15">
        <f t="shared" si="1"/>
        <v>65588.474496815557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792652.16456581966</v>
      </c>
      <c r="F16">
        <f t="shared" si="2"/>
        <v>792652.16456581966</v>
      </c>
      <c r="G16">
        <f t="shared" si="3"/>
        <v>792652.16456581966</v>
      </c>
      <c r="H16">
        <f t="shared" si="1"/>
        <v>248146.38123349831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2215801.6184005174</v>
      </c>
      <c r="F17">
        <f t="shared" ca="1" si="2"/>
        <v>2215801.6184005174</v>
      </c>
      <c r="G17">
        <f t="shared" ca="1" si="3"/>
        <v>2215801.6184005174</v>
      </c>
      <c r="H17">
        <f t="shared" ca="1" si="1"/>
        <v>647094.30995983595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61489.560168524171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553747.86201589182</v>
      </c>
      <c r="F20">
        <f t="shared" si="2"/>
        <v>492258.30184736766</v>
      </c>
      <c r="G20">
        <f t="shared" si="3"/>
        <v>492258.30184736766</v>
      </c>
      <c r="H20">
        <f t="shared" si="1"/>
        <v>1015280.1328495261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65588.474496815557</v>
      </c>
      <c r="F21">
        <f t="shared" si="2"/>
        <v>65588.474496815557</v>
      </c>
      <c r="G21">
        <f t="shared" si="3"/>
        <v>65588.474496815557</v>
      </c>
      <c r="H21">
        <f t="shared" si="1"/>
        <v>207354.36506441425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248146.38123349831</v>
      </c>
      <c r="F22">
        <f t="shared" si="2"/>
        <v>248146.38123349831</v>
      </c>
      <c r="G22">
        <f t="shared" si="3"/>
        <v>248146.38123349831</v>
      </c>
      <c r="H22">
        <f t="shared" si="1"/>
        <v>792652.16456581966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647094.30995983595</v>
      </c>
      <c r="F23">
        <f t="shared" ca="1" si="2"/>
        <v>647094.30995983595</v>
      </c>
      <c r="G23">
        <f t="shared" ca="1" si="3"/>
        <v>647094.30995983595</v>
      </c>
      <c r="H23">
        <f t="shared" ca="1" si="1"/>
        <v>2215801.6184005174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64762.968256356122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642674.37337869883</v>
      </c>
      <c r="F26">
        <f t="shared" si="2"/>
        <v>577911.40512234275</v>
      </c>
      <c r="G26">
        <f t="shared" si="3"/>
        <v>577911.40512234275</v>
      </c>
      <c r="H26">
        <f t="shared" si="1"/>
        <v>265754.69168163347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214603.79935685833</v>
      </c>
      <c r="F27">
        <f t="shared" si="2"/>
        <v>214603.79935685833</v>
      </c>
      <c r="G27">
        <f t="shared" si="3"/>
        <v>214603.79935685833</v>
      </c>
      <c r="H27">
        <f t="shared" si="1"/>
        <v>85516.589924849774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1328394.2479560631</v>
      </c>
      <c r="F28">
        <f t="shared" si="2"/>
        <v>1328394.2479560631</v>
      </c>
      <c r="G28">
        <f t="shared" si="3"/>
        <v>1328394.2479560631</v>
      </c>
      <c r="H28">
        <f t="shared" si="1"/>
        <v>529346.388560839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2249732.4484132435</v>
      </c>
      <c r="F29">
        <f t="shared" ca="1" si="2"/>
        <v>2249732.4484132435</v>
      </c>
      <c r="G29">
        <f t="shared" ca="1" si="3"/>
        <v>2249732.4484132435</v>
      </c>
      <c r="H29">
        <f t="shared" ca="1" si="1"/>
        <v>626992.95337647933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8685.8888472677336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274440.58052890119</v>
      </c>
      <c r="F32">
        <f t="shared" si="2"/>
        <v>265754.69168163347</v>
      </c>
      <c r="G32">
        <f t="shared" si="3"/>
        <v>265754.69168163347</v>
      </c>
      <c r="H32">
        <f t="shared" si="1"/>
        <v>577911.40512234275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85516.589924849774</v>
      </c>
      <c r="F33">
        <f t="shared" si="2"/>
        <v>85516.589924849774</v>
      </c>
      <c r="G33">
        <f t="shared" si="3"/>
        <v>85516.589924849774</v>
      </c>
      <c r="H33">
        <f t="shared" si="1"/>
        <v>214603.79935685833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529346.388560839</v>
      </c>
      <c r="F34">
        <f t="shared" si="2"/>
        <v>529346.388560839</v>
      </c>
      <c r="G34">
        <f t="shared" si="3"/>
        <v>529346.388560839</v>
      </c>
      <c r="H34">
        <f t="shared" si="1"/>
        <v>1328394.2479560631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626992.95337647933</v>
      </c>
      <c r="F35">
        <f t="shared" ca="1" si="2"/>
        <v>626992.95337647933</v>
      </c>
      <c r="G35">
        <f t="shared" ca="1" si="3"/>
        <v>626992.95337647933</v>
      </c>
      <c r="H35">
        <f t="shared" ca="1" si="1"/>
        <v>2249732.4484132435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58" zoomScale="80" zoomScaleNormal="80" workbookViewId="0">
      <selection activeCell="J464" sqref="J46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4" width="14.42578125" bestFit="1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2550745.2722111917</v>
      </c>
      <c r="O3">
        <f>SUMIF($F$3:$F$494,"Roer",J3:J494)</f>
        <v>2775969.9581087129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76.5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76.5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-854983.87844092236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-790666.27342126879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15645.971282398043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141719.56407203924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3911.4928205995097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35429.891018009803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-109630.86947272604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-993024.89759728452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-98667.782525453455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-893722.40783755621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161121.35021029133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55772.775072793156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-33360.824186712576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-1016075.3880867315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7366.022617728745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3683.0113088643734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-82950.280733344916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-46452.157210673147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-1025823.6331715143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-922730.57756571006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-102935.96108827296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-928635.26025887101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-1025823.6331715143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-102935.96108827296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6277944.553097195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6772351.9428086244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868166.65472885093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70961.148991353984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-3874415842.282917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-297554.70190420194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1288169.8408620751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568240.84958415164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1315249.8945861193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507725.7507076452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1425626.8574844806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550334.5557560845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43601.490368529398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16831.477820646374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-2380602730.2567925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-918983771.3210001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-160706.75496783029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-62037.608325000008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65622.565085531067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384065.97286754509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148260.93900338138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216136.56487645549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3562578.4874028726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100961.60217483794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1244186.5138445352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21969.36295419477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-924318772.98084342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  <c r="L114" s="94"/>
      <c r="M114" s="94"/>
      <c r="N114" s="94"/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-5590.6720805181221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3757079.4072644925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1619264.9464859471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53449.325515314493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15704.824852854279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1640620.6665202787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68744.822418311582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19587.887988168888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4344.6902101132364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584658.87395164825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0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18112.436627147865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4017.427817781906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-762046001.6890018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-31931035.692611322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-5556.2687859846956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-1232.4078335452102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551216.37540002866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1116381.781934679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247618.98789956214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49456516.776949145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3147.8530675694519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69767.908896682624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103066.61827018684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4352.9170396075651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-171269705.39213544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-4059.3144459824302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14555.244181520657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7406.9536502219371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2794164.600858218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3180048.1032192786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4936.6475829810388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5618.4151705662098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18588.45868949993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21155.587175915862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34222.445868990108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38948.680417674739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3511.8508897724369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3996.8492755865582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-138177149.20812261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-157259876.928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-6168.6227325054742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-7020.5302199999996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2692.1636914788196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6573.3686590815978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7481.1729164606168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6000728.6487308554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3312247.1153544593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263690.48285147623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1958622.8291241296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1081109.1778339073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86067.914376514716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-136963849.32909226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-70400075.31481427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-4923446.9661216885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1946337.0798042775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926109.09310097597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55317.83049756461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190413.34522670315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85490.353050550271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62150.439848632843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27903.837509816985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-2942669.3865277474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-1230296.0436482616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361986.6881069821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140099.8523038697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112295.35066349972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50417.52279877296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36652.921718189653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16456.1533977125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-1144236.3018493962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-478391.96669834782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468584.15317518299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181356.31173369306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514065.70872799889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741941.91103359358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176672.62351048907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167789.76216454705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242167.9849065874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57665.502632264863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-11733311.468827365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-15769586.20443769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-3298709.4673015312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248861.6063304602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309623.93051346974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55317.83049756461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16312.180902553693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19149.801843958747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5324.2550661412697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6250.4474473635264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-252090.28974464818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-275585.77786361112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46284.166091931889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46839.262520826029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9620.0299005188881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11293.503145189783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3139.9537094546145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3686.1711928320829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-98023.536789473103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-107159.59215419459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59913.879394365205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60632.440044824951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151288.25314661043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209804.74874316042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173158.93982423141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-1467704.1161021357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-1896384.4629172701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-1376315.4484871353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16685.552909583264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19957.46609382988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12370.972648142742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2218.5848349981225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995.55767668834756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-17487.700773523011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-7311.4054785328944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1434.1434151806104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555.05709809414213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660.08898837497532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296.20533292553051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-4345.4160226653421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-1816.7681918896135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936.5902571566595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362.48890085734729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11026.048730184528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39981.81824927219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98700.595699811878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-106967.83635905928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-361387.90652408282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-784499.80563766707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2133.4400616815751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6672.3338979106265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12370.972648142742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161.69282144484706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189.72023428673134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-1274.5222242793175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-1393.3110987268099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183.37174876511565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185.570967450344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48.107987240936367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56.446900541758083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-316.6985395250839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-346.21568903624427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119.75384854349258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121.19008342219358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18287.386999956889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25281.653285775988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20865.992821544751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-15647250.586681526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-20010855.142966382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-14451312.20911492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3388.2919548163195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4011.3019659369033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2474.1945296285489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1332.8042066416401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4817.8436034849874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11893.615908280508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-1140388.2580028614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-3813404.5017161584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-8237247.9591955049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433.23214017838967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1341.089392623396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2474.1945296285489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1856679.0274235527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1818939.6274689648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1502745.6007961705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-6557474.8258948205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-5982276.9297621865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-4341682.9849439003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99397.95717709836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83942.956592227652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52033.460316274068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72157.52731348855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32396.744450555263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-169898.74999687725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-71032.702789825344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22641.407361399019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8762.9129233235089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71978.294997334495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32316.274071927997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-108949.33153327699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-45550.455704327738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49573.996961028934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19186.643820172772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135316.74143163557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346629.49255210225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856564.99245381705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-477915.73683653522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-1140023.3329102045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-2474759.3014180227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12709.173321378878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28064.456285576362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52033.460316274068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5258.9173042875573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6173.7437129027021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-12382.401526228334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-13536.474411139607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2894.9646307445764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2929.6845936171758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5245.854662536889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6158.4087308682201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-7940.3431107291908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-8680.4042904263642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6338.6063205370474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6414.6266538343398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9409787.8886368591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13815429.272241551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15939130.794241143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-29393734.83955488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-40187200.217834301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-40729813.049513154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431176.57641327148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477885.10184959543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337418.22814675397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1141734.8185532175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585364.71672687284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-2492703.3187545058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-1190091.3985838203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306634.99709491339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118677.06525025181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1366909.1315970949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700811.04964691401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-2066065.7974563106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-986401.83770025847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805799.00076710421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311868.70872089284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938456.78825367626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3602727.0275144409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12432522.01950809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-2931495.4086924591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-10479841.743016267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-31769254.17862026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55130.88998390019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159770.23081919854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337418.22814675397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113867.47539237716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152648.84241726276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-248602.24037701587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-310346.81314645341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39206.815060960464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39677.031224851671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136324.55573438658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182754.43057109212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-206052.83514871012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-257229.54319001344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103030.68044644492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104266.35060346487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228295.83737196182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398929.01718089578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430177.82605685008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67776.181350591316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118433.54537565567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127710.65249134923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134475.37812254048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202565.62959750419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163888.85367128052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8988.1461515200863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4035.430325792302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2668.3895360672113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1198.0334846971043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31031.020333635548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12009.948178801173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3560.384134370031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1598.5145173542503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1057.0023682721239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474.56498141590981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26980.711121681303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10442.355388725728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16638.443338506684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76022.623676707037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245201.36085240453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4939.6001525197526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22569.500996486677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72795.071920069066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17194.225480632958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67723.302675828993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163888.85367128052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655.06564719629318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769.01901796771813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194.47506626492333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228.30539979979051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3967.6732496296468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4015.258448583294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259.48458090593903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304.62378608941856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77.035456343029438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90.436326861541971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3449.7945804716023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3491.1687439000748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346761.79388166772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2140168.3084514025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1768133.7312794351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-576131.59912925877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-3311210.6630117004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-2403136.3248398136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9703.3123842265704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51625.236086963741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32000.775077512913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3621.7615488648539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1626.0712877489161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-3900.1794783652108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-1630.6199411048294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594.00455425100313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229.89781959549998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1489.163191827615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668.59330089314324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-981.82075140833501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-410.48790311260734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536.0963111377207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207.48556916227477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25272.368195039431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407845.01229811064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1007836.2268292779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-41989.083454102067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-631006.79897218791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-1369787.7051586937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1240.6802150158394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17259.746859205829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32000.775077512913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263.95783212721415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309.8751914654008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-284.2492268269275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-310.74201375061847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75.95032179799955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76.861211114222542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108.53179661197174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127.4116815712068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-71.556140177280099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-78.225363506259285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68.546086144021544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69.368174794331026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22799.307708789471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361282.21255235269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498105.05933992373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-375960.31557485583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-5547730.4787310176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-6719146.9974850658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5278.7362480253596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72107.465828735993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74590.904200141333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832.19283099213862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373.63168449643774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-11435.708317520553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-4781.1374134565531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870.88590683653945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337.05931994179156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554.51944988025582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248.96397617099291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-6531.4422836308104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-2730.7204940034744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1329.6940839065478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514.6320317436099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1661.6377847126773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68848.392829497301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283919.88382375654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-27400.387498206695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-1057213.2090685209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-3829913.7885664874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674.94721017724225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24107.523784808222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74590.904200141333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60.651098261657197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71.201792100489683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-833.44657995995362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-911.12602662596748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111.35279081652958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112.68826991767354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40.413967040056363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47.444266659904514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-476.0184574800515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-520.38464875008651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170.01669910248501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172.05574766904459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1415136.4303395611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732534.8055063443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58317.646553013583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-6748143.454119416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-3252839.8972465289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-227488.17599642451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107987.44231752631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48186.852323926469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2878.270118416282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51653.603137711965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23191.046632359317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-180581.0800621245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-75498.861467517025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23102.379527231336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8941.3231645592768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34418.618533530331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15453.012741520157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-89042.384060234079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-37227.591155110567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33789.372952466074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13077.514493245139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103136.64753378094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139596.80908307084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33241.058535217737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-491811.86916932458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-619883.26930055569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-129668.26031796195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13807.437898352086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16110.199896265882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2878.270118416282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3764.5695117789446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4419.4433968721751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-13160.941098214729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-14387.575950039838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2953.9052299105738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2989.3320806646357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2508.4655105943393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2944.831089555058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-6489.5036149866719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-7094.3426797453067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4320.3603924019699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4372.1754476974365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6504856.0144051285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2846723.8162176111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226629.82304775523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-23382991.73904337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-9529193.6279189978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-666426.55206210108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332286.10382513731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125356.01459617481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7487.6953686549705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256100.14280202685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114981.91788172646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-623324.69415606023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-260604.84695949798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76677.061543462041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29676.353717623224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101446.37947259334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45546.633228288338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-162798.69607567054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-68064.252345157074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66668.824451160137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25802.861723245755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690328.21436586988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789943.07864227332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188102.75312963681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-2481521.3277586871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-2644274.9762140056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-553134.03821154381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42486.604410541935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41909.989051948134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7487.6953686549705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27178.642215577976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31906.562091565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-66150.368606776319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-72315.759591252063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9804.0451997782384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9921.6273221028368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10766.002789318034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12638.826242705034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-17277.020877038922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-18887.285354733511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8524.3768498453428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8626.6116214192407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437619.52462483628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540052.6252361947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432668.9503162466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233734.77619974819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288444.80740177771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231090.64970865886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-17405322.002124168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-20001836.931141656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-14077124.325868603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226139.32914571706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240569.65251414294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144607.81206289455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10970.76631747676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4925.5722312925636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5859.5411439959262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2630.7727565945142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-301280.51440040348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-125961.89928509126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33227.489001172784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12860.048323426097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5255.5335283396789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2359.5899555876022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2807.0067351538642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1260.268793229116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-98114.66814270505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-41020.608224788055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34938.799154324508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13522.377374686159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30775.08230427558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99305.006035972736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237967.92267393565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16437.125334125107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53039.30024884321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127099.85733976237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-1224008.9552836879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-3677942.5640396699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-7742418.3792277323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28914.517063691259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80429.100554751974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144607.81206289455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771.50633681338331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905.71540124483704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412.06539202371204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483.74712438187362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-21187.200537488741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-23161.904200239485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4248.5170595378513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4299.4704815604291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369.58926141650096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433.88196600204816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197.39947246886021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231.73852745152388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-6899.7995231976638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-7542.8792621464672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4467.3277671290516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4520.9054352522598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713868.47629670356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507373.5518218783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40392.389881110103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118594.54840773206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84289.668545797569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6710.3638781050604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-7493968.4308534022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-4959865.5975084305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-346869.44750023022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113593.29207563492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69596.54115702807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4157.101680159717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61141.787199729049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27450.980222122704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10157.449001543764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4560.4151337243457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-481385.54750765581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-201261.73102543221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57023.485545682102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22069.822358884183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52515.612858242159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23578.065279888426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8724.3877521914255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3917.0100614363082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-315024.29205221619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-131708.01379840347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107506.48772046529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41608.278829561881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52027.493495891315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96688.550926287498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23023.662232232757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8643.2967707723092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16062.811868071864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3824.9074105198843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-546168.3863913751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-945185.68358603236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-197715.58507513118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14524.210337271257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23268.052094195322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4157.101680159717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4456.0784535034427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5231.2452820067783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740.28568204070768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869.06368950212402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-35083.890483435673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-38353.802755167904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7291.109211610591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7378.553126620388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3827.3936966497154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4493.1962995937929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635.84265464065186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746.45204789256411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-22959.305320245483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-25099.173880505732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13745.942315270115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13910.800497565881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673444.82878693647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488191.04344046192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248684.18117301876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-1481578.6233312604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-1000140.2758489161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-447552.18885841884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26475.734135173829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16544.785698270582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6323.4016080092897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24581.270876446844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11036.314304318757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-40968.78479407807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-17128.575189585281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4367.9666208174622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1690.5358637495037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16379.368213872083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7353.8856726755976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-21059.187703549822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-8804.6028659357016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6669.1392394898348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2581.1596203513691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49081.375089311769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93033.001810905844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141749.98326862068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-107979.02519648591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-190593.52551509818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-255104.74764929872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3385.2274582982932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5531.3802829091128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6323.4016080092897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1791.5091548510034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2103.1550300955714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-2985.8485914183389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-3264.1376527532811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558.49482647875982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565.19298072698439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1193.7457690173312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1401.4064131159357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-1534.8159887365687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-1677.8649370506116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852.72624213059839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862.9531800188347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120836.39776565302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648467.52861354197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846110.98595927586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-594515.07700701291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-2970993.936019422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-3405377.6455550743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9738.6244854822507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45051.933452233876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44104.591072344723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19693.41996083039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8841.8037255722738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-80743.02183940461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-33757.723778286898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7173.811842991131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2776.4832594113914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18860.433776221762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8467.8158471300449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-66280.952985007927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-27711.300018964175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15742.662203036411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6092.8888325950884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8806.6851353812599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123576.37767923286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482283.26199678716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-43328.890866075802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-566172.78818142449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-1941065.2579663922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1245.1952737549332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15062.10965492703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44104.591072344723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1435.277383642456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1684.9541855905813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-5884.6372729340701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-6433.1011795394388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917.25444543181561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928.25528459644806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1374.5684649257814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1613.6845147519434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-4830.6263195963184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-5280.8535910005103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2012.8806281383841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2037.0215588888805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1646745.8486558588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857887.17659675004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68297.043049784086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-5970797.1307319021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-2896572.0978094358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-202572.49787503621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234735.24578556098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105416.17481585201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6296.6600086380213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314716.31243677461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457410.75921467709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88249.290010766796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-950919.48403666483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-1287002.2213906304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-218126.56296296301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202768.25813771781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254046.04736873257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36774.65036313684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394392.38835482521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464147.55031024385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80143.395476136662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-1021424.3974796053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-1119391.9868083459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-169792.41481481475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582246.51992913405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590690.23230698123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76524.893015022913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210555.41784967913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286815.4535288937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68297.043049784086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-763435.1626166756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-968404.31070210703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-202572.49787503621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30013.603981918917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35243.548119033956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6296.6600086380213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40240.104277975639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152925.09077195387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88249.290010766796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-121586.00519088602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-430280.50295051554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-218126.56296296301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25926.25653417455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84934.632759449349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36774.65036313684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50427.60799704762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155177.38669863917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80143.395476136662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-130600.87018814778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-374243.75737458887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-169792.41481481475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74446.921724604632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197484.11154285134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76524.893015022913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613452.88379897492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697041.55294512468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664573.95744888962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755128.34902388509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SUMIFS(H3:H424,$F$3:$F$424,$D$425)*H423/SUM(H423:H424)*'[1]Processer - data'!H$425</f>
        <v>-93826.565102358349</v>
      </c>
      <c r="I425" s="314">
        <f ca="1">SUMIFS(I3:I424,$F$3:$F$424,$D$425)*I423/SUM(I423:I424)*'[1]Processer - data'!I$425</f>
        <v>-98265.30671522452</v>
      </c>
      <c r="J425" s="315">
        <f ca="1">SUMIFS(J3:J424,$F$3:$F$424,$D$425)*J423/SUM(J423:J424)*'[1]Processer - data'!J$425</f>
        <v>-496028.02069494844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1174441.6070577153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45721.134694904591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6007.7570989104634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608682.64604356373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732389.99616601155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48971.913359549246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14031.442343943016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938.22496535210962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65317.356901786625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4367.5035975559585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64448.665011389203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4309.4177359038522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67205.8563118069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3915.1017916004403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32595.384929186741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1898.8560958451085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4302.4818870605723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250.6426592677754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44222.978383458023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2576.2258142459946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98611.398262488423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6001.6248923716248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363.72651659412389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22.136894461188312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2421729518.9293323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110817468.39416116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91632434.014817461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12307215.288577525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43581279.59241318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5853431.6616405295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783476235.6999613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277043670.98540288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933904303.783463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125223739.2854021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134654979.25348172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18085602.954555996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1269444451.7174709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170499958.14419591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58757225.587786168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0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994705629.78604496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376507957.5815993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75822180.338428825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12189921.523357725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1444057949.1084135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60951167.485277623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0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0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55023831.052737325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872371.79648837389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0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0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0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79430.218891658573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66241.11486097562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112621471.64831346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31095080.989674129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20547858.502437558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21098537.171562839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11346933.162854034</v>
      </c>
      <c r="J474" s="260">
        <f ca="1">SUMIFS('Forbrug af biomasse'!$E$1:$E$425,'Forbrug af biomasse'!$A$1:$A$425,"Biogas",'Forbrug af biomasse'!$B$1:$B$425,$A$1,'Forbrug af biomasse'!$D$1:$D$425,J$2)*'[1]Processer - data'!J474</f>
        <v>1933341.8038107518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8973366.3242214266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10406398.307846302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54995.857934649255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14147.876138463358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3932.8906193963462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3316076.6652003406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305192.46156532009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62326156.036366358</v>
      </c>
      <c r="J479" s="260">
        <f ca="1">J474*'[1]Processer - data'!J$479*Biogasanlæg!AC$3</f>
        <v>333233.07853963849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159235662.48805672</v>
      </c>
      <c r="J480" s="260">
        <f ca="1">-SUMIFS('Resultater - Vestdanmark'!J$3:J$504,'Resultater - Vestdanmark'!$F$3:$F$504,"Gødning",'Resultater - Vestdanmark'!$A$3:$A$504,"&lt;&gt;Gødning")-SUM(J475:J479)</f>
        <v>157182599.45333934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10.493738833103313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5.9731803645215589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7.257402777254498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7.5111329774900408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14.584799828011079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24.442454162391556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32.114873426737361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32.606652249387302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12.637525907007895</v>
      </c>
      <c r="I489" s="259">
        <f ca="1">SUM(I455:I473)*'[1]Processer - data'!$H$489</f>
        <v>8.9471329447849115</v>
      </c>
      <c r="J489" s="260">
        <f ca="1">SUM(J455:J473)*'[1]Processer - data'!$H$489</f>
        <v>1.9074470955058489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5023765.8070002273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1901555.3413212083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10343047.24970635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3914966.8791907234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14684775.031360051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5558362.6844374826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323991.19541314727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335318.43649509113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207354.36506441425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214603.79935685833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0" zoomScale="80" zoomScaleNormal="80" workbookViewId="0">
      <selection activeCell="H103" sqref="H1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4.42578125" bestFit="1" customWidth="1"/>
    <col min="13" max="14" width="13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818285.05408099853</v>
      </c>
      <c r="O3">
        <f>SUMIF($F$3:$F$494,"Roer",J3:J494)</f>
        <v>1106184.910345105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-144757.14876582625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-133950.80422691454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2655.6472139750272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24118.388172606614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663.91180349375657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6029.5970431516525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-18608.043427028577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-168996.85023826236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-16747.23908432572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-152097.16521443613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27279.246602643394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9442.8161316842525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-5648.2778270476183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-172030.40467522174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1250.2616226105072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625.1308113052537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-14079.450738592346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-7884.4924136117124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-173681.92678475019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-156318.61980377071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-17471.692447080601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-158046.9488328062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-173681.92678475019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-17471.692447080601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909656.05460311822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981294.25906442513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125794.84371027505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10282.065774176604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-561391678.30721855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-43114.817895173714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193358.10774986746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82336.459795910632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190575.91538238831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73567.996547734467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206569.21888164646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79741.889477801044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6317.7301691658104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2438.8325793536246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-344942467.85191047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-133158097.303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-23285.94517452141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-8989.0704750000004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2131.9049352044335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55650.051482796276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21482.58234600586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15361.692332938621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253206.73837261676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7175.7459036925629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88429.324493966036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1561.4507181878655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-65695041.541015133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  <c r="L114" s="94">
        <f>SUM(H114,H122)</f>
        <v>-259098224</v>
      </c>
      <c r="M114" s="94">
        <f>SUM(I114,I122)</f>
        <v>-119856706.54288027</v>
      </c>
      <c r="N114" s="94">
        <f>SUM(J114,J122)</f>
        <v>-2269466.7441501948</v>
      </c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-397.35148231100948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261508.01856614495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115087.65269609928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3798.8578861641272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1116.2048757004002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116605.48935137925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4885.9701831397151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1392.1897430835545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308.79455462725559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41554.050544392332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0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1287.3234985720062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285.53470414333128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-54161665.001865134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-2269466.7441501948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-394.90630221774734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-87.592166454789748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43795.491649532909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79345.729724079996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17599.274375814286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4150867.1980768573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264.19814604957469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5855.5948414998547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8650.3432282522826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365.33872041870592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-14374603.155793795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-340.69676310809967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1255.2076446666574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621.66288586485621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234513.20358929163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266900.26350807853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414.33100946187295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471.55151143904124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1560.1224765795505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1775.5806228855408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2872.2772498559852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3268.9483710154163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294.7483489109697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335.45408441344171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-11597157.130141689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-13198763.424000001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-517.73022902418245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-589.23050999999998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189.0017945792238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551.7004052449854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627.89208148501882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1050929.6378163383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105076.94158572536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343020.80645915837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34296.851041226793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-22336958.287281398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-1961924.2365716237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293841.44959452137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22043.375934487623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17033.766288588176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5559.7787321794594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-245133.80194941515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27914.589846163675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10954.43881313754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3575.5014425110603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-103942.34458542505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39404.090284090453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235407.78108877718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70401.550862435979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76836.511227924158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22978.890197621953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-5003468.9264329532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-1314489.2385029879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98239.338377073334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22043.375934487623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3815.5562287816356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1245.3880141837542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-54909.864857053755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9332.6208448082016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2453.7895224191534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800.91076564380558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-23283.039910133535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13173.879193017992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66568.109482737593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69001.397427017655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-601696.24045725854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-548442.31168430462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6332.2245844800045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4929.6582730278988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304.54213487388898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-2236.5665852407333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169.79254702026864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98.807268300076487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-606.0319724905587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120.91793800288004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12685.671179896166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39330.796533400055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-114663.32326291892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-312612.1176600536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2117.0381322742842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4929.6582730278988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58.03561815790458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-426.21532281406706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56.766353091597026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18.829384303959976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-115.48956981439792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40.426217076300418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8020.7953795539834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8314.8041033872596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-6348594.8746054247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-5758644.2726851981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1272.6158337312625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985.93165460557975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1528.4972575740317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4739.4383389307386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-1209831.3690957853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-3282427.2354305629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425.47073493704204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985.93165460557975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577124.0784071685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598822.94577163178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-1898092.7171670927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-1730099.4880791688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26633.92491452492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20734.600699396004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1067.1950418437411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-2339.9187020707695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288.6628697569335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1160.8571171293752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-1636.2520807678159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689.21782204532144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109980.6851293033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341329.07908983005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-361713.44305911887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-986156.70820512611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8904.4590734157682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20734.600699396004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203.37193726608567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-445.91080432976247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96.507995648947329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221.22081863484894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-311.8153125472806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230.42461480111848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4383442.2902955106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6351519.0130584436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-12750836.003146952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-16230256.550486833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151626.25236398581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134456.40914126352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44220.456845764937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-89903.582894195832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8965.2722354453945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57731.478669246433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-81257.903512207718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25691.149867281398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1143094.8471885689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4954184.8301855866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-3325107.0659267562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-12659600.109379731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50692.857435150785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134456.40914126352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11531.616709686548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-23444.661876275663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2997.3389186442482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15054.961698365028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-21190.079541776897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8589.2632526511261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126574.59209394798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171419.80177384662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37577.305862827525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50890.895365635479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64271.238326419989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65307.398725756568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253.63683834915301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75.299385880322944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754.85513040303169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109.56052869958845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32.526192100084025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715.70821837224958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24120.914166109746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97709.287011092558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7160.9866902684143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29007.810358412222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21487.655804092599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65307.398725756568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48.334759022114135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14.349562526987507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252.36898566782693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20.878598659001586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6.1984121364119824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239.28108829080142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679045.44164004631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704576.37601599051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-1050600.7859984469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-957615.96132370306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16379.964650448408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12751.857925079967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5704.1291738744922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-5720.0854892616399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806.46332645123016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2557.5659903912683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-1570.2369423465418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793.69331771276723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129403.51251956186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401608.5343291146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-200209.62313753041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-545841.09795451059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5476.276039750056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12751.857925079967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1087.0176069246659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-1090.0583507856068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269.62303556992703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487.38715019994055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-299.23501928951913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265.3536678164424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114629.78804541816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198487.84703123165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-1760217.2119611083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-2677485.3947167685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22878.689393661967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29723.424215804258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137.07723324971471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-1754.0939797614246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123.65963845095605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99.603179156827935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-1092.4811162424689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205.8891701761525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21844.631158444692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113138.07280780203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-335438.95011653739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-1526166.6749885578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7648.9797884859827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29723.424215804258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26.122368815457278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-334.27206538979777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41.342843503303101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18.981058483919625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-208.19062338689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68.834454380145431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232423.03820566833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23238.760360264852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-1032080.5592193863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-90650.83245375719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15289.013620251604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1146.9500826509382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3435.1245950842053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-11183.108724642258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1324.4145295416101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2496.0332387720573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-6013.1513819894571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2112.3331353994668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44292.113148776458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13246.093405350966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-196680.28290356757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-51670.97449864159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5111.5408822145446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1146.9500826509382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654.62067968916142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-2131.1291720944564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442.78847418800831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475.66105102270672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-1145.906978275199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706.21149582526959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903225.61238627904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90308.790899310727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-3023479.728202275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-265561.58995562978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39773.708431038795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2983.7410905232441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3331.3763791459896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-7550.5161806820224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859.81435703450836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1439.0155616674201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-2150.4447502632688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815.22424213436534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250637.87954849089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74956.296446427892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-838991.42976293399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-220416.11966317266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13297.452780946011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2983.7410905232441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924.43028651626901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-2095.207818590266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287.45976334767488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399.31530291830978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-596.73120967883403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272.55205243080968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171351.13718123041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172412.47968719713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91519.499124181064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92086.367463330418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-6346302.8299616026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-5609535.6741313944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76329.382736660613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57624.175346255783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1167.7996815590575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623.72764891910037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-29864.198303534427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3048.9777901379171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610.04694418190445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325.82912312227603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-10605.442965527147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3496.0671772513624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31508.08813235717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94826.863827958427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16828.627411932623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50647.502104831729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-1166959.6839008387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-3085244.6207722672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25519.027588270357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57624.175346255783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214.7352850572847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114.69118942552103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-5491.4359345904932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1019.3577565141605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112.17557816280492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59.913537174644915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-1950.1313918161725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1168.8321266074365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160982.52469809877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16095.798172723049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26743.931763380704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2673.985445412367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-1573695.9153331288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-138222.58687047061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22082.008148597393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1656.5464391754322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11959.602349722312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1986.8416758773726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-87683.946139786058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9615.1866784178219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11201.652755336172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1860.9239573525838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-62572.87941785367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19767.588462549338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30677.923556762107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9174.604958452137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5096.5053243070724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1524.1717038850491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-299894.18468070938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-78786.874516168231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7382.6271737661518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1656.5464391754322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2279.1030724739694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378.62604755555185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-16709.648465734186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3214.6233248007638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2134.6630485641476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354.63031167931507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-11924.312996751494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6608.8525446320255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154896.18334625993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99097.141830217341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-317330.50743436249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-178343.24051705655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5249.4288729335121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2519.7864337110796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1265.0132181720919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-1963.3252031251775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193.7739497506187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919.18501138563499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-1100.5146592966501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322.62715802564196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29518.069000609295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56485.370843223878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-60472.657312069561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-101655.64709472223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1755.029523731662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2519.7864337110796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241.06951284405707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-374.14458874647005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64.784000502589279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175.1661403415861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-209.72154992794353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107.86319830184195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205749.66820027126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337163.304815821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-942654.78160173318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-1356995.0044077679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14294.347751530959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17575.058036438058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1309.6734237186322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-5000.2912358015892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411.26069398418258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1367.7559300425555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-4476.0414744934096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984.1480946584893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39209.054552438844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192183.08374501797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-179638.69919811105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-773487.15251242765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4778.996522035909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17575.058036438058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249.58026501641524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-952.88946785464543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137.49584523644893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260.64886201060511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-852.98487179849337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329.02797688250303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272195.59060333617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27215.409238194108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-919041.77425301145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-80722.285825077837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33447.076429063934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2509.1302831945422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69470.234761273503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13403.049165457744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-195466.20768560772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-33128.437037037016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38583.785351223894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5585.2284681214624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70493.39927920085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12171.949142280135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-170010.04577805937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-25787.585185185162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89712.33903638451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11622.38136234989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91002.527951478754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27215.409238194108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-307261.13000087388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-80722.285825077837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11182.284403962829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2509.1302831945422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23225.824366388897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13403.049165457744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-65349.769219446898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-33128.437037037016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12899.628524899306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5585.2284681214624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23567.896614639732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12171.949142280135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-56839.068952795911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-25787.585185185162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29993.32069507469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11622.38136234989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178637.08828513199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185714.85587464209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193523.512308893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201191.09386419563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SUMIFS(H3:H424,$F$3:$F$424,$D$425)*H423/SUM(H423:H424)*'[1]Processer - data'!H$425</f>
        <v>-27463.486962461298</v>
      </c>
      <c r="I425" s="314">
        <f ca="1">SUMIFS(I3:I424,$F$3:$F$424,$D$425)*I423/SUM(I423:I424)*'[1]Processer - data'!I$425</f>
        <v>-27597.931616667305</v>
      </c>
      <c r="J425" s="315">
        <f ca="1">SUMIFS(J3:J424,$F$3:$F$424,$D$425)*J423/SUM(J423:J424)*'[1]Processer - data'!J$425</f>
        <v>-102460.70019632569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83472.274304605322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3249.5843759589593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426.99538700100726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43261.516357794091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106121.19758440506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7095.888967518189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2033.1155165563509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135.94609080949843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9464.2965820827776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632.83867154539507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9338.4256332393707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624.42219776296736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4776.5896909844023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278.2619831544028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2316.6847083096964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134.95931678923023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305.79463986042776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17.814178824309419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3143.1043995780665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183.10269880176259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8276.4182574830029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503.71416194271836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30.527432281785558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1.857941381125793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308823863.32805777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14862632.747115018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11685153.960183041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1650620.8238144941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5557573.2249651048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785051.36742396664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99910479.697814047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37156581.867787547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119093372.24440265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16794775.004239973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17171476.246366538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2425607.4301176402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161882132.91180405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22867137.266503233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7492840.6589686694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0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126846880.73691487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50496546.988403425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9668998.323323315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1634889.6021826523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184149200.48974532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8831648.3315798268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0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0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3910764.3081812575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62002.961624042982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0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0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0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6666.5489528999733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5559.5923198662958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15675647.20005497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4418618.291386947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17599888.374566391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18407167.358469933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2336197.3879103642</v>
      </c>
      <c r="J474" s="260">
        <f ca="1">SUMIFS('Forbrug af biomasse'!$E$1:$E$425,'Forbrug af biomasse'!$A$1:$A$425,"Biogas",'Forbrug af biomasse'!$B$1:$B$425,$A$1,'Forbrug af biomasse'!$D$1:$D$425,J$2)*'[1]Processer - data'!J474</f>
        <v>1289522.3825958653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1300214.8932603633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739624.45544799208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3908.776146511771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1187.4260221450336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330.0860580073288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461560.72311272961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43367.920267316324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12832207.684744067</v>
      </c>
      <c r="J479" s="260">
        <f ca="1">J474*'[1]Processer - data'!J$479*Biogasanlæg!AC$3</f>
        <v>222263.60209622441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60592633.132408366</v>
      </c>
      <c r="J480" s="260">
        <f ca="1">-SUMIFS('Resultater - Østdanmark'!J$3:J$504,'Resultater - Østdanmark'!$F$3:$F$504,"Gødning",'Resultater - Østdanmark'!$A$3:$A$504,"&lt;&gt;Gødning")-SUM(J475:J479)</f>
        <v>62451737.946589157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5.087886476725541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2.746789026937726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2.2955966073885441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2.9930806473697418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4.5658934146963679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9.7399735495194353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9.3787059667025439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9.0873655700626106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3.9783327627071059</v>
      </c>
      <c r="I489" s="259">
        <f ca="1">SUM(I455:I473)*'[1]Processer - data'!$H$489</f>
        <v>1.6522836700037391</v>
      </c>
      <c r="J489" s="260">
        <f ca="1">SUM(J455:J473)*'[1]Processer - data'!$H$489</f>
        <v>0.82187120051644846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640640.81180260039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255033.06559799708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1318966.377240648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525068.07623117056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1872632.3158058459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745477.26501226774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102481.99140127431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133619.67175757777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65588.474496815557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85516.589924849774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105" zoomScale="70" zoomScaleNormal="70" workbookViewId="0">
      <selection activeCell="A126" sqref="A126:XFD12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15223058.866009574</v>
      </c>
      <c r="N3" s="94">
        <f ca="1">SUMIF($F$3:$F$509,$L$3,I$3:I$509)</f>
        <v>8116816.4602926821</v>
      </c>
      <c r="O3" s="94">
        <f ca="1">SUMIF($F$3:$F$509,$L$3,J$3:J$509)</f>
        <v>-3438555.9214058029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1549282.418632678</v>
      </c>
      <c r="N4" s="94">
        <f t="shared" si="0"/>
        <v>1090293.3337304036</v>
      </c>
      <c r="O4" s="94">
        <f t="shared" si="0"/>
        <v>169743.52134938724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4613599.2928801989</v>
      </c>
      <c r="N5" s="94">
        <f t="shared" si="0"/>
        <v>2930080.1108408058</v>
      </c>
      <c r="O5" s="94">
        <f t="shared" si="0"/>
        <v>265218.26227537642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18691.617312245358</v>
      </c>
      <c r="N6" s="94">
        <f t="shared" si="0"/>
        <v>15153.685600413377</v>
      </c>
      <c r="O6" s="94">
        <f t="shared" si="0"/>
        <v>8109.0649979456357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7050.4779272286032</v>
      </c>
      <c r="O7" s="94">
        <f>SUMIFS(J$3:J$509,$F$3:$F$509,$L$3,$C$3:$C$509,$L7)+SUMIFS(J$3:J$509,$F$3:$F$509,$L$3,$C$3:$C$509,"",$A$3:$A$509,"Grøntsager I drivhus")</f>
        <v>6920.2523684682574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948809.52175977896</v>
      </c>
      <c r="O8" s="94">
        <f>SUMIFS(J$3:J$509,$F$3:$F$509,$L$3,$C$3:$C$509,$L8)</f>
        <v>84719.757662516611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76.5</v>
      </c>
      <c r="J9" s="254">
        <f>'Resultater - Vestdanmark'!J9+'Resultater - Østdanmark'!J9</f>
        <v>76.5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1877971.3131106191</v>
      </c>
      <c r="O9" s="94">
        <f>SUMIFS(J$3:J$509,$F$3:$F$509,$L$3,$C$3:$C$509,$L9)</f>
        <v>176294.5487547456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0</v>
      </c>
      <c r="J17" s="254">
        <f ca="1">'Resultater - Vestdanmark'!J17+'Resultater - Østdanmark'!J17</f>
        <v>0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0</v>
      </c>
      <c r="J21" s="254">
        <f ca="1">'Resultater - Vestdanmark'!J21+'Resultater - Østdanmark'!J21</f>
        <v>0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0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0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0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0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0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-999741.02720674861</v>
      </c>
      <c r="J33" s="254">
        <f ca="1">'Resultater - Vestdanmark'!J33+'Resultater - Østdanmark'!J33</f>
        <v>-924617.07764818333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18301.61849637307</v>
      </c>
      <c r="J35" s="254">
        <f ca="1">'Resultater - Vestdanmark'!J35+'Resultater - Østdanmark'!J35</f>
        <v>165837.95224464586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4575.4046240932666</v>
      </c>
      <c r="J36" s="254">
        <f ca="1">'Resultater - Vestdanmark'!J36+'Resultater - Østdanmark'!J36</f>
        <v>41459.488061161457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-128238.91289975462</v>
      </c>
      <c r="J37" s="254">
        <f ca="1">'Resultater - Vestdanmark'!J37+'Resultater - Østdanmark'!J37</f>
        <v>-1162021.747835547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-115415.02160977917</v>
      </c>
      <c r="J38" s="254">
        <f ca="1">'Resultater - Vestdanmark'!J38+'Resultater - Østdanmark'!J38</f>
        <v>-1045819.5730519923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188400.59681293473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65215.591204477409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-39009.102013760195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-1188105.7927619533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8616.2842403392515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4308.1421201696267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-97029.731471937266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-54336.649624284859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0</v>
      </c>
      <c r="J49" s="254">
        <f ca="1">'Resultater - Vestdanmark'!J49+'Resultater - Østdanmark'!J49</f>
        <v>0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0</v>
      </c>
      <c r="J53" s="254">
        <f ca="1">'Resultater - Vestdanmark'!J53+'Resultater - Østdanmark'!J53</f>
        <v>0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0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0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0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0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0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0</v>
      </c>
      <c r="J65" s="254">
        <f ca="1">'Resultater - Vestdanmark'!J65+'Resultater - Østdanmark'!J65</f>
        <v>0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0</v>
      </c>
      <c r="J67" s="254">
        <f ca="1">'Resultater - Vestdanmark'!J67+'Resultater - Østdanmark'!J67</f>
        <v>0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0</v>
      </c>
      <c r="J68" s="254">
        <f ca="1">'Resultater - Vestdanmark'!J68+'Resultater - Østdanmark'!J68</f>
        <v>0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0</v>
      </c>
      <c r="J69" s="254">
        <f ca="1">'Resultater - Vestdanmark'!J69+'Resultater - Østdanmark'!J69</f>
        <v>0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0</v>
      </c>
      <c r="J70" s="254">
        <f ca="1">'Resultater - Vestdanmark'!J70+'Resultater - Østdanmark'!J70</f>
        <v>0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0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0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0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0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0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0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0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0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-1199505.5599562644</v>
      </c>
      <c r="J81" s="254">
        <f ca="1">'Resultater - Vestdanmark'!J81+'Resultater - Østdanmark'!J81</f>
        <v>-1079049.1973694807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-120407.65353535356</v>
      </c>
      <c r="J85" s="254">
        <f ca="1">'Resultater - Vestdanmark'!J85+'Resultater - Østdanmark'!J85</f>
        <v>-1086682.2090916773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-1199505.5599562644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-120407.65353535356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7187600.6077003134</v>
      </c>
      <c r="J95" s="254">
        <f>'Resultater - Vestdanmark'!J95+'Resultater - Østdanmark'!J95</f>
        <v>0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7753646.2018730491</v>
      </c>
      <c r="J96" s="254">
        <f>'Resultater - Vestdanmark'!J96+'Resultater - Østdanmark'!J96</f>
        <v>0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993961.49843912595</v>
      </c>
      <c r="J97" s="254">
        <f>'Resultater - Vestdanmark'!J97+'Resultater - Østdanmark'!J97</f>
        <v>0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81243.214765530589</v>
      </c>
      <c r="J98" s="254">
        <f>'Resultater - Vestdanmark'!J98+'Resultater - Østdanmark'!J98</f>
        <v>0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-4435807520.5901356</v>
      </c>
      <c r="J99" s="254">
        <f>'Resultater - Vestdanmark'!J99+'Resultater - Østdanmark'!J99</f>
        <v>0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-340669.51979937567</v>
      </c>
      <c r="J100" s="254">
        <f>'Resultater - Vestdanmark'!J100+'Resultater - Østdanmark'!J100</f>
        <v>0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1481527.9486119426</v>
      </c>
      <c r="I101" s="253">
        <f>'Resultater - Vestdanmark'!I101+'Resultater - Østdanmark'!I101</f>
        <v>650577.30938006227</v>
      </c>
      <c r="J101" s="254">
        <f>'Resultater - Vestdanmark'!J101+'Resultater - Østdanmark'!J101</f>
        <v>0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1505825.8099685076</v>
      </c>
      <c r="J102" s="254">
        <f>'Resultater - Vestdanmark'!J102+'Resultater - Østdanmark'!J102</f>
        <v>581293.74725537968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1632196.076366127</v>
      </c>
      <c r="J104" s="254">
        <f>'Resultater - Vestdanmark'!J104+'Resultater - Østdanmark'!J104</f>
        <v>630076.44523388555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49919.220537695204</v>
      </c>
      <c r="J105" s="254">
        <f>'Resultater - Vestdanmark'!J105+'Resultater - Østdanmark'!J105</f>
        <v>19270.310399999998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-2725545198.1087031</v>
      </c>
      <c r="J106" s="254">
        <f>'Resultater - Vestdanmark'!J106+'Resultater - Østdanmark'!J106</f>
        <v>-1052141868.6240001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-183992.70014235171</v>
      </c>
      <c r="J107" s="254">
        <f>'Resultater - Vestdanmark'!J107+'Resultater - Østdanmark'!J107</f>
        <v>-71026.678800000009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67754.470020735505</v>
      </c>
      <c r="I108" s="253">
        <f>'Resultater - Vestdanmark'!I108+'Resultater - Østdanmark'!I108</f>
        <v>439716.02435034135</v>
      </c>
      <c r="J108" s="254">
        <f>'Resultater - Vestdanmark'!J108+'Resultater - Østdanmark'!J108</f>
        <v>169743.52134938724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231498.25720939413</v>
      </c>
      <c r="J109" s="254">
        <f>'Resultater - Vestdanmark'!J109+'Resultater - Østdanmark'!J109</f>
        <v>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3815785.2257754896</v>
      </c>
      <c r="J110" s="254">
        <f>'Resultater - Vestdanmark'!J110+'Resultater - Østdanmark'!J110</f>
        <v>0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108137.3480785305</v>
      </c>
      <c r="J111" s="254">
        <f>'Resultater - Vestdanmark'!J111+'Resultater - Østdanmark'!J111</f>
        <v>0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1332615.8383385013</v>
      </c>
      <c r="J112" s="254">
        <f>'Resultater - Vestdanmark'!J112+'Resultater - Østdanmark'!J112</f>
        <v>0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23530.813672382636</v>
      </c>
      <c r="J113" s="254">
        <f>'Resultater - Vestdanmark'!J113+'Resultater - Østdanmark'!J113</f>
        <v>0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-990013814.52185857</v>
      </c>
      <c r="J114" s="254">
        <f>'Resultater - Vestdanmark'!J114+'Resultater - Østdanmark'!J114</f>
        <v>0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-5988.0235628291321</v>
      </c>
      <c r="J115" s="254">
        <f>'Resultater - Vestdanmark'!J115+'Resultater - Østdanmark'!J115</f>
        <v>0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4018587.4258306376</v>
      </c>
      <c r="I116" s="253">
        <f>'Resultater - Vestdanmark'!I116+'Resultater - Østdanmark'!I116</f>
        <v>1734352.5991820465</v>
      </c>
      <c r="J116" s="254">
        <f>'Resultater - Vestdanmark'!J116+'Resultater - Østdanmark'!J116</f>
        <v>0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57248.183401478622</v>
      </c>
      <c r="J117" s="254">
        <f>'Resultater - Vestdanmark'!J117+'Resultater - Østdanmark'!J117</f>
        <v>16821.02972855468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1757226.1558716579</v>
      </c>
      <c r="J118" s="254">
        <f>'Resultater - Vestdanmark'!J118+'Resultater - Østdanmark'!J118</f>
        <v>73630.792601451292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20980.077731252444</v>
      </c>
      <c r="J119" s="254">
        <f>'Resultater - Vestdanmark'!J119+'Resultater - Østdanmark'!J119</f>
        <v>4653.4847647404922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626212.92449604056</v>
      </c>
      <c r="J120" s="254">
        <f>'Resultater - Vestdanmark'!J120+'Resultater - Østdanmark'!J120</f>
        <v>0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19399.760125719869</v>
      </c>
      <c r="J121" s="254">
        <f>'Resultater - Vestdanmark'!J121+'Resultater - Østdanmark'!J121</f>
        <v>4302.9625219252375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-816207666.69086695</v>
      </c>
      <c r="J122" s="254">
        <f>'Resultater - Vestdanmark'!J122+'Resultater - Østdanmark'!J122</f>
        <v>-34200502.436761513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-5951.1750882024426</v>
      </c>
      <c r="J123" s="254">
        <f>'Resultater - Vestdanmark'!J123+'Resultater - Østdanmark'!J123</f>
        <v>-1320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595011.86704956158</v>
      </c>
      <c r="I124" s="253">
        <f>'Resultater - Vestdanmark'!I124+'Resultater - Østdanmark'!I124</f>
        <v>1195727.5116587591</v>
      </c>
      <c r="J124" s="254">
        <f>'Resultater - Vestdanmark'!J124+'Resultater - Østdanmark'!J124</f>
        <v>265218.26227537642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53607383.975026004</v>
      </c>
      <c r="J125" s="254">
        <f>'Resultater - Vestdanmark'!J125+'Resultater - Østdanmark'!J125</f>
        <v>0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3412.0512136190264</v>
      </c>
      <c r="J126" s="254">
        <f>'Resultater - Vestdanmark'!J126+'Resultater - Østdanmark'!J126</f>
        <v>0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75623.50373818248</v>
      </c>
      <c r="J127" s="254">
        <f>'Resultater - Vestdanmark'!J127+'Resultater - Østdanmark'!J127</f>
        <v>0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111716.96149843912</v>
      </c>
      <c r="J128" s="254">
        <f>'Resultater - Vestdanmark'!J128+'Resultater - Østdanmark'!J128</f>
        <v>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4718.2557600262708</v>
      </c>
      <c r="J129" s="254">
        <f>'Resultater - Vestdanmark'!J129+'Resultater - Østdanmark'!J129</f>
        <v>0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-185644308.54792923</v>
      </c>
      <c r="J130" s="254">
        <f>'Resultater - Vestdanmark'!J130+'Resultater - Østdanmark'!J130</f>
        <v>0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-4400.0112090905295</v>
      </c>
      <c r="J131" s="254">
        <f>'Resultater - Vestdanmark'!J131+'Resultater - Østdanmark'!J131</f>
        <v>0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15810.451826187315</v>
      </c>
      <c r="I132" s="253">
        <f>'Resultater - Vestdanmark'!I132+'Resultater - Østdanmark'!I132</f>
        <v>8028.6165360867935</v>
      </c>
      <c r="J132" s="254">
        <f>'Resultater - Vestdanmark'!J132+'Resultater - Østdanmark'!J132</f>
        <v>0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3028677.8044475098</v>
      </c>
      <c r="J133" s="254">
        <f>'Resultater - Vestdanmark'!J133+'Resultater - Østdanmark'!J133</f>
        <v>3446948.3667273573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5350.9785924429116</v>
      </c>
      <c r="J134" s="254">
        <f>'Resultater - Vestdanmark'!J134+'Resultater - Østdanmark'!J134</f>
        <v>6089.9666820052507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20148.581166079479</v>
      </c>
      <c r="J135" s="254">
        <f>'Resultater - Vestdanmark'!J135+'Resultater - Østdanmark'!J135</f>
        <v>22931.167798801402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37094.723118846094</v>
      </c>
      <c r="J136" s="254">
        <f>'Resultater - Vestdanmark'!J136+'Resultater - Østdanmark'!J136</f>
        <v>42217.628788690155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3806.5992386834064</v>
      </c>
      <c r="J137" s="254">
        <f>'Resultater - Vestdanmark'!J137+'Resultater - Østdanmark'!J137</f>
        <v>4332.3033599999999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-149774306.33826429</v>
      </c>
      <c r="J138" s="254">
        <f>'Resultater - Vestdanmark'!J138+'Resultater - Østdanmark'!J138</f>
        <v>-170458640.352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-6686.3529615296566</v>
      </c>
      <c r="J139" s="254">
        <f>'Resultater - Vestdanmark'!J139+'Resultater - Østdanmark'!J139</f>
        <v>-7609.76073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2881.1654860580434</v>
      </c>
      <c r="I140" s="253">
        <f>'Resultater - Vestdanmark'!I140+'Resultater - Østdanmark'!I140</f>
        <v>7125.0690643265834</v>
      </c>
      <c r="J140" s="254">
        <f>'Resultater - Vestdanmark'!J140+'Resultater - Østdanmark'!J140</f>
        <v>8109.0649979456357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4363176.7531707976</v>
      </c>
      <c r="J141" s="254">
        <f>'Resultater - Vestdanmark'!J141+'Resultater - Østdanmark'!J141</f>
        <v>368767.42443720158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1424129.9842930657</v>
      </c>
      <c r="J142" s="254">
        <f>'Resultater - Vestdanmark'!J142+'Resultater - Østdanmark'!J142</f>
        <v>120364.76541774151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-92737033.602095664</v>
      </c>
      <c r="J143" s="254">
        <f>'Resultater - Vestdanmark'!J143+'Resultater - Østdanmark'!J143</f>
        <v>-6885371.2026933124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1219950.5426954974</v>
      </c>
      <c r="J144" s="254">
        <f>'Resultater - Vestdanmark'!J144+'Resultater - Østdanmark'!J144</f>
        <v>77361.206432052233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102524.11933913844</v>
      </c>
      <c r="J145" s="254">
        <f>'Resultater - Vestdanmark'!J145+'Resultater - Østdanmark'!J145</f>
        <v>0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33463.616241996446</v>
      </c>
      <c r="J146" s="254">
        <f>'Resultater - Vestdanmark'!J146+'Resultater - Østdanmark'!J146</f>
        <v>0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-1475429.8455976767</v>
      </c>
      <c r="J147" s="254">
        <f>'Resultater - Vestdanmark'!J147+'Resultater - Østdanmark'!J147</f>
        <v>0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168014.44215003337</v>
      </c>
      <c r="J148" s="254">
        <f>'Resultater - Vestdanmark'!J148+'Resultater - Østdanmark'!J148</f>
        <v>0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61371.961611910498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20031.65484022356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-582334.31128377281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220760.40201778352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977349.6921223707</v>
      </c>
      <c r="J153" s="254">
        <f>'Resultater - Vestdanmark'!J153+'Resultater - Østdanmark'!J153</f>
        <v>247074.17437292504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319004.49613451154</v>
      </c>
      <c r="J154" s="254">
        <f>'Resultater - Vestdanmark'!J154+'Resultater - Østdanmark'!J154</f>
        <v>80644.392829886812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-20773055.130870644</v>
      </c>
      <c r="J155" s="254">
        <f>'Resultater - Vestdanmark'!J155+'Resultater - Østdanmark'!J155</f>
        <v>-4613198.7058045194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407863.26889054308</v>
      </c>
      <c r="J156" s="254">
        <f>'Resultater - Vestdanmark'!J156+'Resultater - Østdanmark'!J156</f>
        <v>77361.206432052233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22965.358072740382</v>
      </c>
      <c r="J157" s="254">
        <f>'Resultater - Vestdanmark'!J157+'Resultater - Østdanmark'!J157</f>
        <v>0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7495.8354615472808</v>
      </c>
      <c r="J158" s="254">
        <f>'Resultater - Vestdanmark'!J158+'Resultater - Østdanmark'!J158</f>
        <v>0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-330495.64272066485</v>
      </c>
      <c r="J159" s="254">
        <f>'Resultater - Vestdanmark'!J159+'Resultater - Østdanmark'!J159</f>
        <v>0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56171.883365634232</v>
      </c>
      <c r="J160" s="254">
        <f>'Resultater - Vestdanmark'!J160+'Resultater - Østdanmark'!J160</f>
        <v>0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13747.292667608937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4487.0819584758883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-130442.63206432812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73806.319237842938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276372.858225898</v>
      </c>
      <c r="J165" s="254">
        <f>'Resultater - Vestdanmark'!J165+'Resultater - Østdanmark'!J165</f>
        <v>242160.33725124906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-2498080.7033745288</v>
      </c>
      <c r="J166" s="254">
        <f>'Resultater - Vestdanmark'!J166+'Resultater - Østdanmark'!J166</f>
        <v>-1924757.76017144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26289.690678309886</v>
      </c>
      <c r="J167" s="254">
        <f>'Resultater - Vestdanmark'!J167+'Resultater - Østdanmark'!J167</f>
        <v>17300.630921170639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1300.0998115622365</v>
      </c>
      <c r="J168" s="254">
        <f>'Resultater - Vestdanmark'!J168+'Resultater - Østdanmark'!J168</f>
        <v>0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-9547.9720637736282</v>
      </c>
      <c r="J169" s="254">
        <f>'Resultater - Vestdanmark'!J169+'Resultater - Østdanmark'!J169</f>
        <v>0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724.84964511441081</v>
      </c>
      <c r="J170" s="254">
        <f>'Resultater - Vestdanmark'!J170+'Resultater - Østdanmark'!J170</f>
        <v>0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395.012601225607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-2422.8001643801722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483.40683886022731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52667.489429168359</v>
      </c>
      <c r="J174" s="254">
        <f>'Resultater - Vestdanmark'!J174+'Resultater - Østdanmark'!J174</f>
        <v>138031.39223321193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-476051.22978700174</v>
      </c>
      <c r="J175" s="254">
        <f>'Resultater - Vestdanmark'!J175+'Resultater - Østdanmark'!J175</f>
        <v>-1097111.9232977207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8789.3720301849098</v>
      </c>
      <c r="J176" s="254">
        <f>'Resultater - Vestdanmark'!J176+'Resultater - Østdanmark'!J176</f>
        <v>17300.630921170639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247.75585244463593</v>
      </c>
      <c r="J177" s="254">
        <f>'Resultater - Vestdanmark'!J177+'Resultater - Østdanmark'!J177</f>
        <v>0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-1819.526421540877</v>
      </c>
      <c r="J178" s="254">
        <f>'Resultater - Vestdanmark'!J178+'Resultater - Østdanmark'!J178</f>
        <v>0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242.33732054194104</v>
      </c>
      <c r="J179" s="254">
        <f>'Resultater - Vestdanmark'!J179+'Resultater - Østdanmark'!J179</f>
        <v>0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75.276284845718067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-461.70525885064217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161.61630049849401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33302.448665329968</v>
      </c>
      <c r="J183" s="254">
        <f>'Resultater - Vestdanmark'!J183+'Resultater - Østdanmark'!J183</f>
        <v>29180.796924932009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-26359450.017571807</v>
      </c>
      <c r="J184" s="254">
        <f>'Resultater - Vestdanmark'!J184+'Resultater - Østdanmark'!J184</f>
        <v>-20209956.481800117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5283.9177996681656</v>
      </c>
      <c r="J185" s="254">
        <f>'Resultater - Vestdanmark'!J185+'Resultater - Østdanmark'!J185</f>
        <v>3460.1261842341287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6346.3408610590195</v>
      </c>
      <c r="J186" s="254">
        <f>'Resultater - Vestdanmark'!J186+'Resultater - Østdanmark'!J186</f>
        <v>16633.054247211247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-5023235.8708119439</v>
      </c>
      <c r="J187" s="254">
        <f>'Resultater - Vestdanmark'!J187+'Resultater - Østdanmark'!J187</f>
        <v>-11519675.194626067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1766.5601275604381</v>
      </c>
      <c r="J188" s="254">
        <f>'Resultater - Vestdanmark'!J188+'Resultater - Østdanmark'!J188</f>
        <v>3460.1261842341287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2396063.7058761334</v>
      </c>
      <c r="J189" s="254">
        <f>'Resultater - Vestdanmark'!J189+'Resultater - Østdanmark'!J189</f>
        <v>2101568.5465678023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-7880369.646929279</v>
      </c>
      <c r="J190" s="254">
        <f>'Resultater - Vestdanmark'!J190+'Resultater - Østdanmark'!J190</f>
        <v>-6071782.4730230691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110576.88150675257</v>
      </c>
      <c r="J191" s="254">
        <f>'Resultater - Vestdanmark'!J191+'Resultater - Østdanmark'!J191</f>
        <v>72768.061015670071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33463.939492399004</v>
      </c>
      <c r="J192" s="254">
        <f>'Resultater - Vestdanmark'!J192+'Resultater - Østdanmark'!J192</f>
        <v>0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-73372.62149189612</v>
      </c>
      <c r="J193" s="254">
        <f>'Resultater - Vestdanmark'!J193+'Resultater - Østdanmark'!J193</f>
        <v>0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9051.575793080443</v>
      </c>
      <c r="J194" s="254">
        <f>'Resultater - Vestdanmark'!J194+'Resultater - Østdanmark'!J194</f>
        <v>0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33477.131189057371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-47186.707785095554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19875.861642218093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456610.17768140556</v>
      </c>
      <c r="J198" s="254">
        <f>'Resultater - Vestdanmark'!J198+'Resultater - Østdanmark'!J198</f>
        <v>1197894.071543647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-1501736.7759693235</v>
      </c>
      <c r="J199" s="254">
        <f>'Resultater - Vestdanmark'!J199+'Resultater - Østdanmark'!J199</f>
        <v>-3460916.0096231489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36968.915358992133</v>
      </c>
      <c r="J200" s="254">
        <f>'Resultater - Vestdanmark'!J200+'Resultater - Østdanmark'!J200</f>
        <v>72768.061015670071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6377.1156501687874</v>
      </c>
      <c r="J201" s="254">
        <f>'Resultater - Vestdanmark'!J201+'Resultater - Østdanmark'!J201</f>
        <v>0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-13982.385215469369</v>
      </c>
      <c r="J202" s="254">
        <f>'Resultater - Vestdanmark'!J202+'Resultater - Østdanmark'!J202</f>
        <v>0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3026.1925892661229</v>
      </c>
      <c r="J203" s="254">
        <f>'Resultater - Vestdanmark'!J203+'Resultater - Østdanmark'!J203</f>
        <v>0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6379.629549503069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-8992.2196029736442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6645.0512686354587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18198871.562537063</v>
      </c>
      <c r="J207" s="254">
        <f>'Resultater - Vestdanmark'!J207+'Resultater - Østdanmark'!J207</f>
        <v>22290649.807299588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-52938036.220981255</v>
      </c>
      <c r="J208" s="254">
        <f>'Resultater - Vestdanmark'!J208+'Resultater - Østdanmark'!J208</f>
        <v>-56960069.599999987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629511.35421358119</v>
      </c>
      <c r="J209" s="254">
        <f>'Resultater - Vestdanmark'!J209+'Resultater - Østdanmark'!J209</f>
        <v>471874.63728801749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629585.17357263772</v>
      </c>
      <c r="J210" s="254">
        <f>'Resultater - Vestdanmark'!J210+'Resultater - Østdanmark'!J210</f>
        <v>0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-1279994.9814780161</v>
      </c>
      <c r="J211" s="254">
        <f>'Resultater - Vestdanmark'!J211+'Resultater - Østdanmark'!J211</f>
        <v>0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127642.33748569721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758542.52831616043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-1067659.7412124663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337559.85858817422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4745821.8747030096</v>
      </c>
      <c r="J216" s="254">
        <f>'Resultater - Vestdanmark'!J216+'Resultater - Østdanmark'!J216</f>
        <v>17386706.849693678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-13804948.808943024</v>
      </c>
      <c r="J217" s="254">
        <f>'Resultater - Vestdanmark'!J217+'Resultater - Østdanmark'!J217</f>
        <v>-44428854.287999988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210463.08825434931</v>
      </c>
      <c r="J218" s="254">
        <f>'Resultater - Vestdanmark'!J218+'Resultater - Østdanmark'!J218</f>
        <v>471874.63728801749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164180.45912694931</v>
      </c>
      <c r="J219" s="254">
        <f>'Resultater - Vestdanmark'!J219+'Resultater - Østdanmark'!J219</f>
        <v>0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-333791.47502272908</v>
      </c>
      <c r="J220" s="254">
        <f>'Resultater - Vestdanmark'!J220+'Resultater - Østdanmark'!J220</f>
        <v>0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42674.370143495922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197809.39226945714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-278419.62273179035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112855.613856116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525503.60927484371</v>
      </c>
      <c r="J225" s="254">
        <f>'Resultater - Vestdanmark'!J225+'Resultater - Østdanmark'!J225</f>
        <v>601597.62783069676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156010.85123848318</v>
      </c>
      <c r="J226" s="254">
        <f>'Resultater - Vestdanmark'!J226+'Resultater - Østdanmark'!J226</f>
        <v>178601.54785698472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266836.86792392418</v>
      </c>
      <c r="J228" s="254">
        <f>'Resultater - Vestdanmark'!J228+'Resultater - Østdanmark'!J228</f>
        <v>229196.25239703708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4289.0671641414547</v>
      </c>
      <c r="J229" s="254">
        <f>'Resultater - Vestdanmark'!J229+'Resultater - Østdanmark'!J229</f>
        <v>0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1273.3328705774272</v>
      </c>
      <c r="J230" s="254">
        <f>'Resultater - Vestdanmark'!J230+'Resultater - Østdanmark'!J230</f>
        <v>0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12764.803309204204</v>
      </c>
      <c r="J232" s="254">
        <f>'Resultater - Vestdanmark'!J232+'Resultater - Østdanmark'!J232</f>
        <v>0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1708.0750460538388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507.09117351599383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11158.063607097978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100143.53784281679</v>
      </c>
      <c r="J237" s="254">
        <f>'Resultater - Vestdanmark'!J237+'Resultater - Østdanmark'!J237</f>
        <v>342910.64786349708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29730.487686755092</v>
      </c>
      <c r="J238" s="254">
        <f>'Resultater - Vestdanmark'!J238+'Resultater - Østdanmark'!J238</f>
        <v>101802.88227848129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89210.958479921595</v>
      </c>
      <c r="J240" s="254">
        <f>'Resultater - Vestdanmark'!J240+'Resultater - Østdanmark'!J240</f>
        <v>229196.25239703708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817.35377698983223</v>
      </c>
      <c r="J241" s="254">
        <f>'Resultater - Vestdanmark'!J241+'Resultater - Østdanmark'!J241</f>
        <v>0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242.65496232677802</v>
      </c>
      <c r="J242" s="254">
        <f>'Resultater - Vestdanmark'!J242+'Resultater - Østdanmark'!J242</f>
        <v>0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4267.6274342511206</v>
      </c>
      <c r="J244" s="254">
        <f>'Resultater - Vestdanmark'!J244+'Resultater - Østdanmark'!J244</f>
        <v>0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325.50238474842013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96.63473899795396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3730.4498321908764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2819213.7500914489</v>
      </c>
      <c r="J249" s="254">
        <f>'Resultater - Vestdanmark'!J249+'Resultater - Østdanmark'!J249</f>
        <v>2472710.1072954256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-4361811.4490101468</v>
      </c>
      <c r="J250" s="254">
        <f>'Resultater - Vestdanmark'!J250+'Resultater - Østdanmark'!J250</f>
        <v>-3360752.2861635168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68005.200737412146</v>
      </c>
      <c r="J251" s="254">
        <f>'Resultater - Vestdanmark'!J251+'Resultater - Østdanmark'!J251</f>
        <v>44752.633002592876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7330.200461623408</v>
      </c>
      <c r="J252" s="254">
        <f>'Resultater - Vestdanmark'!J252+'Resultater - Østdanmark'!J252</f>
        <v>0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-7350.705430366469</v>
      </c>
      <c r="J253" s="254">
        <f>'Resultater - Vestdanmark'!J253+'Resultater - Østdanmark'!J253</f>
        <v>0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1036.36114604673</v>
      </c>
      <c r="J254" s="254">
        <f>'Resultater - Vestdanmark'!J254+'Resultater - Østdanmark'!J254</f>
        <v>0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3226.1592912844117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-1980.724845459149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1001.1788868750421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537248.52481767256</v>
      </c>
      <c r="J258" s="254">
        <f>'Resultater - Vestdanmark'!J258+'Resultater - Østdanmark'!J258</f>
        <v>1409444.7611583925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-831216.42210971832</v>
      </c>
      <c r="J259" s="254">
        <f>'Resultater - Vestdanmark'!J259+'Resultater - Østdanmark'!J259</f>
        <v>-1915628.8031132044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22736.022898955885</v>
      </c>
      <c r="J260" s="254">
        <f>'Resultater - Vestdanmark'!J260+'Resultater - Østdanmark'!J260</f>
        <v>44752.633002592876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1396.8927983900667</v>
      </c>
      <c r="J261" s="254">
        <f>'Resultater - Vestdanmark'!J261+'Resultater - Østdanmark'!J261</f>
        <v>0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-1400.8003645362253</v>
      </c>
      <c r="J262" s="254">
        <f>'Resultater - Vestdanmark'!J262+'Resultater - Østdanmark'!J262</f>
        <v>0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346.48424668414958</v>
      </c>
      <c r="J263" s="254">
        <f>'Resultater - Vestdanmark'!J263+'Resultater - Østdanmark'!J263</f>
        <v>0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614.79883177114732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-377.4603827957784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334.72184261077342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475912.00059777085</v>
      </c>
      <c r="J267" s="254">
        <f>'Resultater - Vestdanmark'!J267+'Resultater - Østdanmark'!J267</f>
        <v>696592.9063711554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-7307947.6906921258</v>
      </c>
      <c r="J268" s="254">
        <f>'Resultater - Vestdanmark'!J268+'Resultater - Østdanmark'!J268</f>
        <v>-9396632.3922018334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94986.155222397967</v>
      </c>
      <c r="J269" s="254">
        <f>'Resultater - Vestdanmark'!J269+'Resultater - Østdanmark'!J269</f>
        <v>104314.32841594559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510.70891774615245</v>
      </c>
      <c r="J270" s="254">
        <f>'Resultater - Vestdanmark'!J270+'Resultater - Østdanmark'!J270</f>
        <v>0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-6535.2313932179777</v>
      </c>
      <c r="J271" s="254">
        <f>'Resultater - Vestdanmark'!J271+'Resultater - Østdanmark'!J271</f>
        <v>0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460.7189583927476</v>
      </c>
      <c r="J272" s="254">
        <f>'Resultater - Vestdanmark'!J272+'Resultater - Østdanmark'!J272</f>
        <v>0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348.56715532782084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-3823.2016102459434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720.52120191976246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90693.023987941997</v>
      </c>
      <c r="J276" s="254">
        <f>'Resultater - Vestdanmark'!J276+'Resultater - Østdanmark'!J276</f>
        <v>397057.9566315586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-1392652.1591850584</v>
      </c>
      <c r="J277" s="254">
        <f>'Resultater - Vestdanmark'!J277+'Resultater - Østdanmark'!J277</f>
        <v>-5356080.4635550454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31756.503573294205</v>
      </c>
      <c r="J278" s="254">
        <f>'Resultater - Vestdanmark'!J278+'Resultater - Østdanmark'!J278</f>
        <v>104314.32841594559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97.324160915946962</v>
      </c>
      <c r="J279" s="254">
        <f>'Resultater - Vestdanmark'!J279+'Resultater - Østdanmark'!J279</f>
        <v>0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-1245.3980920157653</v>
      </c>
      <c r="J280" s="254">
        <f>'Resultater - Vestdanmark'!J280+'Resultater - Østdanmark'!J280</f>
        <v>0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154.03111342097662</v>
      </c>
      <c r="J281" s="254">
        <f>'Resultater - Vestdanmark'!J281+'Resultater - Østdanmark'!J281</f>
        <v>0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66.425325143824139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-728.57527213697654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240.89020204919001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964957.84371201263</v>
      </c>
      <c r="J285" s="254">
        <f>'Resultater - Vestdanmark'!J285+'Resultater - Østdanmark'!J285</f>
        <v>81556.406913278435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-4284920.4564659148</v>
      </c>
      <c r="J286" s="254">
        <f>'Resultater - Vestdanmark'!J286+'Resultater - Østdanmark'!J286</f>
        <v>-318139.00845018169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63475.865944178076</v>
      </c>
      <c r="J287" s="254">
        <f>'Resultater - Vestdanmark'!J287+'Resultater - Østdanmark'!J287</f>
        <v>4025.2202010672199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26626.171227443523</v>
      </c>
      <c r="J288" s="254">
        <f>'Resultater - Vestdanmark'!J288+'Resultater - Østdanmark'!J288</f>
        <v>0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-86681.970192159279</v>
      </c>
      <c r="J289" s="254">
        <f>'Resultater - Vestdanmark'!J289+'Resultater - Østdanmark'!J289</f>
        <v>0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10265.737694100888</v>
      </c>
      <c r="J290" s="254">
        <f>'Resultater - Vestdanmark'!J290+'Resultater - Østdanmark'!J290</f>
        <v>0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17949.045980292212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-43240.742537100028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15189.847628644606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183888.9222318473</v>
      </c>
      <c r="J294" s="254">
        <f>'Resultater - Vestdanmark'!J294+'Resultater - Østdanmark'!J294</f>
        <v>46487.1519405687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-816563.55220412323</v>
      </c>
      <c r="J295" s="254">
        <f>'Resultater - Vestdanmark'!J295+'Resultater - Østdanmark'!J295</f>
        <v>-181339.23481660354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21221.740778480427</v>
      </c>
      <c r="J296" s="254">
        <f>'Resultater - Vestdanmark'!J296+'Resultater - Østdanmark'!J296</f>
        <v>4025.2202010672199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5074.0640765613362</v>
      </c>
      <c r="J297" s="254">
        <f>'Resultater - Vestdanmark'!J297+'Resultater - Østdanmark'!J297</f>
        <v>0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-16518.705122134295</v>
      </c>
      <c r="J298" s="254">
        <f>'Resultater - Vestdanmark'!J298+'Resultater - Østdanmark'!J298</f>
        <v>0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3432.1205548526441</v>
      </c>
      <c r="J299" s="254">
        <f>'Resultater - Vestdanmark'!J299+'Resultater - Østdanmark'!J299</f>
        <v>0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3420.492140577765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-8240.2496580205061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5078.3869435227061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3749949.4286038904</v>
      </c>
      <c r="J303" s="254">
        <f>'Resultater - Vestdanmark'!J303+'Resultater - Østdanmark'!J303</f>
        <v>316938.61394706595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-12552673.356121272</v>
      </c>
      <c r="J304" s="254">
        <f>'Resultater - Vestdanmark'!J304+'Resultater - Østdanmark'!J304</f>
        <v>-931988.14201773086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165129.72302721359</v>
      </c>
      <c r="J305" s="254">
        <f>'Resultater - Vestdanmark'!J305+'Resultater - Østdanmark'!J305</f>
        <v>10471.436459178214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118313.29426087246</v>
      </c>
      <c r="J306" s="254">
        <f>'Resultater - Vestdanmark'!J306+'Resultater - Østdanmark'!J306</f>
        <v>0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-268155.36314018001</v>
      </c>
      <c r="J307" s="254">
        <f>'Resultater - Vestdanmark'!J307+'Resultater - Østdanmark'!J307</f>
        <v>0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30536.168074657733</v>
      </c>
      <c r="J308" s="254">
        <f>'Resultater - Vestdanmark'!J308+'Resultater - Østdanmark'!J308</f>
        <v>0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46985.648789955754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-70214.697095420343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26618.08596538012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1040580.9581907642</v>
      </c>
      <c r="J312" s="254">
        <f>'Resultater - Vestdanmark'!J312+'Resultater - Østdanmark'!J312</f>
        <v>263059.04957606469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-3483266.4059769395</v>
      </c>
      <c r="J313" s="254">
        <f>'Resultater - Vestdanmark'!J313+'Resultater - Østdanmark'!J313</f>
        <v>-773550.15787471645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55207.441832894147</v>
      </c>
      <c r="J314" s="254">
        <f>'Resultater - Vestdanmark'!J314+'Resultater - Østdanmark'!J314</f>
        <v>10471.436459178214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32830.992378081268</v>
      </c>
      <c r="J315" s="254">
        <f>'Resultater - Vestdanmark'!J315+'Resultater - Østdanmark'!J315</f>
        <v>0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-74410.967409842327</v>
      </c>
      <c r="J316" s="254">
        <f>'Resultater - Vestdanmark'!J316+'Resultater - Østdanmark'!J316</f>
        <v>0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10209.087085450512</v>
      </c>
      <c r="J317" s="254">
        <f>'Resultater - Vestdanmark'!J317+'Resultater - Østdanmark'!J317</f>
        <v>0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13038.141545623344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-19484.016564412344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8899.1636738500511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711403.76241742517</v>
      </c>
      <c r="J321" s="254">
        <f>'Resultater - Vestdanmark'!J321+'Resultater - Østdanmark'!J321</f>
        <v>605081.43000344373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379964.30652595876</v>
      </c>
      <c r="J322" s="254">
        <f>'Resultater - Vestdanmark'!J322+'Resultater - Østdanmark'!J322</f>
        <v>323177.01717198931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-26348139.761103258</v>
      </c>
      <c r="J323" s="254">
        <f>'Resultater - Vestdanmark'!J323+'Resultater - Østdanmark'!J323</f>
        <v>-19686659.999999996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316899.03525080357</v>
      </c>
      <c r="J324" s="254">
        <f>'Resultater - Vestdanmark'!J324+'Resultater - Østdanmark'!J324</f>
        <v>202231.98740915034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6093.3719128516213</v>
      </c>
      <c r="J325" s="254">
        <f>'Resultater - Vestdanmark'!J325+'Resultater - Østdanmark'!J325</f>
        <v>0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3254.5004055136146</v>
      </c>
      <c r="J326" s="254">
        <f>'Resultater - Vestdanmark'!J326+'Resultater - Østdanmark'!J326</f>
        <v>0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-155826.09758862568</v>
      </c>
      <c r="J327" s="254">
        <f>'Resultater - Vestdanmark'!J327+'Resultater - Østdanmark'!J327</f>
        <v>0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15909.026113564014</v>
      </c>
      <c r="J328" s="254">
        <f>'Resultater - Vestdanmark'!J328+'Resultater - Østdanmark'!J328</f>
        <v>0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2969.6368997695067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1586.0979163513921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-51626.0511903152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17018.444551937522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130813.0941683299</v>
      </c>
      <c r="J333" s="254">
        <f>'Resultater - Vestdanmark'!J333+'Resultater - Østdanmark'!J333</f>
        <v>332794.78650189406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69867.927660775837</v>
      </c>
      <c r="J334" s="254">
        <f>'Resultater - Vestdanmark'!J334+'Resultater - Østdanmark'!J334</f>
        <v>177747.3594445941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-4844902.2479405086</v>
      </c>
      <c r="J335" s="254">
        <f>'Resultater - Vestdanmark'!J335+'Resultater - Østdanmark'!J335</f>
        <v>-10827663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105948.12814302233</v>
      </c>
      <c r="J336" s="254">
        <f>'Resultater - Vestdanmark'!J336+'Resultater - Østdanmark'!J336</f>
        <v>202231.98740915034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1120.4506863021218</v>
      </c>
      <c r="J337" s="254">
        <f>'Resultater - Vestdanmark'!J337+'Resultater - Østdanmark'!J337</f>
        <v>0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598.43831380739471</v>
      </c>
      <c r="J338" s="254">
        <f>'Resultater - Vestdanmark'!J338+'Resultater - Østdanmark'!J338</f>
        <v>0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-28653.340134829978</v>
      </c>
      <c r="J339" s="254">
        <f>'Resultater - Vestdanmark'!J339+'Resultater - Østdanmark'!J339</f>
        <v>0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5318.8282380745895</v>
      </c>
      <c r="J340" s="254">
        <f>'Resultater - Vestdanmark'!J340+'Resultater - Østdanmark'!J340</f>
        <v>0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546.05754416485308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291.65206462616879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-9493.0106539626395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5689.7375618596961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668356.07651997707</v>
      </c>
      <c r="J345" s="254">
        <f>'Resultater - Vestdanmark'!J345+'Resultater - Østdanmark'!J345</f>
        <v>56488.188053833153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111033.60030917828</v>
      </c>
      <c r="J346" s="254">
        <f>'Resultater - Vestdanmark'!J346+'Resultater - Østdanmark'!J346</f>
        <v>9384.3493235174283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-6533561.512841559</v>
      </c>
      <c r="J347" s="254">
        <f>'Resultater - Vestdanmark'!J347+'Resultater - Østdanmark'!J347</f>
        <v>-485092.03437070083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91678.549305625464</v>
      </c>
      <c r="J348" s="254">
        <f>'Resultater - Vestdanmark'!J348+'Resultater - Østdanmark'!J348</f>
        <v>5813.6481193351492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39410.582571845014</v>
      </c>
      <c r="J349" s="254">
        <f>'Resultater - Vestdanmark'!J349+'Resultater - Østdanmark'!J349</f>
        <v>0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6547.2568096017185</v>
      </c>
      <c r="J350" s="254">
        <f>'Resultater - Vestdanmark'!J350+'Resultater - Østdanmark'!J350</f>
        <v>0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-288945.67716521828</v>
      </c>
      <c r="J351" s="254">
        <f>'Resultater - Vestdanmark'!J351+'Resultater - Østdanmark'!J351</f>
        <v>0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31685.009037302007</v>
      </c>
      <c r="J352" s="254">
        <f>'Resultater - Vestdanmark'!J352+'Resultater - Østdanmark'!J352</f>
        <v>0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34779.7180352246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5777.934018788892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-194280.89321625713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61375.867292111216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127366.47448304961</v>
      </c>
      <c r="J357" s="254">
        <f>'Resultater - Vestdanmark'!J357+'Resultater - Østdanmark'!J357</f>
        <v>32198.267190684892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21159.317192378934</v>
      </c>
      <c r="J358" s="254">
        <f>'Resultater - Vestdanmark'!J358+'Resultater - Østdanmark'!J358</f>
        <v>5349.0791144049335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-1245079.8682667417</v>
      </c>
      <c r="J359" s="254">
        <f>'Resultater - Vestdanmark'!J359+'Resultater - Østdanmark'!J359</f>
        <v>-276502.45959129941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30650.679267961474</v>
      </c>
      <c r="J360" s="254">
        <f>'Resultater - Vestdanmark'!J360+'Resultater - Østdanmark'!J360</f>
        <v>5813.6481193351492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7510.3483544807477</v>
      </c>
      <c r="J361" s="254">
        <f>'Resultater - Vestdanmark'!J361+'Resultater - Østdanmark'!J361</f>
        <v>0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1247.6897370576758</v>
      </c>
      <c r="J362" s="254">
        <f>'Resultater - Vestdanmark'!J362+'Resultater - Østdanmark'!J362</f>
        <v>0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-55063.45122090209</v>
      </c>
      <c r="J363" s="254">
        <f>'Resultater - Vestdanmark'!J363+'Resultater - Østdanmark'!J363</f>
        <v>0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10593.176451421152</v>
      </c>
      <c r="J364" s="254">
        <f>'Resultater - Vestdanmark'!J364+'Resultater - Østdanmark'!J364</f>
        <v>0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6627.859348157941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1101.0823595718791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-37023.486877257223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20519.653042197904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643087.22678672185</v>
      </c>
      <c r="J369" s="254">
        <f>'Resultater - Vestdanmark'!J369+'Resultater - Østdanmark'!J369</f>
        <v>347781.32300323609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-1317470.7832832786</v>
      </c>
      <c r="J370" s="254">
        <f>'Resultater - Vestdanmark'!J370+'Resultater - Østdanmark'!J370</f>
        <v>-625895.42937547539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21794.214571204095</v>
      </c>
      <c r="J371" s="254">
        <f>'Resultater - Vestdanmark'!J371+'Resultater - Østdanmark'!J371</f>
        <v>8843.1880417203683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12301.32752249085</v>
      </c>
      <c r="J372" s="254">
        <f>'Resultater - Vestdanmark'!J372+'Resultater - Østdanmark'!J372</f>
        <v>0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-19091.900392710457</v>
      </c>
      <c r="J373" s="254">
        <f>'Resultater - Vestdanmark'!J373+'Resultater - Østdanmark'!J373</f>
        <v>0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1884.3098135001223</v>
      </c>
      <c r="J374" s="254">
        <f>'Resultater - Vestdanmark'!J374+'Resultater - Østdanmark'!J374</f>
        <v>0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8273.0706840612329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-9905.1175252323519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2903.7867783770112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122551.07081151514</v>
      </c>
      <c r="J378" s="254">
        <f>'Resultater - Vestdanmark'!J378+'Resultater - Østdanmark'!J378</f>
        <v>198235.35411184456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-251066.18282716774</v>
      </c>
      <c r="J379" s="254">
        <f>'Resultater - Vestdanmark'!J379+'Resultater - Østdanmark'!J379</f>
        <v>-356760.39474402094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7286.4098066407751</v>
      </c>
      <c r="J380" s="254">
        <f>'Resultater - Vestdanmark'!J380+'Resultater - Østdanmark'!J380</f>
        <v>8843.1880417203683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2344.2245429396285</v>
      </c>
      <c r="J381" s="254">
        <f>'Resultater - Vestdanmark'!J381+'Resultater - Østdanmark'!J381</f>
        <v>0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-3638.2822414997513</v>
      </c>
      <c r="J382" s="254">
        <f>'Resultater - Vestdanmark'!J382+'Resultater - Østdanmark'!J382</f>
        <v>0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629.97698122957365</v>
      </c>
      <c r="J383" s="254">
        <f>'Resultater - Vestdanmark'!J383+'Resultater - Østdanmark'!J383</f>
        <v>0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1576.5725534575217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-1887.5864869785551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970.81637832067668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854217.19681381318</v>
      </c>
      <c r="J387" s="254">
        <f>'Resultater - Vestdanmark'!J387+'Resultater - Østdanmark'!J387</f>
        <v>1183274.290775097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-3913648.7176211551</v>
      </c>
      <c r="J388" s="254">
        <f>'Resultater - Vestdanmark'!J388+'Resultater - Østdanmark'!J388</f>
        <v>-4762372.6499628425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59346.281203764833</v>
      </c>
      <c r="J389" s="254">
        <f>'Resultater - Vestdanmark'!J389+'Resultater - Østdanmark'!J389</f>
        <v>61679.649108782782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10151.477149290906</v>
      </c>
      <c r="J390" s="254">
        <f>'Resultater - Vestdanmark'!J390+'Resultater - Østdanmark'!J390</f>
        <v>0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-38758.015014088487</v>
      </c>
      <c r="J391" s="254">
        <f>'Resultater - Vestdanmark'!J391+'Resultater - Østdanmark'!J391</f>
        <v>0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3187.743953395574</v>
      </c>
      <c r="J392" s="254">
        <f>'Resultater - Vestdanmark'!J392+'Resultater - Østdanmark'!J392</f>
        <v>0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9835.5717771726013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-32187.341493457585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7077.0369272535772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162785.4322316717</v>
      </c>
      <c r="J396" s="254">
        <f>'Resultater - Vestdanmark'!J396+'Resultater - Østdanmark'!J396</f>
        <v>674466.34574180515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-745811.48737953557</v>
      </c>
      <c r="J397" s="254">
        <f>'Resultater - Vestdanmark'!J397+'Resultater - Østdanmark'!J397</f>
        <v>-2714552.4104788201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19841.106176962938</v>
      </c>
      <c r="J398" s="254">
        <f>'Resultater - Vestdanmark'!J398+'Resultater - Østdanmark'!J398</f>
        <v>61679.649108782782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1934.5344506069966</v>
      </c>
      <c r="J399" s="254">
        <f>'Resultater - Vestdanmark'!J399+'Resultater - Østdanmark'!J399</f>
        <v>0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-7385.9906473940846</v>
      </c>
      <c r="J400" s="254">
        <f>'Resultater - Vestdanmark'!J400+'Resultater - Østdanmark'!J400</f>
        <v>0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1065.751129832897</v>
      </c>
      <c r="J401" s="254">
        <f>'Resultater - Vestdanmark'!J401+'Resultater - Østdanmark'!J401</f>
        <v>0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1874.3333767625486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-6133.8384627990035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2366.0495357713835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1130082.7672000863</v>
      </c>
      <c r="J405" s="254">
        <f>'Resultater - Vestdanmark'!J405+'Resultater - Østdanmark'!J405</f>
        <v>95512.452287978202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-3815613.8720624475</v>
      </c>
      <c r="J406" s="254">
        <f>'Resultater - Vestdanmark'!J406+'Resultater - Østdanmark'!J406</f>
        <v>-283294.78370011406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138863.25124491594</v>
      </c>
      <c r="J407" s="254">
        <f>'Resultater - Vestdanmark'!J407+'Resultater - Østdanmark'!J407</f>
        <v>8805.7902918325635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526880.99397595064</v>
      </c>
      <c r="J408" s="254">
        <f>'Resultater - Vestdanmark'!J408+'Resultater - Østdanmark'!J408</f>
        <v>101652.33917622454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-1482468.4290762381</v>
      </c>
      <c r="J409" s="254">
        <f>'Resultater - Vestdanmark'!J409+'Resultater - Østdanmark'!J409</f>
        <v>-251255.00000000003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292629.83271995647</v>
      </c>
      <c r="J410" s="254">
        <f>'Resultater - Vestdanmark'!J410+'Resultater - Østdanmark'!J410</f>
        <v>42359.878831258306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534640.94958944467</v>
      </c>
      <c r="J411" s="254">
        <f>'Resultater - Vestdanmark'!J411+'Resultater - Østdanmark'!J411</f>
        <v>92315.344618416799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-1289402.0325864053</v>
      </c>
      <c r="J412" s="254">
        <f>'Resultater - Vestdanmark'!J412+'Resultater - Østdanmark'!J412</f>
        <v>-195579.99999999991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680402.57134336571</v>
      </c>
      <c r="J413" s="254">
        <f>'Resultater - Vestdanmark'!J413+'Resultater - Østdanmark'!J413</f>
        <v>88147.2743773728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377817.98148037249</v>
      </c>
      <c r="J414" s="254">
        <f>'Resultater - Vestdanmark'!J414+'Resultater - Østdanmark'!J414</f>
        <v>95512.452287978202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-1275665.4407029808</v>
      </c>
      <c r="J415" s="254">
        <f>'Resultater - Vestdanmark'!J415+'Resultater - Østdanmark'!J415</f>
        <v>-283294.78370011406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46425.832522996789</v>
      </c>
      <c r="J416" s="254">
        <f>'Resultater - Vestdanmark'!J416+'Resultater - Østdanmark'!J416</f>
        <v>8805.7902918325635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176150.91513834277</v>
      </c>
      <c r="J417" s="254">
        <f>'Resultater - Vestdanmark'!J417+'Resultater - Østdanmark'!J417</f>
        <v>101652.33917622454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-495630.27216996241</v>
      </c>
      <c r="J418" s="254">
        <f>'Resultater - Vestdanmark'!J418+'Resultater - Østdanmark'!J418</f>
        <v>-251255.00000000003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97834.261284348657</v>
      </c>
      <c r="J419" s="254">
        <f>'Resultater - Vestdanmark'!J419+'Resultater - Østdanmark'!J419</f>
        <v>42359.878831258306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178745.28331327889</v>
      </c>
      <c r="J420" s="254">
        <f>'Resultater - Vestdanmark'!J420+'Resultater - Østdanmark'!J420</f>
        <v>92315.344618416799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-431082.8263273848</v>
      </c>
      <c r="J421" s="254">
        <f>'Resultater - Vestdanmark'!J421+'Resultater - Østdanmark'!J421</f>
        <v>-195579.99999999991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227477.43223792603</v>
      </c>
      <c r="J422" s="254">
        <f>'Resultater - Vestdanmark'!J422+'Resultater - Østdanmark'!J422</f>
        <v>88147.2743773728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792089.97208410688</v>
      </c>
      <c r="J423" s="254">
        <f ca="1">'Resultater - Vestdanmark'!J423+'Resultater - Østdanmark'!J423</f>
        <v>882756.40881976672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858097.46975778264</v>
      </c>
      <c r="J424" s="254">
        <f ca="1">'Resultater - Vestdanmark'!J424+'Resultater - Østdanmark'!J424</f>
        <v>956319.44288808072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-121290.05206481964</v>
      </c>
      <c r="I425" s="253">
        <f ca="1">'Resultater - Vestdanmark'!I425+'Resultater - Østdanmark'!I425</f>
        <v>-125863.23833189183</v>
      </c>
      <c r="J425" s="254">
        <f ca="1">'Resultater - Vestdanmark'!J425+'Resultater - Østdanmark'!J425</f>
        <v>-598488.72089127416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1257913.8813623206</v>
      </c>
      <c r="J426" s="254">
        <f>'Resultater - Vestdanmark'!J426+'Resultater - Østdanmark'!J426</f>
        <v>0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48970.719070863553</v>
      </c>
      <c r="J427" s="254">
        <f>'Resultater - Vestdanmark'!J427+'Resultater - Østdanmark'!J427</f>
        <v>0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6434.752485911471</v>
      </c>
      <c r="J428" s="254">
        <f>'Resultater - Vestdanmark'!J428+'Resultater - Østdanmark'!J428</f>
        <v>0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651944.16240135778</v>
      </c>
      <c r="J429" s="254">
        <f>'Resultater - Vestdanmark'!J429+'Resultater - Østdanmark'!J429</f>
        <v>0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838511.19375041663</v>
      </c>
      <c r="J430" s="254">
        <f>'Resultater - Vestdanmark'!J430+'Resultater - Østdanmark'!J430</f>
        <v>56067.802327067431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16064.557860499366</v>
      </c>
      <c r="J431" s="254">
        <f>'Resultater - Vestdanmark'!J431+'Resultater - Østdanmark'!J431</f>
        <v>1074.171056161608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74781.653483869406</v>
      </c>
      <c r="J432" s="254">
        <f>'Resultater - Vestdanmark'!J432+'Resultater - Østdanmark'!J432</f>
        <v>5000.3422691013538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73787.090644628566</v>
      </c>
      <c r="J433" s="254">
        <f>'Resultater - Vestdanmark'!J433+'Resultater - Østdanmark'!J433</f>
        <v>4933.8399336668199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71982.446002791301</v>
      </c>
      <c r="J434" s="254">
        <f>'Resultater - Vestdanmark'!J434+'Resultater - Østdanmark'!J434</f>
        <v>4193.3637747548428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34912.069637496439</v>
      </c>
      <c r="J435" s="254">
        <f>'Resultater - Vestdanmark'!J435+'Resultater - Østdanmark'!J435</f>
        <v>2033.8154126343388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4608.2765269210004</v>
      </c>
      <c r="J436" s="254">
        <f>'Resultater - Vestdanmark'!J436+'Resultater - Østdanmark'!J436</f>
        <v>268.45683809208481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47366.082783036087</v>
      </c>
      <c r="J437" s="254">
        <f>'Resultater - Vestdanmark'!J437+'Resultater - Østdanmark'!J437</f>
        <v>2759.328513047757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106887.81651997143</v>
      </c>
      <c r="J438" s="254">
        <f>'Resultater - Vestdanmark'!J438+'Resultater - Østdanmark'!J438</f>
        <v>6505.3390543143432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394.25394887590943</v>
      </c>
      <c r="J439" s="257">
        <f>'Resultater - Vestdanmark'!J439+'Resultater - Østdanmark'!J439</f>
        <v>23.994835842314107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2730553382.25739</v>
      </c>
      <c r="J440" s="251">
        <f>'Resultater - Vestdanmark'!J440+'Resultater - Østdanmark'!J440</f>
        <v>125680101.14127618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103317587.9750005</v>
      </c>
      <c r="J441" s="254">
        <f>'Resultater - Vestdanmark'!J441+'Resultater - Østdanmark'!J441</f>
        <v>13957836.112392019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49138852.817378283</v>
      </c>
      <c r="J443" s="254">
        <f>'Resultater - Vestdanmark'!J443+'Resultater - Østdanmark'!J443</f>
        <v>6638483.029064496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883386715.39777541</v>
      </c>
      <c r="J444" s="254">
        <f>'Resultater - Vestdanmark'!J444+'Resultater - Østdanmark'!J444</f>
        <v>314200252.85319042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1052997676.0278656</v>
      </c>
      <c r="J445" s="254">
        <f>'Resultater - Vestdanmark'!J445+'Resultater - Østdanmark'!J445</f>
        <v>142018514.28964207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151826455.49984825</v>
      </c>
      <c r="J446" s="254">
        <f>'Resultater - Vestdanmark'!J446+'Resultater - Østdanmark'!J446</f>
        <v>20511210.384673636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1431326584.6292748</v>
      </c>
      <c r="J449" s="254">
        <f>'Resultater - Vestdanmark'!J449+'Resultater - Østdanmark'!J449</f>
        <v>193367095.41069916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66250066.24675484</v>
      </c>
      <c r="J450" s="254">
        <f>'Resultater - Vestdanmark'!J450+'Resultater - Østdanmark'!J450</f>
        <v>0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0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427004504.57000273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85491178.661752135</v>
      </c>
      <c r="J453" s="254">
        <f>'Resultater - Vestdanmark'!J453+'Resultater - Østdanmark'!J453</f>
        <v>13824811.125540378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1628207149.5981588</v>
      </c>
      <c r="J454" s="254">
        <f>'Resultater - Vestdanmark'!J454+'Resultater - Østdanmark'!J454</f>
        <v>0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69782815.816857457</v>
      </c>
      <c r="J458" s="254">
        <f>'Resultater - Vestdanmark'!J458+'Resultater - Østdanmark'!J458</f>
        <v>0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0</v>
      </c>
      <c r="I459" s="259">
        <f>'Resultater - Vestdanmark'!I459+'Resultater - Østdanmark'!I459</f>
        <v>0</v>
      </c>
      <c r="J459" s="260">
        <f>'Resultater - Vestdanmark'!J459+'Resultater - Østdanmark'!J459</f>
        <v>0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58934595.360918581</v>
      </c>
      <c r="J460" s="254">
        <f>'Resultater - Vestdanmark'!J460+'Resultater - Østdanmark'!J460</f>
        <v>934374.75811241684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0</v>
      </c>
      <c r="I461" s="259">
        <f>'Resultater - Vestdanmark'!I461+'Resultater - Østdanmark'!I461</f>
        <v>0</v>
      </c>
      <c r="J461" s="260">
        <f>'Resultater - Vestdanmark'!J461+'Resultater - Østdanmark'!J461</f>
        <v>0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86096.767844558548</v>
      </c>
      <c r="J462" s="254">
        <f>'Resultater - Vestdanmark'!J462+'Resultater - Østdanmark'!J462</f>
        <v>71800.707180841913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128297118.84836844</v>
      </c>
      <c r="J463" s="254">
        <f>'Resultater - Vestdanmark'!J463+'Resultater - Østdanmark'!J463</f>
        <v>35513699.281061076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0</v>
      </c>
      <c r="J470" s="254">
        <f>'Resultater - Vestdanmark'!J470+'Resultater - Østdanmark'!J470</f>
        <v>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0</v>
      </c>
      <c r="J471" s="254">
        <f>'Resultater - Vestdanmark'!J471+'Resultater - Østdanmark'!J471</f>
        <v>0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0</v>
      </c>
      <c r="J472" s="254">
        <f>'Resultater - Vestdanmark'!J472+'Resultater - Østdanmark'!J472</f>
        <v>0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38147746.877003953</v>
      </c>
      <c r="J473" s="254">
        <f>'Resultater - Vestdanmark'!J473+'Resultater - Østdanmark'!J473</f>
        <v>39505704.530032769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13683130.550764399</v>
      </c>
      <c r="J474" s="260">
        <f ca="1">'Resultater - Vestdanmark'!J474+'Resultater - Østdanmark'!J474</f>
        <v>3222864.1864066171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10273581.21748179</v>
      </c>
      <c r="J475" s="260">
        <f>'Resultater - Vestdanmark'!J475+'Resultater - Østdanmark'!J475</f>
        <v>0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11146022.763294294</v>
      </c>
      <c r="J476" s="260">
        <f>'Resultater - Vestdanmark'!J476+'Resultater - Østdanmark'!J476</f>
        <v>58904.634081161028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15335.302160608391</v>
      </c>
      <c r="J477" s="260">
        <f>'Resultater - Vestdanmark'!J477+'Resultater - Østdanmark'!J477</f>
        <v>4262.9766774036752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3777637.3883130699</v>
      </c>
      <c r="J478" s="260">
        <f>'Resultater - Vestdanmark'!J478+'Resultater - Østdanmark'!J478</f>
        <v>348560.38183263643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75158363.721110433</v>
      </c>
      <c r="J479" s="260">
        <f ca="1">'Resultater - Vestdanmark'!J479+'Resultater - Østdanmark'!J479</f>
        <v>555496.68063586287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219828295.6204651</v>
      </c>
      <c r="J480" s="260">
        <f ca="1">'Resultater - Vestdanmark'!J480+'Resultater - Østdanmark'!J480</f>
        <v>219634337.39992851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15.581625309828855</v>
      </c>
      <c r="J481" s="264">
        <f>'Resultater - Vestdanmark'!J481+'Resultater - Østdanmark'!J481</f>
        <v>8.7199693914592853</v>
      </c>
      <c r="L481" s="152" t="s">
        <v>214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9.5529993846430425</v>
      </c>
      <c r="J482" s="264">
        <f>'Resultater - Vestdanmark'!J482+'Resultater - Østdanmark'!J482</f>
        <v>10.504213624859783</v>
      </c>
      <c r="L482" s="152" t="s">
        <v>218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19.150693242707447</v>
      </c>
      <c r="J483" s="264">
        <f>'Resultater - Vestdanmark'!J483+'Resultater - Østdanmark'!J483</f>
        <v>34.182427711910989</v>
      </c>
      <c r="L483" s="152" t="s">
        <v>215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41.493579393439902</v>
      </c>
      <c r="J484" s="264">
        <f ca="1">'Resultater - Vestdanmark'!J484+'Resultater - Østdanmark'!J484</f>
        <v>41.694017819449911</v>
      </c>
      <c r="L484" s="152" t="s">
        <v>216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17.545322997702911</v>
      </c>
      <c r="J485" s="264">
        <f>'Resultater - Vestdanmark'!J485+'Resultater - Østdanmark'!J485</f>
        <v>17.545322997702911</v>
      </c>
      <c r="L485" s="152" t="s">
        <v>217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16.615858669714999</v>
      </c>
      <c r="I489" s="266">
        <f ca="1">'Resultater - Vestdanmark'!I489+'Resultater - Østdanmark'!I489</f>
        <v>10.59941661478865</v>
      </c>
      <c r="J489" s="267">
        <f ca="1">'Resultater - Vestdanmark'!J489+'Resultater - Østdanmark'!J489</f>
        <v>2.7293182960222975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5664406.6188028278</v>
      </c>
      <c r="J490" s="270">
        <f>'Resultater - Vestdanmark'!J490+'Resultater - Østdanmark'!J490</f>
        <v>2156588.4069192056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11662013.626946999</v>
      </c>
      <c r="J491" s="270">
        <f>'Resultater - Vestdanmark'!J491+'Resultater - Østdanmark'!J491</f>
        <v>4440034.9554218939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16557407.347165897</v>
      </c>
      <c r="J492" s="270">
        <f>'Resultater - Vestdanmark'!J492+'Resultater - Østdanmark'!J492</f>
        <v>6303839.9494497506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426473.18681442156</v>
      </c>
      <c r="J493" s="270">
        <f>'Resultater - Vestdanmark'!J493+'Resultater - Østdanmark'!J493</f>
        <v>468938.10825266887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272942.8395612298</v>
      </c>
      <c r="J494" s="270">
        <f>'Resultater - Vestdanmark'!J494+'Resultater - Østdanmark'!J494</f>
        <v>300120.38928170811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A291"/>
  <sheetViews>
    <sheetView zoomScale="106" workbookViewId="0">
      <pane xSplit="6" ySplit="3" topLeftCell="G146" activePane="bottomRight" state="frozen"/>
      <selection pane="topRight" activeCell="F1" sqref="F1"/>
      <selection pane="bottomLeft" activeCell="A3" sqref="A3"/>
      <selection pane="bottomRight" activeCell="K52" sqref="K52:K291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72" t="s">
        <v>247</v>
      </c>
      <c r="B1" s="472"/>
      <c r="C1" s="472"/>
      <c r="D1" s="393"/>
      <c r="G1" s="473" t="s">
        <v>249</v>
      </c>
      <c r="H1" s="473"/>
      <c r="I1" s="473"/>
      <c r="J1" s="473"/>
      <c r="K1" s="473"/>
      <c r="L1" s="473"/>
      <c r="M1" s="473"/>
      <c r="N1" s="474"/>
      <c r="O1" s="475" t="s">
        <v>250</v>
      </c>
      <c r="P1" s="476"/>
      <c r="Q1" s="477"/>
      <c r="R1" s="469" t="s">
        <v>122</v>
      </c>
      <c r="S1" s="469"/>
      <c r="T1" s="469"/>
      <c r="U1" s="470"/>
      <c r="V1" s="471" t="s">
        <v>228</v>
      </c>
      <c r="W1" s="469"/>
      <c r="X1" s="469"/>
      <c r="Y1" s="470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310</v>
      </c>
      <c r="C3" s="91" t="s">
        <v>129</v>
      </c>
      <c r="D3" s="91" t="s">
        <v>337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</row>
    <row r="4" spans="1:27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P4*IFERROR(VLOOKUP(A4,[1]Tørstofindhold!A$2:B$25,2,FALSE),0)</f>
        <v>0</v>
      </c>
      <c r="W4">
        <f>IF(E4=År1,Q4,SUM(P4,Q4))*IFERROR(VLOOKUP(A4,[1]Tørstofindhold!A$2:B$25,2,FALSE),0)</f>
        <v>0</v>
      </c>
      <c r="X4">
        <f>K4*IFERROR(VLOOKUP(A4,[1]Tørstofindhold!A$2:B$25,2,FALSE),0)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P5*IFERROR(VLOOKUP(A5,[1]Tørstofindhold!A$2:B$25,2,FALSE),0)</f>
        <v>0</v>
      </c>
      <c r="W5">
        <f>IF(E5=År1,Q5,SUM(P5,Q5))*IFERROR(VLOOKUP(A5,[1]Tørstofindhold!A$2:B$25,2,FALSE),0)</f>
        <v>0</v>
      </c>
      <c r="X5">
        <f>K5*IFERROR(VLOOKUP(A5,[1]Tørstofindhold!A$2:B$25,2,FALSE),0)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x14ac:dyDescent="0.25">
      <c r="A6" s="171" t="s">
        <v>102</v>
      </c>
      <c r="B6" s="171" t="s">
        <v>229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P6*IFERROR(VLOOKUP(A6,[1]Tørstofindhold!A$2:B$25,2,FALSE),0)</f>
        <v>0</v>
      </c>
      <c r="W6">
        <f ca="1">IF(E6=År1,Q6,SUM(P6,Q6))*IFERROR(VLOOKUP(A6,[1]Tørstofindhold!A$2:B$25,2,FALSE),0)</f>
        <v>110192.22039498243</v>
      </c>
      <c r="X6">
        <f ca="1">K6*IFERROR(VLOOKUP(A6,[1]Tørstofindhold!A$2:B$25,2,FALSE),0)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P7*IFERROR(VLOOKUP(A7,[1]Tørstofindhold!A$2:B$25,2,FALSE),0)</f>
        <v>0</v>
      </c>
      <c r="W7">
        <f ca="1">IF(E7=År1,Q7,SUM(P7,Q7))*IFERROR(VLOOKUP(A7,[1]Tørstofindhold!A$2:B$25,2,FALSE),0)</f>
        <v>0</v>
      </c>
      <c r="X7">
        <f>K7*IFERROR(VLOOKUP(A7,[1]Tørstofindhold!A$2:B$25,2,FALSE),0)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P8*IFERROR(VLOOKUP(A8,[1]Tørstofindhold!A$2:B$25,2,FALSE),0)</f>
        <v>0</v>
      </c>
      <c r="W8">
        <f>IF(E8=År1,Q8,SUM(P8,Q8))*IFERROR(VLOOKUP(A8,[1]Tørstofindhold!A$2:B$25,2,FALSE),0)</f>
        <v>0</v>
      </c>
      <c r="X8">
        <f>K8*IFERROR(VLOOKUP(A8,[1]Tørstofindhold!A$2:B$25,2,FALSE),0)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x14ac:dyDescent="0.25">
      <c r="A9" s="171" t="s">
        <v>207</v>
      </c>
      <c r="B9" s="171" t="s">
        <v>229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P9*IFERROR(VLOOKUP(A9,[1]Tørstofindhold!A$2:B$25,2,FALSE),0)</f>
        <v>0</v>
      </c>
      <c r="W9">
        <f>IF(E9=År1,Q9,SUM(P9,Q9))*IFERROR(VLOOKUP(A9,[1]Tørstofindhold!A$2:B$25,2,FALSE),0)</f>
        <v>0</v>
      </c>
      <c r="X9">
        <f>K9*IFERROR(VLOOKUP(A9,[1]Tørstofindhold!A$2:B$25,2,FALSE),0)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x14ac:dyDescent="0.25">
      <c r="A10" t="s">
        <v>101</v>
      </c>
      <c r="B10" s="171" t="s">
        <v>221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P10*IFERROR(VLOOKUP(A10,[1]Tørstofindhold!A$2:B$25,2,FALSE),0)</f>
        <v>359642.22916334897</v>
      </c>
      <c r="W10">
        <f>IF(E10=År1,Q10,SUM(P10,Q10))*IFERROR(VLOOKUP(A10,[1]Tørstofindhold!A$2:B$25,2,FALSE),0)</f>
        <v>201358.40146508775</v>
      </c>
      <c r="X10">
        <f>K10*IFERROR(VLOOKUP(A10,[1]Tørstofindhold!A$2:B$25,2,FALSE),0)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x14ac:dyDescent="0.25">
      <c r="A11" t="s">
        <v>203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P11*IFERROR(VLOOKUP(A11,[1]Tørstofindhold!A$2:B$25,2,FALSE),0)</f>
        <v>0</v>
      </c>
      <c r="W11">
        <f>IF(E11=År1,Q11,SUM(P11,Q11))*IFERROR(VLOOKUP(A11,[1]Tørstofindhold!A$2:B$25,2,FALSE),0)</f>
        <v>0</v>
      </c>
      <c r="X11">
        <f>K11*IFERROR(VLOOKUP(A11,[1]Tørstofindhold!A$2:B$25,2,FALSE),0)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x14ac:dyDescent="0.25">
      <c r="A12" t="s">
        <v>137</v>
      </c>
      <c r="B12" s="171" t="s">
        <v>221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P12*IFERROR(VLOOKUP(A12,[1]Tørstofindhold!A$2:B$25,2,FALSE),0)</f>
        <v>0</v>
      </c>
      <c r="W12">
        <f>IF(E12=År1,Q12,SUM(P12,Q12))*IFERROR(VLOOKUP(A12,[1]Tørstofindhold!A$2:B$25,2,FALSE),0)</f>
        <v>258.53978921699621</v>
      </c>
      <c r="X12">
        <f>K12*IFERROR(VLOOKUP(A12,[1]Tørstofindhold!A$2:B$25,2,FALSE),0)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1</v>
      </c>
    </row>
    <row r="13" spans="1:27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P13*IFERROR(VLOOKUP(A13,[1]Tørstofindhold!A$2:B$25,2,FALSE),0)</f>
        <v>0</v>
      </c>
      <c r="W13">
        <f>IF(E13=År1,Q13,SUM(P13,Q13))*IFERROR(VLOOKUP(A13,[1]Tørstofindhold!A$2:B$25,2,FALSE),0)</f>
        <v>0</v>
      </c>
      <c r="X13">
        <f>K13*IFERROR(VLOOKUP(A13,[1]Tørstofindhold!A$2:B$25,2,FALSE),0)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P14*IFERROR(VLOOKUP(A14,[1]Tørstofindhold!A$2:B$25,2,FALSE),0)</f>
        <v>0</v>
      </c>
      <c r="W14">
        <f>IF(E14=År1,Q14,SUM(P14,Q14))*IFERROR(VLOOKUP(A14,[1]Tørstofindhold!A$2:B$25,2,FALSE),0)</f>
        <v>0</v>
      </c>
      <c r="X14">
        <f>K14*IFERROR(VLOOKUP(A14,[1]Tørstofindhold!A$2:B$25,2,FALSE),0)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P15*IFERROR(VLOOKUP(A15,[1]Tørstofindhold!A$2:B$25,2,FALSE),0)</f>
        <v>0</v>
      </c>
      <c r="W15">
        <f>IF(E15=År1,Q15,SUM(P15,Q15))*IFERROR(VLOOKUP(A15,[1]Tørstofindhold!A$2:B$25,2,FALSE),0)</f>
        <v>0</v>
      </c>
      <c r="X15">
        <f>K15*IFERROR(VLOOKUP(A15,[1]Tørstofindhold!A$2:B$25,2,FALSE),0)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P16*IFERROR(VLOOKUP(A16,[1]Tørstofindhold!A$2:B$25,2,FALSE),0)</f>
        <v>0</v>
      </c>
      <c r="W16">
        <f>IF(E16=År1,Q16,SUM(P16,Q16))*IFERROR(VLOOKUP(A16,[1]Tørstofindhold!A$2:B$25,2,FALSE),0)</f>
        <v>102774.24</v>
      </c>
      <c r="X16">
        <f>K16*IFERROR(VLOOKUP(A16,[1]Tørstofindhold!A$2:B$25,2,FALSE),0)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x14ac:dyDescent="0.25">
      <c r="A17" s="171" t="s">
        <v>51</v>
      </c>
      <c r="B17" s="171" t="s">
        <v>223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P17*IFERROR(VLOOKUP(A17,[1]Tørstofindhold!A$2:B$25,2,FALSE),0)</f>
        <v>966299.39286453498</v>
      </c>
      <c r="W17">
        <f>IF(E17=År1,Q17,SUM(P17,Q17))*IFERROR(VLOOKUP(A17,[1]Tørstofindhold!A$2:B$25,2,FALSE),0)</f>
        <v>21111.767110276462</v>
      </c>
      <c r="X17">
        <f>K17*IFERROR(VLOOKUP(A17,[1]Tørstofindhold!A$2:B$25,2,FALSE),0)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x14ac:dyDescent="0.25">
      <c r="A18" s="171" t="s">
        <v>202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P18*IFERROR(VLOOKUP(A18,[1]Tørstofindhold!A$2:B$25,2,FALSE),0)</f>
        <v>0</v>
      </c>
      <c r="W18">
        <f>IF(E18=År1,Q18,SUM(P18,Q18))*IFERROR(VLOOKUP(A18,[1]Tørstofindhold!A$2:B$25,2,FALSE),0)</f>
        <v>0</v>
      </c>
      <c r="X18">
        <f>K18*IFERROR(VLOOKUP(A18,[1]Tørstofindhold!A$2:B$25,2,FALSE),0)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P19*IFERROR(VLOOKUP(A19,[1]Tørstofindhold!A$2:B$25,2,FALSE),0)</f>
        <v>0</v>
      </c>
      <c r="W19">
        <f>IF(E19=År1,Q19,SUM(P19,Q19))*IFERROR(VLOOKUP(A19,[1]Tørstofindhold!A$2:B$25,2,FALSE),0)</f>
        <v>0</v>
      </c>
      <c r="X19">
        <f>K19*IFERROR(VLOOKUP(A19,[1]Tørstofindhold!A$2:B$25,2,FALSE),0)</f>
        <v>0</v>
      </c>
      <c r="Y19" s="170">
        <f t="shared" si="12"/>
        <v>0</v>
      </c>
      <c r="Z19">
        <f t="shared" si="1"/>
        <v>0</v>
      </c>
      <c r="AA19">
        <f t="shared" si="2"/>
        <v>1</v>
      </c>
    </row>
    <row r="20" spans="1:27" x14ac:dyDescent="0.25">
      <c r="A20" s="171" t="s">
        <v>67</v>
      </c>
      <c r="B20" s="171" t="s">
        <v>226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P20*IFERROR(VLOOKUP(A20,[1]Tørstofindhold!A$2:B$25,2,FALSE),0)</f>
        <v>0</v>
      </c>
      <c r="W20">
        <f>IF(E20=År1,Q20,SUM(P20,Q20))*IFERROR(VLOOKUP(A20,[1]Tørstofindhold!A$2:B$25,2,FALSE),0)</f>
        <v>1033628.7603217638</v>
      </c>
      <c r="X20">
        <f>K20*IFERROR(VLOOKUP(A20,[1]Tørstofindhold!A$2:B$25,2,FALSE),0)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1</v>
      </c>
    </row>
    <row r="21" spans="1:27" x14ac:dyDescent="0.25">
      <c r="A21" s="171" t="s">
        <v>162</v>
      </c>
      <c r="B21" s="171" t="s">
        <v>229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P21*IFERROR(VLOOKUP(A21,[1]Tørstofindhold!A$2:B$25,2,FALSE),0)</f>
        <v>0</v>
      </c>
      <c r="W21">
        <f>IF(E21=År1,Q21,SUM(P21,Q21))*IFERROR(VLOOKUP(A21,[1]Tørstofindhold!A$2:B$25,2,FALSE),0)</f>
        <v>159138.74629869961</v>
      </c>
      <c r="X21">
        <f>K21*IFERROR(VLOOKUP(A21,[1]Tørstofindhold!A$2:B$25,2,FALSE),0)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1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P22*IFERROR(VLOOKUP(A22,[1]Tørstofindhold!A$2:B$25,2,FALSE),0)</f>
        <v>0</v>
      </c>
      <c r="W22">
        <f>IF(E22=År1,Q22,SUM(P22,Q22))*IFERROR(VLOOKUP(A22,[1]Tørstofindhold!A$2:B$25,2,FALSE),0)</f>
        <v>0</v>
      </c>
      <c r="X22">
        <f>K22*IFERROR(VLOOKUP(A22,[1]Tørstofindhold!A$2:B$25,2,FALSE),0)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x14ac:dyDescent="0.25">
      <c r="A23" s="171" t="s">
        <v>103</v>
      </c>
      <c r="B23" s="171" t="s">
        <v>229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P23*IFERROR(VLOOKUP(A23,[1]Tørstofindhold!A$2:B$25,2,FALSE),0)</f>
        <v>0</v>
      </c>
      <c r="W23">
        <f>IF(E23=År1,Q23,SUM(P23,Q23))*IFERROR(VLOOKUP(A23,[1]Tørstofindhold!A$2:B$25,2,FALSE),0)</f>
        <v>300763.57585499104</v>
      </c>
      <c r="X23">
        <f>K23*IFERROR(VLOOKUP(A23,[1]Tørstofindhold!A$2:B$25,2,FALSE),0)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P24*IFERROR(VLOOKUP(A24,[1]Tørstofindhold!A$2:B$25,2,FALSE),0)</f>
        <v>0</v>
      </c>
      <c r="W24">
        <f>IF(E24=År1,Q24,SUM(P24,Q24))*IFERROR(VLOOKUP(A24,[1]Tørstofindhold!A$2:B$25,2,FALSE),0)</f>
        <v>0</v>
      </c>
      <c r="X24">
        <f>K24*IFERROR(VLOOKUP(A24,[1]Tørstofindhold!A$2:B$25,2,FALSE),0)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P25*IFERROR(VLOOKUP(A25,[1]Tørstofindhold!A$2:B$25,2,FALSE),0)</f>
        <v>0</v>
      </c>
      <c r="W25">
        <f>IF(E25=År1,Q25,SUM(P25,Q25))*IFERROR(VLOOKUP(A25,[1]Tørstofindhold!A$2:B$25,2,FALSE),0)</f>
        <v>0</v>
      </c>
      <c r="X25">
        <f>K25*IFERROR(VLOOKUP(A25,[1]Tørstofindhold!A$2:B$25,2,FALSE),0)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x14ac:dyDescent="0.25">
      <c r="A26" s="171" t="s">
        <v>48</v>
      </c>
      <c r="B26" s="171" t="s">
        <v>226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P26*IFERROR(VLOOKUP(A26,[1]Tørstofindhold!A$2:B$25,2,FALSE),0)</f>
        <v>209264.496776063</v>
      </c>
      <c r="W26">
        <f>IF(E26=År1,Q26,SUM(P26,Q26))*IFERROR(VLOOKUP(A26,[1]Tørstofindhold!A$2:B$25,2,FALSE),0)</f>
        <v>881.45199299967578</v>
      </c>
      <c r="X26">
        <f>K26*IFERROR(VLOOKUP(A26,[1]Tørstofindhold!A$2:B$25,2,FALSE),0)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P27*IFERROR(VLOOKUP(A27,[1]Tørstofindhold!A$2:B$25,2,FALSE),0)</f>
        <v>0</v>
      </c>
      <c r="W27">
        <f>IF(E27=År1,Q27,SUM(P27,Q27))*IFERROR(VLOOKUP(A27,[1]Tørstofindhold!A$2:B$25,2,FALSE),0)</f>
        <v>0</v>
      </c>
      <c r="X27">
        <f>K27*IFERROR(VLOOKUP(A27,[1]Tørstofindhold!A$2:B$25,2,FALSE),0)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x14ac:dyDescent="0.25">
      <c r="A28" s="171" t="s">
        <v>136</v>
      </c>
      <c r="B28" s="171" t="s">
        <v>221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P28*IFERROR(VLOOKUP(A28,[1]Tørstofindhold!A$2:B$25,2,FALSE),0)</f>
        <v>0</v>
      </c>
      <c r="W28">
        <f>IF(E28=År1,Q28,SUM(P28,Q28))*IFERROR(VLOOKUP(A28,[1]Tørstofindhold!A$2:B$25,2,FALSE),0)</f>
        <v>309081.71011804708</v>
      </c>
      <c r="X28">
        <f>K28*IFERROR(VLOOKUP(A28,[1]Tørstofindhold!A$2:B$25,2,FALSE),0)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1</v>
      </c>
    </row>
    <row r="29" spans="1:27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P29*IFERROR(VLOOKUP(A29,[1]Tørstofindhold!A$2:B$25,2,FALSE),0)</f>
        <v>0</v>
      </c>
      <c r="W29">
        <f>IF(E29=År1,Q29,SUM(P29,Q29))*IFERROR(VLOOKUP(A29,[1]Tørstofindhold!A$2:B$25,2,FALSE),0)</f>
        <v>0</v>
      </c>
      <c r="X29">
        <f>K29*IFERROR(VLOOKUP(A29,[1]Tørstofindhold!A$2:B$25,2,FALSE),0)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x14ac:dyDescent="0.25">
      <c r="A30" t="s">
        <v>53</v>
      </c>
      <c r="B30" s="171" t="s">
        <v>223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1289639.1357645364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4.6298044973946864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P30*IFERROR(VLOOKUP(A30,[1]Tørstofindhold!A$2:B$25,2,FALSE),0)</f>
        <v>386891.7407293609</v>
      </c>
      <c r="W30">
        <f>IF(E30=År1,Q30,SUM(P30,Q30))*IFERROR(VLOOKUP(A30,[1]Tørstofindhold!A$2:B$25,2,FALSE),0)</f>
        <v>94462.483882504152</v>
      </c>
      <c r="X30">
        <f>K30*IFERROR(VLOOKUP(A30,[1]Tørstofindhold!A$2:B$25,2,FALSE),0)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P31*IFERROR(VLOOKUP(A31,[1]Tørstofindhold!A$2:B$25,2,FALSE),0)</f>
        <v>0</v>
      </c>
      <c r="W31">
        <f>IF(E31=År1,Q31,SUM(P31,Q31))*IFERROR(VLOOKUP(A31,[1]Tørstofindhold!A$2:B$25,2,FALSE),0)</f>
        <v>0</v>
      </c>
      <c r="X31">
        <f>K31*IFERROR(VLOOKUP(A31,[1]Tørstofindhold!A$2:B$25,2,FALSE),0)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x14ac:dyDescent="0.25">
      <c r="A32" s="171" t="s">
        <v>106</v>
      </c>
      <c r="B32" s="171" t="s">
        <v>225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P32*IFERROR(VLOOKUP(A32,[1]Tørstofindhold!A$2:B$25,2,FALSE),0)</f>
        <v>131.83534701746427</v>
      </c>
      <c r="W32">
        <f>IF(E32=År1,Q32,SUM(P32,Q32))*IFERROR(VLOOKUP(A32,[1]Tørstofindhold!A$2:B$25,2,FALSE),0)</f>
        <v>0</v>
      </c>
      <c r="X32">
        <f>K32*IFERROR(VLOOKUP(A32,[1]Tørstofindhold!A$2:B$25,2,FALSE),0)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P33*IFERROR(VLOOKUP(A33,[1]Tørstofindhold!A$2:B$25,2,FALSE),0)</f>
        <v>0</v>
      </c>
      <c r="W33">
        <f>IF(E33=År1,Q33,SUM(P33,Q33))*IFERROR(VLOOKUP(A33,[1]Tørstofindhold!A$2:B$25,2,FALSE),0)</f>
        <v>0</v>
      </c>
      <c r="X33">
        <f>K33*IFERROR(VLOOKUP(A33,[1]Tørstofindhold!A$2:B$25,2,FALSE),0)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P34*IFERROR(VLOOKUP(A34,[1]Tørstofindhold!A$2:B$25,2,FALSE),0)</f>
        <v>0</v>
      </c>
      <c r="W34">
        <f>IF(E34=År1,Q34,SUM(P34,Q34))*IFERROR(VLOOKUP(A34,[1]Tørstofindhold!A$2:B$25,2,FALSE),0)</f>
        <v>0</v>
      </c>
      <c r="X34">
        <f>K34*IFERROR(VLOOKUP(A34,[1]Tørstofindhold!A$2:B$25,2,FALSE),0)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x14ac:dyDescent="0.25">
      <c r="A35" s="171" t="s">
        <v>95</v>
      </c>
      <c r="B35" s="171" t="s">
        <v>224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P35*IFERROR(VLOOKUP(A35,[1]Tørstofindhold!A$2:B$25,2,FALSE),0)</f>
        <v>0</v>
      </c>
      <c r="W35">
        <f>IF(E35=År1,Q35,SUM(P35,Q35))*IFERROR(VLOOKUP(A35,[1]Tørstofindhold!A$2:B$25,2,FALSE),0)</f>
        <v>70967.814731961684</v>
      </c>
      <c r="X35">
        <f>K35*IFERROR(VLOOKUP(A35,[1]Tørstofindhold!A$2:B$25,2,FALSE),0)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x14ac:dyDescent="0.25">
      <c r="A36" s="171" t="s">
        <v>305</v>
      </c>
      <c r="B36" s="171" t="s">
        <v>311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>G36-SUM(H36:N36)</f>
        <v>0</v>
      </c>
      <c r="P36" s="94">
        <f t="shared" si="4"/>
        <v>0</v>
      </c>
      <c r="Q36" s="180">
        <f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>S36-T36</f>
        <v>0</v>
      </c>
      <c r="V36" s="169">
        <f>P36*IFERROR(VLOOKUP(A36,[1]Tørstofindhold!A$2:B$25,2,FALSE),0)</f>
        <v>0</v>
      </c>
      <c r="W36">
        <f>IF(E36=År1,Q36,SUM(P36,Q36))*IFERROR(VLOOKUP(A36,[1]Tørstofindhold!A$2:B$25,2,FALSE),0)</f>
        <v>0</v>
      </c>
      <c r="X36">
        <f>K36*IFERROR(VLOOKUP(A36,[1]Tørstofindhold!A$2:B$25,2,FALSE),0)</f>
        <v>0</v>
      </c>
      <c r="Y36" s="170">
        <f>W36-X36</f>
        <v>0</v>
      </c>
      <c r="Z36">
        <f t="shared" si="1"/>
        <v>0</v>
      </c>
      <c r="AA36">
        <f t="shared" si="2"/>
        <v>0</v>
      </c>
    </row>
    <row r="37" spans="1:27" x14ac:dyDescent="0.25">
      <c r="A37" s="171" t="s">
        <v>306</v>
      </c>
      <c r="B37" s="171" t="s">
        <v>311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>G37-SUM(H37:N37)</f>
        <v>0</v>
      </c>
      <c r="P37" s="94">
        <f t="shared" si="4"/>
        <v>0</v>
      </c>
      <c r="Q37" s="180">
        <f>SUM(K37,M37)</f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>S37-T37</f>
        <v>0</v>
      </c>
      <c r="V37" s="169">
        <f>P37*IFERROR(VLOOKUP(A37,[1]Tørstofindhold!A$2:B$25,2,FALSE),0)</f>
        <v>0</v>
      </c>
      <c r="W37">
        <f>IF(E37=År1,Q37,SUM(P37,Q37))*IFERROR(VLOOKUP(A37,[1]Tørstofindhold!A$2:B$25,2,FALSE),0)</f>
        <v>0</v>
      </c>
      <c r="X37">
        <f>K37*IFERROR(VLOOKUP(A37,[1]Tørstofindhold!A$2:B$25,2,FALSE),0)</f>
        <v>0</v>
      </c>
      <c r="Y37" s="170">
        <f>W37-X37</f>
        <v>0</v>
      </c>
      <c r="Z37">
        <f t="shared" si="1"/>
        <v>0</v>
      </c>
      <c r="AA37">
        <f t="shared" si="2"/>
        <v>0</v>
      </c>
    </row>
    <row r="38" spans="1:27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P38*IFERROR(VLOOKUP(A38,[1]Tørstofindhold!A$2:B$25,2,FALSE),0)</f>
        <v>0</v>
      </c>
      <c r="W38">
        <f>IF(E38=År1,Q38,SUM(P38,Q38))*IFERROR(VLOOKUP(A38,[1]Tørstofindhold!A$2:B$25,2,FALSE),0)</f>
        <v>0</v>
      </c>
      <c r="X38">
        <f>K38*IFERROR(VLOOKUP(A38,[1]Tørstofindhold!A$2:B$25,2,FALSE),0)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P39*IFERROR(VLOOKUP(A39,[1]Tørstofindhold!A$2:B$25,2,FALSE),0)</f>
        <v>0</v>
      </c>
      <c r="W39">
        <f>IF(E39=År1,Q39,SUM(P39,Q39))*IFERROR(VLOOKUP(A39,[1]Tørstofindhold!A$2:B$25,2,FALSE),0)</f>
        <v>0</v>
      </c>
      <c r="X39">
        <f>K39*IFERROR(VLOOKUP(A39,[1]Tørstofindhold!A$2:B$25,2,FALSE),0)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x14ac:dyDescent="0.25">
      <c r="A40" t="s">
        <v>237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P40*IFERROR(VLOOKUP(A40,[1]Tørstofindhold!A$2:B$25,2,FALSE),0)</f>
        <v>0</v>
      </c>
      <c r="W40">
        <f>IF(E40=År1,Q40,SUM(P40,Q40))*IFERROR(VLOOKUP(A40,[1]Tørstofindhold!A$2:B$25,2,FALSE),0)</f>
        <v>0</v>
      </c>
      <c r="X40">
        <f>K40*IFERROR(VLOOKUP(A40,[1]Tørstofindhold!A$2:B$25,2,FALSE),0)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x14ac:dyDescent="0.25">
      <c r="A41" t="s">
        <v>230</v>
      </c>
      <c r="B41" s="171" t="s">
        <v>230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P41*IFERROR(VLOOKUP(A41,[1]Tørstofindhold!A$2:B$25,2,FALSE),0)</f>
        <v>0</v>
      </c>
      <c r="W41">
        <f>IF(E41=År1,Q41,SUM(P41,Q41))*IFERROR(VLOOKUP(A41,[1]Tørstofindhold!A$2:B$25,2,FALSE),0)</f>
        <v>0</v>
      </c>
      <c r="X41">
        <f>K41*IFERROR(VLOOKUP(A41,[1]Tørstofindhold!A$2:B$25,2,FALSE),0)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x14ac:dyDescent="0.25">
      <c r="A42" t="s">
        <v>52</v>
      </c>
      <c r="B42" s="171" t="s">
        <v>223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P42*IFERROR(VLOOKUP(A42,[1]Tørstofindhold!A$2:B$25,2,FALSE),0)</f>
        <v>0</v>
      </c>
      <c r="W42">
        <f>IF(E42=År1,Q42,SUM(P42,Q42))*IFERROR(VLOOKUP(A42,[1]Tørstofindhold!A$2:B$25,2,FALSE),0)</f>
        <v>828.39359405755624</v>
      </c>
      <c r="X42">
        <f>K42*IFERROR(VLOOKUP(A42,[1]Tørstofindhold!A$2:B$25,2,FALSE),0)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P43*IFERROR(VLOOKUP(A43,[1]Tørstofindhold!A$2:B$25,2,FALSE),0)</f>
        <v>0</v>
      </c>
      <c r="W43">
        <f>IF(E43=År1,Q43,SUM(P43,Q43))*IFERROR(VLOOKUP(A43,[1]Tørstofindhold!A$2:B$25,2,FALSE),0)</f>
        <v>0</v>
      </c>
      <c r="X43">
        <f>K43*IFERROR(VLOOKUP(A43,[1]Tørstofindhold!A$2:B$25,2,FALSE),0)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P44*IFERROR(VLOOKUP(A44,[1]Tørstofindhold!A$2:B$25,2,FALSE),0)</f>
        <v>0</v>
      </c>
      <c r="W44">
        <f>IF(E44=År1,Q44,SUM(P44,Q44))*IFERROR(VLOOKUP(A44,[1]Tørstofindhold!A$2:B$25,2,FALSE),0)</f>
        <v>0</v>
      </c>
      <c r="X44">
        <f>K44*IFERROR(VLOOKUP(A44,[1]Tørstofindhold!A$2:B$25,2,FALSE),0)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x14ac:dyDescent="0.25">
      <c r="A45" s="171" t="s">
        <v>140</v>
      </c>
      <c r="B45" s="171" t="s">
        <v>229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P45*IFERROR(VLOOKUP(A45,[1]Tørstofindhold!A$2:B$25,2,FALSE),0)</f>
        <v>143400.83716653602</v>
      </c>
      <c r="W45">
        <f>IF(E45=År1,Q45,SUM(P45,Q45))*IFERROR(VLOOKUP(A45,[1]Tørstofindhold!A$2:B$25,2,FALSE),0)</f>
        <v>87610.955247949008</v>
      </c>
      <c r="X45">
        <f>K45*IFERROR(VLOOKUP(A45,[1]Tørstofindhold!A$2:B$25,2,FALSE),0)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x14ac:dyDescent="0.25">
      <c r="A46" s="171" t="s">
        <v>135</v>
      </c>
      <c r="B46" s="171" t="s">
        <v>221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P46*IFERROR(VLOOKUP(A46,[1]Tørstofindhold!A$2:B$25,2,FALSE),0)</f>
        <v>0</v>
      </c>
      <c r="W46">
        <f>IF(E46=År1,Q46,SUM(P46,Q46))*IFERROR(VLOOKUP(A46,[1]Tørstofindhold!A$2:B$25,2,FALSE),0)</f>
        <v>126722.10364886111</v>
      </c>
      <c r="X46">
        <f>K46*IFERROR(VLOOKUP(A46,[1]Tørstofindhold!A$2:B$25,2,FALSE),0)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1</v>
      </c>
    </row>
    <row r="47" spans="1:27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P47*IFERROR(VLOOKUP(A47,[1]Tørstofindhold!A$2:B$25,2,FALSE),0)</f>
        <v>0</v>
      </c>
      <c r="W47">
        <f>IF(E47=År1,Q47,SUM(P47,Q47))*IFERROR(VLOOKUP(A47,[1]Tørstofindhold!A$2:B$25,2,FALSE),0)</f>
        <v>0</v>
      </c>
      <c r="X47">
        <f>K47*IFERROR(VLOOKUP(A47,[1]Tørstofindhold!A$2:B$25,2,FALSE),0)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225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P48*IFERROR(VLOOKUP(A48,[1]Tørstofindhold!A$2:B$25,2,FALSE),0)</f>
        <v>11.475</v>
      </c>
      <c r="W48">
        <f>IF(E48=År1,Q48,SUM(P48,Q48))*IFERROR(VLOOKUP(A48,[1]Tørstofindhold!A$2:B$25,2,FALSE),0)</f>
        <v>0</v>
      </c>
      <c r="X48">
        <f>K48*IFERROR(VLOOKUP(A48,[1]Tørstofindhold!A$2:B$25,2,FALSE),0)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P49*IFERROR(VLOOKUP(A49,[1]Tørstofindhold!A$2:B$25,2,FALSE),0)</f>
        <v>0</v>
      </c>
      <c r="W49">
        <f>IF(E49=År1,Q49,SUM(P49,Q49))*IFERROR(VLOOKUP(A49,[1]Tørstofindhold!A$2:B$25,2,FALSE),0)</f>
        <v>0</v>
      </c>
      <c r="X49">
        <f>K49*IFERROR(VLOOKUP(A49,[1]Tørstofindhold!A$2:B$25,2,FALSE),0)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x14ac:dyDescent="0.25">
      <c r="A50" s="171" t="s">
        <v>119</v>
      </c>
      <c r="B50" s="171" t="s">
        <v>224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P50*IFERROR(VLOOKUP(A50,[1]Tørstofindhold!A$2:B$25,2,FALSE),0)</f>
        <v>0</v>
      </c>
      <c r="W50">
        <f ca="1">IF(E50=År1,Q50,SUM(P50,Q50))*IFERROR(VLOOKUP(A50,[1]Tørstofindhold!A$2:B$25,2,FALSE),0)</f>
        <v>1151724.8729790249</v>
      </c>
      <c r="X50">
        <f>K50*IFERROR(VLOOKUP(A50,[1]Tørstofindhold!A$2:B$25,2,FALSE),0)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P51*IFERROR(VLOOKUP(A51,[1]Tørstofindhold!A$2:B$25,2,FALSE),0)</f>
        <v>0</v>
      </c>
      <c r="W51">
        <f>IF(E51=År1,Q51,SUM(P51,Q51))*IFERROR(VLOOKUP(A51,[1]Tørstofindhold!A$2:B$25,2,FALSE),0)</f>
        <v>0</v>
      </c>
      <c r="X51">
        <f>K51*IFERROR(VLOOKUP(A51,[1]Tørstofindhold!A$2:B$25,2,FALSE),0)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x14ac:dyDescent="0.25">
      <c r="A52" s="171" t="str">
        <f t="shared" ref="A52:A83" si="13">A4</f>
        <v>Æg</v>
      </c>
      <c r="B52" s="171" t="str">
        <f t="shared" ref="B52:B83" si="14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5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137289.06413917695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/>
      <c r="K52" s="94"/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137289.06413917695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P52*IFERROR(VLOOKUP(A52,[1]Tørstofindhold!A$2:B$25,2,FALSE),0)</f>
        <v>0</v>
      </c>
      <c r="W52">
        <f>IF(E52=År1,Q52,SUM(P52,Q52))*IFERROR(VLOOKUP(A52,[1]Tørstofindhold!A$2:B$25,2,FALSE),0)</f>
        <v>0</v>
      </c>
      <c r="X52">
        <f>K52*IFERROR(VLOOKUP(A52,[1]Tørstofindhold!A$2:B$25,2,FALSE),0)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x14ac:dyDescent="0.25">
      <c r="A53" s="171" t="str">
        <f t="shared" si="13"/>
        <v>Bælgsæd</v>
      </c>
      <c r="B53" s="171" t="str">
        <f t="shared" si="14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16">D5</f>
        <v>1</v>
      </c>
      <c r="E53" s="171">
        <f t="shared" si="15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481659.22850480652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40228.873469919861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/>
      <c r="K53" s="94"/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441430.35503488668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P53*IFERROR(VLOOKUP(A53,[1]Tørstofindhold!A$2:B$25,2,FALSE),0)</f>
        <v>0</v>
      </c>
      <c r="W53">
        <f>IF(E53=År1,Q53,SUM(P53,Q53))*IFERROR(VLOOKUP(A53,[1]Tørstofindhold!A$2:B$25,2,FALSE),0)</f>
        <v>0</v>
      </c>
      <c r="X53">
        <f>K53*IFERROR(VLOOKUP(A53,[1]Tørstofindhold!A$2:B$25,2,FALSE),0)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x14ac:dyDescent="0.25">
      <c r="A54" s="171" t="str">
        <f t="shared" si="13"/>
        <v>Bioaffald</v>
      </c>
      <c r="B54" s="171" t="str">
        <f t="shared" si="14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6"/>
        <v>0</v>
      </c>
      <c r="E54" s="171">
        <f t="shared" si="15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/>
      <c r="K54" s="94"/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P54*IFERROR(VLOOKUP(A54,[1]Tørstofindhold!A$2:B$25,2,FALSE),0)</f>
        <v>0</v>
      </c>
      <c r="W54">
        <f ca="1">IF(E54=År1,Q54,SUM(P54,Q54))*IFERROR(VLOOKUP(A54,[1]Tørstofindhold!A$2:B$25,2,FALSE),0)</f>
        <v>54623.023275626925</v>
      </c>
      <c r="X54">
        <f>K54*IFERROR(VLOOKUP(A54,[1]Tørstofindhold!A$2:B$25,2,FALSE),0)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x14ac:dyDescent="0.25">
      <c r="A55" s="171" t="str">
        <f t="shared" si="13"/>
        <v>Biogas</v>
      </c>
      <c r="B55" s="171" t="str">
        <f t="shared" si="14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16"/>
        <v>0</v>
      </c>
      <c r="E55" s="171">
        <f t="shared" si="15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249223758.90765765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/>
      <c r="K55" s="94"/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249223758.90765765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249223758.90765765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P55*IFERROR(VLOOKUP(A55,[1]Tørstofindhold!A$2:B$25,2,FALSE),0)</f>
        <v>0</v>
      </c>
      <c r="W55">
        <f ca="1">IF(E55=År1,Q55,SUM(P55,Q55))*IFERROR(VLOOKUP(A55,[1]Tørstofindhold!A$2:B$25,2,FALSE),0)</f>
        <v>0</v>
      </c>
      <c r="X55">
        <f>K55*IFERROR(VLOOKUP(A55,[1]Tørstofindhold!A$2:B$25,2,FALSE),0)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x14ac:dyDescent="0.25">
      <c r="A56" s="171" t="str">
        <f t="shared" si="13"/>
        <v>Biogasgylle</v>
      </c>
      <c r="B56" s="171" t="str">
        <f t="shared" si="14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16"/>
        <v>0</v>
      </c>
      <c r="E56" s="171">
        <f t="shared" si="15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11346933.162854034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/>
      <c r="K56" s="94"/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8903736.5766237658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2443196.5862302687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P56*IFERROR(VLOOKUP(A56,[1]Tørstofindhold!A$2:B$25,2,FALSE),0)</f>
        <v>0</v>
      </c>
      <c r="W56">
        <f>IF(E56=År1,Q56,SUM(P56,Q56))*IFERROR(VLOOKUP(A56,[1]Tørstofindhold!A$2:B$25,2,FALSE),0)</f>
        <v>0</v>
      </c>
      <c r="X56">
        <f>K56*IFERROR(VLOOKUP(A56,[1]Tørstofindhold!A$2:B$25,2,FALSE),0)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x14ac:dyDescent="0.25">
      <c r="A57" s="171" t="str">
        <f t="shared" si="13"/>
        <v>Brun saft</v>
      </c>
      <c r="B57" s="171" t="str">
        <f t="shared" si="14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6"/>
        <v>0</v>
      </c>
      <c r="E57" s="171">
        <f t="shared" si="15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14684775.031360051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/>
      <c r="K57" s="94"/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14684775.031360051</v>
      </c>
      <c r="P57" s="94">
        <f t="shared" si="4"/>
        <v>14684775.031360051</v>
      </c>
      <c r="Q57" s="180">
        <f t="shared" si="10"/>
        <v>0</v>
      </c>
      <c r="R57">
        <f>IFERROR(VLOOKUP(A57,[1]Energiindhold!$A$2:$C$11,3,FALSE),IFERROR(VLOOKUP(A57,[1]Biogasudbytte!$A$2:$B$18,2,FALSE)*[1]Energiindhold!$C$10,0))*P57</f>
        <v>8.3413351517980026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8.3413351517980026</v>
      </c>
      <c r="T57">
        <f>IFERROR(VLOOKUP(A57,[1]Biogasudbytte!$A$2:$B$18,2,FALSE)*[1]Energiindhold!$C$10,0)*K57*IFERROR(VLOOKUP(A57,Biogasanlæg!$F$3:$G$8,2,FALSE),1)</f>
        <v>0</v>
      </c>
      <c r="U57" s="170">
        <f t="shared" si="11"/>
        <v>8.3413351517980026</v>
      </c>
      <c r="V57" s="169">
        <f>P57*IFERROR(VLOOKUP(A57,[1]Tørstofindhold!A$2:B$25,2,FALSE),0)</f>
        <v>627970.72587502829</v>
      </c>
      <c r="W57">
        <f>IF(E57=År1,Q57,SUM(P57,Q57))*IFERROR(VLOOKUP(A57,[1]Tørstofindhold!A$2:B$25,2,FALSE),0)</f>
        <v>627970.72587502829</v>
      </c>
      <c r="X57">
        <f>K57*IFERROR(VLOOKUP(A57,[1]Tørstofindhold!A$2:B$25,2,FALSE),0)</f>
        <v>0</v>
      </c>
      <c r="Y57" s="170">
        <f t="shared" si="12"/>
        <v>627970.72587502829</v>
      </c>
      <c r="Z57">
        <f t="shared" si="1"/>
        <v>0</v>
      </c>
      <c r="AA57">
        <f t="shared" si="2"/>
        <v>1</v>
      </c>
    </row>
    <row r="58" spans="1:27" x14ac:dyDescent="0.25">
      <c r="A58" s="171" t="str">
        <f t="shared" si="13"/>
        <v>Dybstrøelse</v>
      </c>
      <c r="B58" s="171" t="str">
        <f t="shared" si="14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16"/>
        <v>0</v>
      </c>
      <c r="E58" s="171">
        <f t="shared" si="15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2502699.3699625214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/>
      <c r="K58" s="94"/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236862.61894288147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2265836.7510196399</v>
      </c>
      <c r="P58" s="94">
        <f t="shared" si="4"/>
        <v>2265836.7510196399</v>
      </c>
      <c r="Q58" s="180">
        <f t="shared" si="10"/>
        <v>0</v>
      </c>
      <c r="R58">
        <f>IFERROR(VLOOKUP(A58,[1]Energiindhold!$A$2:$C$11,3,FALSE),IFERROR(VLOOKUP(A58,[1]Biogasudbytte!$A$2:$B$18,2,FALSE)*[1]Energiindhold!$C$10,0))*P58</f>
        <v>4.8806123616963042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4.8806123616963042</v>
      </c>
      <c r="T58">
        <f>IFERROR(VLOOKUP(A58,[1]Biogasudbytte!$A$2:$B$18,2,FALSE)*[1]Energiindhold!$C$10,0)*K58*IFERROR(VLOOKUP(A58,Biogasanlæg!$F$3:$G$8,2,FALSE),1)</f>
        <v>0</v>
      </c>
      <c r="U58" s="170">
        <f t="shared" si="11"/>
        <v>4.8806123616963042</v>
      </c>
      <c r="V58" s="169">
        <f>P58*IFERROR(VLOOKUP(A58,[1]Tørstofindhold!A$2:B$25,2,FALSE),0)</f>
        <v>679751.02530589199</v>
      </c>
      <c r="W58">
        <f>IF(E58=År1,Q58,SUM(P58,Q58))*IFERROR(VLOOKUP(A58,[1]Tørstofindhold!A$2:B$25,2,FALSE),0)</f>
        <v>679751.02530589199</v>
      </c>
      <c r="X58">
        <f>K58*IFERROR(VLOOKUP(A58,[1]Tørstofindhold!A$2:B$25,2,FALSE),0)</f>
        <v>0</v>
      </c>
      <c r="Y58" s="170">
        <f t="shared" si="12"/>
        <v>679751.02530589199</v>
      </c>
      <c r="Z58">
        <f t="shared" si="1"/>
        <v>0</v>
      </c>
      <c r="AA58">
        <f t="shared" si="2"/>
        <v>1</v>
      </c>
    </row>
    <row r="59" spans="1:27" x14ac:dyDescent="0.25">
      <c r="A59" s="171" t="str">
        <f t="shared" si="13"/>
        <v>Fiberfraktion</v>
      </c>
      <c r="B59" s="171" t="str">
        <f t="shared" si="14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16"/>
        <v>0</v>
      </c>
      <c r="E59" s="171">
        <f t="shared" si="15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10343047.24970635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0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/>
      <c r="K59" s="94"/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10343047.24970635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P59*IFERROR(VLOOKUP(A59,[1]Tørstofindhold!A$2:B$25,2,FALSE),0)</f>
        <v>0</v>
      </c>
      <c r="W59">
        <f>IF(E59=År1,Q59,SUM(P59,Q59))*IFERROR(VLOOKUP(A59,[1]Tørstofindhold!A$2:B$25,2,FALSE),0)</f>
        <v>0</v>
      </c>
      <c r="X59">
        <f>K59*IFERROR(VLOOKUP(A59,[1]Tørstofindhold!A$2:B$25,2,FALSE),0)</f>
        <v>0</v>
      </c>
      <c r="Y59" s="170">
        <f t="shared" si="12"/>
        <v>0</v>
      </c>
      <c r="Z59">
        <f t="shared" si="1"/>
        <v>0</v>
      </c>
      <c r="AA59">
        <f t="shared" si="2"/>
        <v>1</v>
      </c>
    </row>
    <row r="60" spans="1:27" x14ac:dyDescent="0.25">
      <c r="A60" s="171" t="str">
        <f t="shared" si="13"/>
        <v>Fjerkrægylle</v>
      </c>
      <c r="B60" s="171" t="str">
        <f t="shared" si="14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16"/>
        <v>0</v>
      </c>
      <c r="E60" s="171">
        <f t="shared" si="15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8084.5006505504907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/>
      <c r="K60" s="94"/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2021.1251626376227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6063.3754879128683</v>
      </c>
      <c r="P60" s="94">
        <f t="shared" si="4"/>
        <v>6063.3754879128683</v>
      </c>
      <c r="Q60" s="180">
        <f t="shared" si="10"/>
        <v>0</v>
      </c>
      <c r="R60">
        <f>IFERROR(VLOOKUP(A60,[1]Energiindhold!$A$2:$C$11,3,FALSE),IFERROR(VLOOKUP(A60,[1]Biogasudbytte!$A$2:$B$18,2,FALSE)*[1]Energiindhold!$C$10,0))*P60</f>
        <v>2.8515448582105427E-3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2.8515448582105427E-3</v>
      </c>
      <c r="T60">
        <f>IFERROR(VLOOKUP(A60,[1]Biogasudbytte!$A$2:$B$18,2,FALSE)*[1]Energiindhold!$C$10,0)*K60*IFERROR(VLOOKUP(A60,Biogasanlæg!$F$3:$G$8,2,FALSE),1)</f>
        <v>0</v>
      </c>
      <c r="U60" s="170">
        <f t="shared" si="11"/>
        <v>2.8515448582105427E-3</v>
      </c>
      <c r="V60" s="169">
        <f>P60*IFERROR(VLOOKUP(A60,[1]Tørstofindhold!A$2:B$25,2,FALSE),0)</f>
        <v>381.99265573851068</v>
      </c>
      <c r="W60">
        <f>IF(E60=År1,Q60,SUM(P60,Q60))*IFERROR(VLOOKUP(A60,[1]Tørstofindhold!A$2:B$25,2,FALSE),0)</f>
        <v>381.99265573851068</v>
      </c>
      <c r="X60">
        <f>K60*IFERROR(VLOOKUP(A60,[1]Tørstofindhold!A$2:B$25,2,FALSE),0)</f>
        <v>0</v>
      </c>
      <c r="Y60" s="170">
        <f t="shared" si="12"/>
        <v>381.99265573851068</v>
      </c>
      <c r="Z60">
        <f t="shared" si="1"/>
        <v>0</v>
      </c>
      <c r="AA60">
        <f t="shared" si="2"/>
        <v>1</v>
      </c>
    </row>
    <row r="61" spans="1:27" x14ac:dyDescent="0.25">
      <c r="A61" s="171" t="str">
        <f t="shared" si="13"/>
        <v>Fjerkrækød</v>
      </c>
      <c r="B61" s="171" t="str">
        <f t="shared" si="14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6"/>
        <v>1</v>
      </c>
      <c r="E61" s="171">
        <f t="shared" si="15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98611.398262488423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/>
      <c r="K61" s="94"/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98611.398262488423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P61*IFERROR(VLOOKUP(A61,[1]Tørstofindhold!A$2:B$25,2,FALSE),0)</f>
        <v>0</v>
      </c>
      <c r="W61">
        <f>IF(E61=År1,Q61,SUM(P61,Q61))*IFERROR(VLOOKUP(A61,[1]Tørstofindhold!A$2:B$25,2,FALSE),0)</f>
        <v>0</v>
      </c>
      <c r="X61">
        <f>K61*IFERROR(VLOOKUP(A61,[1]Tørstofindhold!A$2:B$25,2,FALSE),0)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x14ac:dyDescent="0.25">
      <c r="A62" s="171" t="str">
        <f t="shared" si="13"/>
        <v>Frø</v>
      </c>
      <c r="B62" s="171" t="str">
        <f t="shared" si="14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6"/>
        <v>0</v>
      </c>
      <c r="E62" s="171">
        <f t="shared" si="15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664815.58983177762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/>
      <c r="K62" s="94"/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664815.58983177762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P62*IFERROR(VLOOKUP(A62,[1]Tørstofindhold!A$2:B$25,2,FALSE),0)</f>
        <v>0</v>
      </c>
      <c r="W62">
        <f>IF(E62=År1,Q62,SUM(P62,Q62))*IFERROR(VLOOKUP(A62,[1]Tørstofindhold!A$2:B$25,2,FALSE),0)</f>
        <v>0</v>
      </c>
      <c r="X62">
        <f>K62*IFERROR(VLOOKUP(A62,[1]Tørstofindhold!A$2:B$25,2,FALSE),0)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x14ac:dyDescent="0.25">
      <c r="A63" s="171" t="str">
        <f t="shared" si="13"/>
        <v>Frugt</v>
      </c>
      <c r="B63" s="171" t="str">
        <f t="shared" si="14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16"/>
        <v>1</v>
      </c>
      <c r="E63" s="171">
        <f t="shared" si="15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430871.84710127779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/>
      <c r="K63" s="94"/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430871.84710127779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P63*IFERROR(VLOOKUP(A63,[1]Tørstofindhold!A$2:B$25,2,FALSE),0)</f>
        <v>0</v>
      </c>
      <c r="W63">
        <f>IF(E63=År1,Q63,SUM(P63,Q63))*IFERROR(VLOOKUP(A63,[1]Tørstofindhold!A$2:B$25,2,FALSE),0)</f>
        <v>0</v>
      </c>
      <c r="X63">
        <f>K63*IFERROR(VLOOKUP(A63,[1]Tørstofindhold!A$2:B$25,2,FALSE),0)</f>
        <v>0</v>
      </c>
      <c r="Y63" s="170">
        <f t="shared" si="12"/>
        <v>0</v>
      </c>
      <c r="Z63">
        <f t="shared" si="1"/>
        <v>0</v>
      </c>
      <c r="AA63">
        <f t="shared" si="2"/>
        <v>1</v>
      </c>
    </row>
    <row r="64" spans="1:27" x14ac:dyDescent="0.25">
      <c r="A64" s="171" t="str">
        <f t="shared" si="13"/>
        <v>Glycerin</v>
      </c>
      <c r="B64" s="171" t="str">
        <f t="shared" si="14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6"/>
        <v>0</v>
      </c>
      <c r="E64" s="171">
        <f t="shared" si="15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/>
      <c r="K64" s="94"/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0</v>
      </c>
      <c r="P64" s="94">
        <f t="shared" si="4"/>
        <v>0</v>
      </c>
      <c r="Q64" s="180">
        <f t="shared" si="10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11"/>
        <v>0</v>
      </c>
      <c r="V64" s="169">
        <f>P64*IFERROR(VLOOKUP(A64,[1]Tørstofindhold!A$2:B$25,2,FALSE),0)</f>
        <v>0</v>
      </c>
      <c r="W64">
        <f>IF(E64=År1,Q64,SUM(P64,Q64))*IFERROR(VLOOKUP(A64,[1]Tørstofindhold!A$2:B$25,2,FALSE),0)</f>
        <v>0</v>
      </c>
      <c r="X64">
        <f>K64*IFERROR(VLOOKUP(A64,[1]Tørstofindhold!A$2:B$25,2,FALSE),0)</f>
        <v>0</v>
      </c>
      <c r="Y64" s="170">
        <f t="shared" si="12"/>
        <v>0</v>
      </c>
      <c r="Z64">
        <f t="shared" si="1"/>
        <v>0</v>
      </c>
      <c r="AA64">
        <f t="shared" si="2"/>
        <v>0</v>
      </c>
    </row>
    <row r="65" spans="1:27" x14ac:dyDescent="0.25">
      <c r="A65" s="171" t="str">
        <f t="shared" si="13"/>
        <v>Græs</v>
      </c>
      <c r="B65" s="171" t="str">
        <f t="shared" si="14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16"/>
        <v>0</v>
      </c>
      <c r="E65" s="171">
        <f t="shared" si="15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21414098.756239291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7632870.0065635424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/>
      <c r="K65" s="94"/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30051588.08806663</v>
      </c>
      <c r="O65" s="179">
        <f t="shared" si="9"/>
        <v>-16270359.338390883</v>
      </c>
      <c r="P65" s="94">
        <f t="shared" si="4"/>
        <v>0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0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0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0</v>
      </c>
      <c r="V65" s="169">
        <f>P65*IFERROR(VLOOKUP(A65,[1]Tørstofindhold!A$2:B$25,2,FALSE),0)</f>
        <v>0</v>
      </c>
      <c r="W65">
        <f>IF(E65=År1,Q65,SUM(P65,Q65))*IFERROR(VLOOKUP(A65,[1]Tørstofindhold!A$2:B$25,2,FALSE),0)</f>
        <v>0</v>
      </c>
      <c r="X65">
        <f>K65*IFERROR(VLOOKUP(A65,[1]Tørstofindhold!A$2:B$25,2,FALSE),0)</f>
        <v>0</v>
      </c>
      <c r="Y65" s="170">
        <f t="shared" si="12"/>
        <v>0</v>
      </c>
      <c r="Z65">
        <f t="shared" si="1"/>
        <v>1</v>
      </c>
      <c r="AA65">
        <f t="shared" si="2"/>
        <v>0</v>
      </c>
    </row>
    <row r="66" spans="1:27" x14ac:dyDescent="0.25">
      <c r="A66" s="171" t="str">
        <f t="shared" si="13"/>
        <v>Græsprotein</v>
      </c>
      <c r="B66" s="171" t="str">
        <f t="shared" si="14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6"/>
        <v>0</v>
      </c>
      <c r="E66" s="171">
        <f t="shared" si="15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5023765.8070002273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5023765.8070002273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/>
      <c r="K66" s="94"/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P66*IFERROR(VLOOKUP(A66,[1]Tørstofindhold!A$2:B$25,2,FALSE),0)</f>
        <v>0</v>
      </c>
      <c r="W66">
        <f>IF(E66=År1,Q66,SUM(P66,Q66))*IFERROR(VLOOKUP(A66,[1]Tørstofindhold!A$2:B$25,2,FALSE),0)</f>
        <v>0</v>
      </c>
      <c r="X66">
        <f>K66*IFERROR(VLOOKUP(A66,[1]Tørstofindhold!A$2:B$25,2,FALSE),0)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x14ac:dyDescent="0.25">
      <c r="A67" s="171" t="str">
        <f t="shared" si="13"/>
        <v>Grøntsager</v>
      </c>
      <c r="B67" s="171" t="str">
        <f t="shared" si="14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16"/>
        <v>1</v>
      </c>
      <c r="E67" s="171">
        <f t="shared" si="15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281423.99402613594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/>
      <c r="K67" s="94"/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281423.99402613594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P67*IFERROR(VLOOKUP(A67,[1]Tørstofindhold!A$2:B$25,2,FALSE),0)</f>
        <v>0</v>
      </c>
      <c r="W67">
        <f>IF(E67=År1,Q67,SUM(P67,Q67))*IFERROR(VLOOKUP(A67,[1]Tørstofindhold!A$2:B$25,2,FALSE),0)</f>
        <v>0</v>
      </c>
      <c r="X67">
        <f>K67*IFERROR(VLOOKUP(A67,[1]Tørstofindhold!A$2:B$25,2,FALSE),0)</f>
        <v>0</v>
      </c>
      <c r="Y67" s="170">
        <f t="shared" si="12"/>
        <v>0</v>
      </c>
      <c r="Z67">
        <f t="shared" si="1"/>
        <v>0</v>
      </c>
      <c r="AA67">
        <f t="shared" si="2"/>
        <v>1</v>
      </c>
    </row>
    <row r="68" spans="1:27" x14ac:dyDescent="0.25">
      <c r="A68" s="171" t="str">
        <f t="shared" si="13"/>
        <v>Halm</v>
      </c>
      <c r="B68" s="171" t="str">
        <f t="shared" si="14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6"/>
        <v>0</v>
      </c>
      <c r="E68" s="171">
        <f t="shared" si="15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1977104.2150518387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482187.74728528946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479636.33491702302</v>
      </c>
      <c r="J68" s="390"/>
      <c r="K68" s="390"/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1015280.1328495261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17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1015280.1328495261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10.493738833103313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10.493738833103313</v>
      </c>
      <c r="V68" s="169">
        <f>P68*IFERROR(VLOOKUP(A68,[1]Tørstofindhold!A$2:B$25,2,FALSE),0)</f>
        <v>0</v>
      </c>
      <c r="W68">
        <f>IF(E68=År1,Q68,SUM(P68,Q68))*IFERROR(VLOOKUP(A68,[1]Tørstofindhold!A$2:B$25,2,FALSE),0)</f>
        <v>862988.11292209721</v>
      </c>
      <c r="X68">
        <f>K68*IFERROR(VLOOKUP(A68,[1]Tørstofindhold!A$2:B$25,2,FALSE),0)</f>
        <v>0</v>
      </c>
      <c r="Y68" s="170">
        <f t="shared" si="12"/>
        <v>862988.11292209721</v>
      </c>
      <c r="Z68">
        <f t="shared" ref="Z68:Z131" si="18">IF(SUMIFS($O$4:$O$291,$A$4:$A$291,A68,$E$4:$E$291,E68)&lt;0,1,0)</f>
        <v>0</v>
      </c>
      <c r="AA68">
        <f t="shared" ref="AA68:AA131" si="19">IF(SUMIFS($O$4:$O$291,$A$4:$A$291,A68,$E$4:$E$291,E68)&gt;0,1,0)</f>
        <v>0</v>
      </c>
    </row>
    <row r="69" spans="1:27" x14ac:dyDescent="0.25">
      <c r="A69" s="171" t="str">
        <f t="shared" si="13"/>
        <v>Have/parkaffald</v>
      </c>
      <c r="B69" s="171" t="str">
        <f t="shared" si="14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16"/>
        <v>0</v>
      </c>
      <c r="E69" s="171">
        <f t="shared" si="15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/>
      <c r="K69" s="94"/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526734.10986839118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17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9.4033734851313486</v>
      </c>
      <c r="T69">
        <f>IFERROR(VLOOKUP(A69,[1]Biogasudbytte!$A$2:$B$18,2,FALSE)*[1]Energiindhold!$C$10,0)*K69*IFERROR(VLOOKUP(A69,Biogasanlæg!$F$3:$G$8,2,FALSE),1)</f>
        <v>0</v>
      </c>
      <c r="U69" s="170">
        <f t="shared" si="11"/>
        <v>9.4033734851313486</v>
      </c>
      <c r="V69" s="169">
        <f>P69*IFERROR(VLOOKUP(A69,[1]Tørstofindhold!A$2:B$25,2,FALSE),0)</f>
        <v>0</v>
      </c>
      <c r="W69">
        <f>IF(E69=År1,Q69,SUM(P69,Q69))*IFERROR(VLOOKUP(A69,[1]Tørstofindhold!A$2:B$25,2,FALSE),0)</f>
        <v>158020.23296051734</v>
      </c>
      <c r="X69">
        <f>K69*IFERROR(VLOOKUP(A69,[1]Tørstofindhold!A$2:B$25,2,FALSE),0)</f>
        <v>0</v>
      </c>
      <c r="Y69" s="170">
        <f t="shared" si="12"/>
        <v>158020.23296051734</v>
      </c>
      <c r="Z69">
        <f t="shared" si="18"/>
        <v>0</v>
      </c>
      <c r="AA69">
        <f t="shared" si="19"/>
        <v>0</v>
      </c>
    </row>
    <row r="70" spans="1:27" x14ac:dyDescent="0.25">
      <c r="A70" s="171" t="str">
        <f t="shared" si="13"/>
        <v>Import af foder</v>
      </c>
      <c r="B70" s="171" t="str">
        <f t="shared" si="14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16"/>
        <v>1</v>
      </c>
      <c r="E70" s="171">
        <f t="shared" si="15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1942953.6559396777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/>
      <c r="K70" s="94"/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-1942953.6559396777</v>
      </c>
      <c r="P70" s="94">
        <f t="shared" si="17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P70*IFERROR(VLOOKUP(A70,[1]Tørstofindhold!A$2:B$25,2,FALSE),0)</f>
        <v>0</v>
      </c>
      <c r="W70">
        <f>IF(E70=År1,Q70,SUM(P70,Q70))*IFERROR(VLOOKUP(A70,[1]Tørstofindhold!A$2:B$25,2,FALSE),0)</f>
        <v>0</v>
      </c>
      <c r="X70">
        <f>K70*IFERROR(VLOOKUP(A70,[1]Tørstofindhold!A$2:B$25,2,FALSE),0)</f>
        <v>0</v>
      </c>
      <c r="Y70" s="170">
        <f t="shared" si="12"/>
        <v>0</v>
      </c>
      <c r="Z70">
        <f t="shared" si="18"/>
        <v>1</v>
      </c>
      <c r="AA70">
        <f t="shared" si="19"/>
        <v>0</v>
      </c>
    </row>
    <row r="71" spans="1:27" x14ac:dyDescent="0.25">
      <c r="A71" s="171" t="str">
        <f t="shared" si="13"/>
        <v>Industriaffald</v>
      </c>
      <c r="B71" s="171" t="str">
        <f t="shared" si="14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16"/>
        <v>0</v>
      </c>
      <c r="E71" s="171">
        <f t="shared" si="15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405778.5574192928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/>
      <c r="K71" s="94"/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405778.5574192928</v>
      </c>
      <c r="P71" s="94">
        <f t="shared" si="17"/>
        <v>405778.5574192928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1.7582912405102604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1.7582912405102604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1.7582912405102604</v>
      </c>
      <c r="V71" s="169">
        <f>P71*IFERROR(VLOOKUP(A71,[1]Tørstofindhold!A$2:B$25,2,FALSE),0)</f>
        <v>170426.99411610299</v>
      </c>
      <c r="W71">
        <f>IF(E71=År1,Q71,SUM(P71,Q71))*IFERROR(VLOOKUP(A71,[1]Tørstofindhold!A$2:B$25,2,FALSE),0)</f>
        <v>170426.99411610299</v>
      </c>
      <c r="X71">
        <f>K71*IFERROR(VLOOKUP(A71,[1]Tørstofindhold!A$2:B$25,2,FALSE),0)</f>
        <v>0</v>
      </c>
      <c r="Y71" s="170">
        <f t="shared" si="12"/>
        <v>170426.99411610299</v>
      </c>
      <c r="Z71">
        <f t="shared" si="18"/>
        <v>0</v>
      </c>
      <c r="AA71">
        <f t="shared" si="19"/>
        <v>1</v>
      </c>
    </row>
    <row r="72" spans="1:27" x14ac:dyDescent="0.25">
      <c r="A72" s="171" t="str">
        <f t="shared" si="13"/>
        <v>Juletræer</v>
      </c>
      <c r="B72" s="171" t="str">
        <f t="shared" si="14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6"/>
        <v>0</v>
      </c>
      <c r="E72" s="171">
        <f t="shared" si="15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603118.80667157366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/>
      <c r="K72" s="94"/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603118.80667157366</v>
      </c>
      <c r="P72" s="94">
        <f t="shared" si="17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P72*IFERROR(VLOOKUP(A72,[1]Tørstofindhold!A$2:B$25,2,FALSE),0)</f>
        <v>0</v>
      </c>
      <c r="W72">
        <f>IF(E72=År1,Q72,SUM(P72,Q72))*IFERROR(VLOOKUP(A72,[1]Tørstofindhold!A$2:B$25,2,FALSE),0)</f>
        <v>0</v>
      </c>
      <c r="X72">
        <f>K72*IFERROR(VLOOKUP(A72,[1]Tørstofindhold!A$2:B$25,2,FALSE),0)</f>
        <v>0</v>
      </c>
      <c r="Y72" s="170">
        <f t="shared" si="12"/>
        <v>0</v>
      </c>
      <c r="Z72">
        <f t="shared" si="18"/>
        <v>0</v>
      </c>
      <c r="AA72">
        <f t="shared" si="19"/>
        <v>1</v>
      </c>
    </row>
    <row r="73" spans="1:27" x14ac:dyDescent="0.25">
      <c r="A73" s="171" t="str">
        <f t="shared" si="13"/>
        <v>Kartofler</v>
      </c>
      <c r="B73" s="171" t="str">
        <f t="shared" si="14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16"/>
        <v>1</v>
      </c>
      <c r="E73" s="171">
        <f t="shared" si="15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2242614.2909873207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/>
      <c r="K73" s="94"/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2242614.2909873207</v>
      </c>
      <c r="P73" s="94">
        <f t="shared" si="17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P73*IFERROR(VLOOKUP(A73,[1]Tørstofindhold!A$2:B$25,2,FALSE),0)</f>
        <v>0</v>
      </c>
      <c r="W73">
        <f>IF(E73=År1,Q73,SUM(P73,Q73))*IFERROR(VLOOKUP(A73,[1]Tørstofindhold!A$2:B$25,2,FALSE),0)</f>
        <v>0</v>
      </c>
      <c r="X73">
        <f>K73*IFERROR(VLOOKUP(A73,[1]Tørstofindhold!A$2:B$25,2,FALSE),0)</f>
        <v>0</v>
      </c>
      <c r="Y73" s="170">
        <f t="shared" si="12"/>
        <v>0</v>
      </c>
      <c r="Z73">
        <f t="shared" si="18"/>
        <v>0</v>
      </c>
      <c r="AA73">
        <f t="shared" si="19"/>
        <v>1</v>
      </c>
    </row>
    <row r="74" spans="1:27" x14ac:dyDescent="0.25">
      <c r="A74" s="171" t="str">
        <f t="shared" si="13"/>
        <v>Korn</v>
      </c>
      <c r="B74" s="171" t="str">
        <f t="shared" si="14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16"/>
        <v>1</v>
      </c>
      <c r="E74" s="171">
        <f t="shared" si="15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4220540.2072265251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2691129.5009707427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/>
      <c r="K74" s="94"/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1529410.7062557824</v>
      </c>
      <c r="P74" s="94">
        <f t="shared" si="17"/>
        <v>1529410.7062557824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5.2380175514271796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5.2380175514271796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5.2380175514271796</v>
      </c>
      <c r="V74" s="169">
        <f>P74*IFERROR(VLOOKUP(A74,[1]Tørstofindhold!A$2:B$25,2,FALSE),0)</f>
        <v>474117.31893929251</v>
      </c>
      <c r="W74">
        <f>IF(E74=År1,Q74,SUM(P74,Q74))*IFERROR(VLOOKUP(A74,[1]Tørstofindhold!A$2:B$25,2,FALSE),0)</f>
        <v>474117.31893929251</v>
      </c>
      <c r="X74">
        <f>K74*IFERROR(VLOOKUP(A74,[1]Tørstofindhold!A$2:B$25,2,FALSE),0)</f>
        <v>0</v>
      </c>
      <c r="Y74" s="170">
        <f t="shared" si="12"/>
        <v>474117.31893929251</v>
      </c>
      <c r="Z74">
        <f t="shared" si="18"/>
        <v>0</v>
      </c>
      <c r="AA74">
        <f t="shared" si="19"/>
        <v>1</v>
      </c>
    </row>
    <row r="75" spans="1:27" x14ac:dyDescent="0.25">
      <c r="A75" s="171" t="str">
        <f t="shared" si="13"/>
        <v>Kunstgødning</v>
      </c>
      <c r="B75" s="171" t="str">
        <f t="shared" si="14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16"/>
        <v>0</v>
      </c>
      <c r="E75" s="171">
        <f t="shared" si="15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/>
      <c r="K75" s="94"/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995222.8905503545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-995222.8905503545</v>
      </c>
      <c r="P75" s="94">
        <f t="shared" si="17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P75*IFERROR(VLOOKUP(A75,[1]Tørstofindhold!A$2:B$25,2,FALSE),0)</f>
        <v>0</v>
      </c>
      <c r="W75">
        <f>IF(E75=År1,Q75,SUM(P75,Q75))*IFERROR(VLOOKUP(A75,[1]Tørstofindhold!A$2:B$25,2,FALSE),0)</f>
        <v>0</v>
      </c>
      <c r="X75">
        <f>K75*IFERROR(VLOOKUP(A75,[1]Tørstofindhold!A$2:B$25,2,FALSE),0)</f>
        <v>0</v>
      </c>
      <c r="Y75" s="170">
        <f t="shared" si="12"/>
        <v>0</v>
      </c>
      <c r="Z75">
        <f t="shared" ca="1" si="18"/>
        <v>1</v>
      </c>
      <c r="AA75">
        <f t="shared" ca="1" si="19"/>
        <v>0</v>
      </c>
    </row>
    <row r="76" spans="1:27" x14ac:dyDescent="0.25">
      <c r="A76" s="171" t="str">
        <f t="shared" si="13"/>
        <v>Kvæggylle</v>
      </c>
      <c r="B76" s="171" t="str">
        <f t="shared" si="14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16"/>
        <v>0</v>
      </c>
      <c r="E76" s="171">
        <f t="shared" si="15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5203199.1539231511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/>
      <c r="K76" s="94"/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1300799.7884807878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3902399.3654423635</v>
      </c>
      <c r="P76" s="94">
        <f t="shared" si="17"/>
        <v>3902399.3654423635</v>
      </c>
      <c r="Q76" s="180">
        <f t="shared" si="10"/>
        <v>0</v>
      </c>
      <c r="R76">
        <f>IFERROR(VLOOKUP(A76,[1]Energiindhold!$A$2:$C$11,3,FALSE),IFERROR(VLOOKUP(A76,[1]Biogasudbytte!$A$2:$B$18,2,FALSE)*[1]Energiindhold!$C$10,0))*P76</f>
        <v>1.9753555347932703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1.9753555347932703</v>
      </c>
      <c r="T76">
        <f>IFERROR(VLOOKUP(A76,[1]Biogasudbytte!$A$2:$B$18,2,FALSE)*[1]Energiindhold!$C$10,0)*K76*IFERROR(VLOOKUP(A76,Biogasanlæg!$F$3:$G$8,2,FALSE),1)</f>
        <v>0</v>
      </c>
      <c r="U76" s="170">
        <f t="shared" si="11"/>
        <v>1.9753555347932703</v>
      </c>
      <c r="V76" s="169">
        <f>P76*IFERROR(VLOOKUP(A76,[1]Tørstofindhold!A$2:B$25,2,FALSE),0)</f>
        <v>296582.35177361959</v>
      </c>
      <c r="W76">
        <f>IF(E76=År1,Q76,SUM(P76,Q76))*IFERROR(VLOOKUP(A76,[1]Tørstofindhold!A$2:B$25,2,FALSE),0)</f>
        <v>296582.35177361959</v>
      </c>
      <c r="X76">
        <f>K76*IFERROR(VLOOKUP(A76,[1]Tørstofindhold!A$2:B$25,2,FALSE),0)</f>
        <v>0</v>
      </c>
      <c r="Y76" s="170">
        <f t="shared" si="12"/>
        <v>296582.35177361959</v>
      </c>
      <c r="Z76">
        <f t="shared" si="18"/>
        <v>0</v>
      </c>
      <c r="AA76">
        <f t="shared" si="19"/>
        <v>1</v>
      </c>
    </row>
    <row r="77" spans="1:27" x14ac:dyDescent="0.25">
      <c r="A77" s="171" t="str">
        <f t="shared" si="13"/>
        <v>Mælk til foder</v>
      </c>
      <c r="B77" s="171" t="str">
        <f t="shared" si="14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16"/>
        <v>0</v>
      </c>
      <c r="E77" s="171">
        <f t="shared" si="15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608682.64604356373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609921.6300278171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/>
      <c r="K77" s="94"/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-1238.9839842533693</v>
      </c>
      <c r="P77" s="94">
        <f t="shared" si="17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P77*IFERROR(VLOOKUP(A77,[1]Tørstofindhold!A$2:B$25,2,FALSE),0)</f>
        <v>0</v>
      </c>
      <c r="W77">
        <f>IF(E77=År1,Q77,SUM(P77,Q77))*IFERROR(VLOOKUP(A77,[1]Tørstofindhold!A$2:B$25,2,FALSE),0)</f>
        <v>0</v>
      </c>
      <c r="X77">
        <f>K77*IFERROR(VLOOKUP(A77,[1]Tørstofindhold!A$2:B$25,2,FALSE),0)</f>
        <v>0</v>
      </c>
      <c r="Y77" s="170">
        <f t="shared" si="12"/>
        <v>0</v>
      </c>
      <c r="Z77">
        <f t="shared" si="18"/>
        <v>1</v>
      </c>
      <c r="AA77">
        <f t="shared" si="19"/>
        <v>0</v>
      </c>
    </row>
    <row r="78" spans="1:27" x14ac:dyDescent="0.25">
      <c r="A78" s="171" t="str">
        <f t="shared" si="13"/>
        <v>Majs</v>
      </c>
      <c r="B78" s="171" t="str">
        <f t="shared" si="14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16"/>
        <v>1</v>
      </c>
      <c r="E78" s="171">
        <f t="shared" si="15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3841740.8343041693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3525167.7695113979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/>
      <c r="K78" s="94"/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316573.06479277136</v>
      </c>
      <c r="P78" s="94">
        <f t="shared" si="17"/>
        <v>316573.06479277136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1.1364973026060492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1.1364973026060492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1.1364973026060492</v>
      </c>
      <c r="V78" s="169">
        <f>P78*IFERROR(VLOOKUP(A78,[1]Tørstofindhold!A$2:B$25,2,FALSE),0)</f>
        <v>94971.919437831399</v>
      </c>
      <c r="W78">
        <f>IF(E78=År1,Q78,SUM(P78,Q78))*IFERROR(VLOOKUP(A78,[1]Tørstofindhold!A$2:B$25,2,FALSE),0)</f>
        <v>94971.919437831399</v>
      </c>
      <c r="X78">
        <f>K78*IFERROR(VLOOKUP(A78,[1]Tørstofindhold!A$2:B$25,2,FALSE),0)</f>
        <v>0</v>
      </c>
      <c r="Y78" s="170">
        <f t="shared" si="12"/>
        <v>94971.919437831399</v>
      </c>
      <c r="Z78">
        <f t="shared" si="18"/>
        <v>0</v>
      </c>
      <c r="AA78">
        <f t="shared" si="19"/>
        <v>1</v>
      </c>
    </row>
    <row r="79" spans="1:27" x14ac:dyDescent="0.25">
      <c r="A79" s="171" t="str">
        <f t="shared" si="13"/>
        <v>Mejeriprodukter</v>
      </c>
      <c r="B79" s="171" t="str">
        <f t="shared" si="14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16"/>
        <v>1</v>
      </c>
      <c r="E79" s="171">
        <f t="shared" si="15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1174441.6070577153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/>
      <c r="K79" s="94"/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1174441.6070577153</v>
      </c>
      <c r="P79" s="94">
        <f t="shared" si="17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P79*IFERROR(VLOOKUP(A79,[1]Tørstofindhold!A$2:B$25,2,FALSE),0)</f>
        <v>0</v>
      </c>
      <c r="W79">
        <f>IF(E79=År1,Q79,SUM(P79,Q79))*IFERROR(VLOOKUP(A79,[1]Tørstofindhold!A$2:B$25,2,FALSE),0)</f>
        <v>0</v>
      </c>
      <c r="X79">
        <f>K79*IFERROR(VLOOKUP(A79,[1]Tørstofindhold!A$2:B$25,2,FALSE),0)</f>
        <v>0</v>
      </c>
      <c r="Y79" s="170">
        <f t="shared" si="12"/>
        <v>0</v>
      </c>
      <c r="Z79">
        <f t="shared" si="18"/>
        <v>0</v>
      </c>
      <c r="AA79">
        <f t="shared" si="19"/>
        <v>1</v>
      </c>
    </row>
    <row r="80" spans="1:27" x14ac:dyDescent="0.25">
      <c r="A80" s="171" t="str">
        <f t="shared" si="13"/>
        <v>Muslinger</v>
      </c>
      <c r="B80" s="171" t="str">
        <f t="shared" si="14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16"/>
        <v>1</v>
      </c>
      <c r="E80" s="171">
        <f t="shared" si="15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/>
      <c r="K80" s="94"/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17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P80*IFERROR(VLOOKUP(A80,[1]Tørstofindhold!A$2:B$25,2,FALSE),0)</f>
        <v>131.83534701746427</v>
      </c>
      <c r="W80">
        <f>IF(E80=År1,Q80,SUM(P80,Q80))*IFERROR(VLOOKUP(A80,[1]Tørstofindhold!A$2:B$25,2,FALSE),0)</f>
        <v>131.83534701746427</v>
      </c>
      <c r="X80">
        <f>K80*IFERROR(VLOOKUP(A80,[1]Tørstofindhold!A$2:B$25,2,FALSE),0)</f>
        <v>0</v>
      </c>
      <c r="Y80" s="170">
        <f t="shared" si="12"/>
        <v>131.83534701746427</v>
      </c>
      <c r="Z80">
        <f t="shared" si="18"/>
        <v>0</v>
      </c>
      <c r="AA80">
        <f t="shared" si="19"/>
        <v>1</v>
      </c>
    </row>
    <row r="81" spans="1:27" x14ac:dyDescent="0.25">
      <c r="A81" s="171" t="str">
        <f t="shared" si="13"/>
        <v>Oksekød</v>
      </c>
      <c r="B81" s="171" t="str">
        <f t="shared" si="14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6"/>
        <v>1</v>
      </c>
      <c r="E81" s="171">
        <f t="shared" si="15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67205.8563118069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/>
      <c r="K81" s="94"/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67205.8563118069</v>
      </c>
      <c r="P81" s="94">
        <f t="shared" si="17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P81*IFERROR(VLOOKUP(A81,[1]Tørstofindhold!A$2:B$25,2,FALSE),0)</f>
        <v>0</v>
      </c>
      <c r="W81">
        <f>IF(E81=År1,Q81,SUM(P81,Q81))*IFERROR(VLOOKUP(A81,[1]Tørstofindhold!A$2:B$25,2,FALSE),0)</f>
        <v>0</v>
      </c>
      <c r="X81">
        <f>K81*IFERROR(VLOOKUP(A81,[1]Tørstofindhold!A$2:B$25,2,FALSE),0)</f>
        <v>0</v>
      </c>
      <c r="Y81" s="170">
        <f t="shared" si="12"/>
        <v>0</v>
      </c>
      <c r="Z81">
        <f t="shared" si="18"/>
        <v>0</v>
      </c>
      <c r="AA81">
        <f t="shared" si="19"/>
        <v>1</v>
      </c>
    </row>
    <row r="82" spans="1:27" x14ac:dyDescent="0.25">
      <c r="A82" s="171" t="str">
        <f t="shared" si="13"/>
        <v>Øvrige</v>
      </c>
      <c r="B82" s="171" t="str">
        <f t="shared" si="14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16"/>
        <v>1</v>
      </c>
      <c r="E82" s="171">
        <f t="shared" si="15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918139.94844972179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/>
      <c r="K82" s="94"/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918139.94844972179</v>
      </c>
      <c r="P82" s="94">
        <f t="shared" si="17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P82*IFERROR(VLOOKUP(A82,[1]Tørstofindhold!A$2:B$25,2,FALSE),0)</f>
        <v>0</v>
      </c>
      <c r="W82">
        <f>IF(E82=År1,Q82,SUM(P82,Q82))*IFERROR(VLOOKUP(A82,[1]Tørstofindhold!A$2:B$25,2,FALSE),0)</f>
        <v>0</v>
      </c>
      <c r="X82">
        <f>K82*IFERROR(VLOOKUP(A82,[1]Tørstofindhold!A$2:B$25,2,FALSE),0)</f>
        <v>0</v>
      </c>
      <c r="Y82" s="170">
        <f t="shared" si="12"/>
        <v>0</v>
      </c>
      <c r="Z82">
        <f t="shared" si="18"/>
        <v>0</v>
      </c>
      <c r="AA82">
        <f t="shared" si="19"/>
        <v>1</v>
      </c>
    </row>
    <row r="83" spans="1:27" x14ac:dyDescent="0.25">
      <c r="A83" s="171" t="str">
        <f t="shared" si="13"/>
        <v>Pil &amp; poppel</v>
      </c>
      <c r="B83" s="171" t="str">
        <f t="shared" si="14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6"/>
        <v>0</v>
      </c>
      <c r="E83" s="171">
        <f t="shared" si="15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792652.16456581966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/>
      <c r="K83" s="94"/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792652.16456581966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0">G83-SUM(H83:N83)</f>
        <v>0</v>
      </c>
      <c r="P83" s="94">
        <f t="shared" si="17"/>
        <v>0</v>
      </c>
      <c r="Q83" s="180">
        <f t="shared" ref="Q83:Q150" si="21">SUM(K83,M83)</f>
        <v>792652.16456581966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14.584799828011079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2">S83-T83</f>
        <v>14.584799828011079</v>
      </c>
      <c r="V83" s="169">
        <f>P83*IFERROR(VLOOKUP(A83,[1]Tørstofindhold!A$2:B$25,2,FALSE),0)</f>
        <v>0</v>
      </c>
      <c r="W83">
        <f>IF(E83=År1,Q83,SUM(P83,Q83))*IFERROR(VLOOKUP(A83,[1]Tørstofindhold!A$2:B$25,2,FALSE),0)</f>
        <v>328950.64829481521</v>
      </c>
      <c r="X83">
        <f>K83*IFERROR(VLOOKUP(A83,[1]Tørstofindhold!A$2:B$25,2,FALSE),0)</f>
        <v>0</v>
      </c>
      <c r="Y83" s="170">
        <f t="shared" ref="Y83:Y150" si="23">W83-X83</f>
        <v>328950.64829481521</v>
      </c>
      <c r="Z83">
        <f t="shared" si="18"/>
        <v>0</v>
      </c>
      <c r="AA83">
        <f t="shared" si="19"/>
        <v>0</v>
      </c>
    </row>
    <row r="84" spans="1:27" x14ac:dyDescent="0.25">
      <c r="A84" s="171" t="str">
        <f>A36</f>
        <v>Pyrolysegas</v>
      </c>
      <c r="B84" s="171" t="str">
        <f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6"/>
        <v>0</v>
      </c>
      <c r="E84" s="171">
        <f t="shared" si="15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/>
      <c r="K84" s="94"/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>G84-SUM(H84:N84)</f>
        <v>0</v>
      </c>
      <c r="P84" s="94">
        <f t="shared" si="17"/>
        <v>0</v>
      </c>
      <c r="Q84" s="180">
        <f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>S84-T84</f>
        <v>0</v>
      </c>
      <c r="V84" s="169">
        <f>P84*IFERROR(VLOOKUP(A84,[1]Tørstofindhold!A$2:B$25,2,FALSE),0)</f>
        <v>0</v>
      </c>
      <c r="W84">
        <f>IF(E84=År1,Q84,SUM(P84,Q84))*IFERROR(VLOOKUP(A84,[1]Tørstofindhold!A$2:B$25,2,FALSE),0)</f>
        <v>0</v>
      </c>
      <c r="X84">
        <f>K84*IFERROR(VLOOKUP(A84,[1]Tørstofindhold!A$2:B$25,2,FALSE),0)</f>
        <v>0</v>
      </c>
      <c r="Y84" s="170">
        <f>W84-X84</f>
        <v>0</v>
      </c>
      <c r="Z84">
        <f t="shared" si="18"/>
        <v>0</v>
      </c>
      <c r="AA84">
        <f t="shared" si="19"/>
        <v>0</v>
      </c>
    </row>
    <row r="85" spans="1:27" x14ac:dyDescent="0.25">
      <c r="A85" s="171" t="str">
        <f>A37</f>
        <v>Pyrolyseolie</v>
      </c>
      <c r="B85" s="171" t="str">
        <f>IF(B37&lt;&gt;"",B37,"")</f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16"/>
        <v>0</v>
      </c>
      <c r="E85" s="171">
        <f t="shared" si="15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/>
      <c r="K85" s="94"/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>G85-SUM(H85:N85)</f>
        <v>0</v>
      </c>
      <c r="P85" s="94">
        <f t="shared" si="17"/>
        <v>0</v>
      </c>
      <c r="Q85" s="180">
        <f>SUM(K85,M85)</f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>S85-T85</f>
        <v>0</v>
      </c>
      <c r="V85" s="169">
        <f>P85*IFERROR(VLOOKUP(A85,[1]Tørstofindhold!A$2:B$25,2,FALSE),0)</f>
        <v>0</v>
      </c>
      <c r="W85">
        <f>IF(E85=År1,Q85,SUM(P85,Q85))*IFERROR(VLOOKUP(A85,[1]Tørstofindhold!A$2:B$25,2,FALSE),0)</f>
        <v>0</v>
      </c>
      <c r="X85">
        <f>K85*IFERROR(VLOOKUP(A85,[1]Tørstofindhold!A$2:B$25,2,FALSE),0)</f>
        <v>0</v>
      </c>
      <c r="Y85" s="170">
        <f>W85-X85</f>
        <v>0</v>
      </c>
      <c r="Z85">
        <f t="shared" si="18"/>
        <v>0</v>
      </c>
      <c r="AA85">
        <f t="shared" si="19"/>
        <v>0</v>
      </c>
    </row>
    <row r="86" spans="1:27" x14ac:dyDescent="0.25">
      <c r="A86" s="171" t="str">
        <f t="shared" ref="A86:A131" si="24">A38</f>
        <v>Råmælk</v>
      </c>
      <c r="B86" s="171" t="str">
        <f t="shared" ref="B86:B131" si="2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6"/>
        <v>0</v>
      </c>
      <c r="E86" s="171">
        <f t="shared" si="15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1828845.3877961836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/>
      <c r="K86" s="94"/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0"/>
        <v>1828845.3877961836</v>
      </c>
      <c r="P86" s="94">
        <f t="shared" si="17"/>
        <v>0</v>
      </c>
      <c r="Q86" s="180">
        <f t="shared" si="21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2"/>
        <v>0</v>
      </c>
      <c r="V86" s="169">
        <f>P86*IFERROR(VLOOKUP(A86,[1]Tørstofindhold!A$2:B$25,2,FALSE),0)</f>
        <v>0</v>
      </c>
      <c r="W86">
        <f>IF(E86=År1,Q86,SUM(P86,Q86))*IFERROR(VLOOKUP(A86,[1]Tørstofindhold!A$2:B$25,2,FALSE),0)</f>
        <v>0</v>
      </c>
      <c r="X86">
        <f>K86*IFERROR(VLOOKUP(A86,[1]Tørstofindhold!A$2:B$25,2,FALSE),0)</f>
        <v>0</v>
      </c>
      <c r="Y86" s="170">
        <f t="shared" si="23"/>
        <v>0</v>
      </c>
      <c r="Z86">
        <f t="shared" si="18"/>
        <v>0</v>
      </c>
      <c r="AA86">
        <f t="shared" si="19"/>
        <v>1</v>
      </c>
    </row>
    <row r="87" spans="1:27" x14ac:dyDescent="0.25">
      <c r="A87" s="171" t="str">
        <f t="shared" si="24"/>
        <v>Raps</v>
      </c>
      <c r="B87" s="171" t="str">
        <f t="shared" si="2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6"/>
        <v>0</v>
      </c>
      <c r="E87" s="171">
        <f t="shared" si="15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647982.39082629455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/>
      <c r="K87" s="94"/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647982.39082629455</v>
      </c>
      <c r="O87" s="179">
        <f t="shared" si="20"/>
        <v>0</v>
      </c>
      <c r="P87" s="94">
        <f t="shared" si="17"/>
        <v>0</v>
      </c>
      <c r="Q87" s="180">
        <f t="shared" si="21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2"/>
        <v>0</v>
      </c>
      <c r="V87" s="169">
        <f>P87*IFERROR(VLOOKUP(A87,[1]Tørstofindhold!A$2:B$25,2,FALSE),0)</f>
        <v>0</v>
      </c>
      <c r="W87">
        <f>IF(E87=År1,Q87,SUM(P87,Q87))*IFERROR(VLOOKUP(A87,[1]Tørstofindhold!A$2:B$25,2,FALSE),0)</f>
        <v>0</v>
      </c>
      <c r="X87">
        <f>K87*IFERROR(VLOOKUP(A87,[1]Tørstofindhold!A$2:B$25,2,FALSE),0)</f>
        <v>0</v>
      </c>
      <c r="Y87" s="170">
        <f t="shared" si="23"/>
        <v>0</v>
      </c>
      <c r="Z87">
        <f t="shared" si="18"/>
        <v>0</v>
      </c>
      <c r="AA87">
        <f t="shared" si="19"/>
        <v>0</v>
      </c>
    </row>
    <row r="88" spans="1:27" x14ac:dyDescent="0.25">
      <c r="A88" s="171" t="str">
        <f t="shared" si="24"/>
        <v>Rapskage</v>
      </c>
      <c r="B88" s="171" t="str">
        <f t="shared" si="2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16"/>
        <v>0</v>
      </c>
      <c r="E88" s="171">
        <f t="shared" si="15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323991.19541314727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133537.51054598394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/>
      <c r="K88" s="94"/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0"/>
        <v>190453.68486716333</v>
      </c>
      <c r="P88" s="94">
        <f t="shared" si="17"/>
        <v>0</v>
      </c>
      <c r="Q88" s="180">
        <f t="shared" si="21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2"/>
        <v>0</v>
      </c>
      <c r="V88" s="169">
        <f>P88*IFERROR(VLOOKUP(A88,[1]Tørstofindhold!A$2:B$25,2,FALSE),0)</f>
        <v>0</v>
      </c>
      <c r="W88">
        <f>IF(E88=År1,Q88,SUM(P88,Q88))*IFERROR(VLOOKUP(A88,[1]Tørstofindhold!A$2:B$25,2,FALSE),0)</f>
        <v>0</v>
      </c>
      <c r="X88">
        <f>K88*IFERROR(VLOOKUP(A88,[1]Tørstofindhold!A$2:B$25,2,FALSE),0)</f>
        <v>0</v>
      </c>
      <c r="Y88" s="170">
        <f t="shared" si="23"/>
        <v>0</v>
      </c>
      <c r="Z88">
        <f t="shared" si="18"/>
        <v>0</v>
      </c>
      <c r="AA88">
        <f t="shared" si="19"/>
        <v>1</v>
      </c>
    </row>
    <row r="89" spans="1:27" x14ac:dyDescent="0.25">
      <c r="A89" s="171" t="str">
        <f t="shared" si="24"/>
        <v>Rapsolie</v>
      </c>
      <c r="B89" s="171" t="str">
        <f t="shared" si="2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6"/>
        <v>1</v>
      </c>
      <c r="E89" s="171">
        <f t="shared" si="15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207354.36506441425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/>
      <c r="K89" s="94"/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207354.36506441425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0"/>
        <v>0</v>
      </c>
      <c r="P89" s="94">
        <f t="shared" si="17"/>
        <v>0</v>
      </c>
      <c r="Q89" s="180">
        <f t="shared" si="21"/>
        <v>207354.36506441425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7.257402777254498</v>
      </c>
      <c r="T89">
        <f>IFERROR(VLOOKUP(A89,[1]Biogasudbytte!$A$2:$B$18,2,FALSE)*[1]Energiindhold!$C$10,0)*K89*IFERROR(VLOOKUP(A89,Biogasanlæg!$F$3:$G$8,2,FALSE),1)</f>
        <v>0</v>
      </c>
      <c r="U89" s="170">
        <f t="shared" si="22"/>
        <v>7.257402777254498</v>
      </c>
      <c r="V89" s="169">
        <f>P89*IFERROR(VLOOKUP(A89,[1]Tørstofindhold!A$2:B$25,2,FALSE),0)</f>
        <v>0</v>
      </c>
      <c r="W89">
        <f>IF(E89=År1,Q89,SUM(P89,Q89))*IFERROR(VLOOKUP(A89,[1]Tørstofindhold!A$2:B$25,2,FALSE),0)</f>
        <v>0</v>
      </c>
      <c r="X89">
        <f>K89*IFERROR(VLOOKUP(A89,[1]Tørstofindhold!A$2:B$25,2,FALSE),0)</f>
        <v>0</v>
      </c>
      <c r="Y89" s="170">
        <f t="shared" si="23"/>
        <v>0</v>
      </c>
      <c r="Z89">
        <f t="shared" si="18"/>
        <v>0</v>
      </c>
      <c r="AA89">
        <f t="shared" si="19"/>
        <v>0</v>
      </c>
    </row>
    <row r="90" spans="1:27" x14ac:dyDescent="0.25">
      <c r="A90" s="171" t="str">
        <f t="shared" si="24"/>
        <v>Roer</v>
      </c>
      <c r="B90" s="171" t="str">
        <f t="shared" si="2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16"/>
        <v>1</v>
      </c>
      <c r="E90" s="171">
        <f t="shared" si="15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2550745.2722111917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5144644.6526032425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/>
      <c r="K90" s="94"/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0"/>
        <v>-2593899.3803920508</v>
      </c>
      <c r="P90" s="94">
        <f t="shared" si="17"/>
        <v>0</v>
      </c>
      <c r="Q90" s="180">
        <f t="shared" si="21"/>
        <v>0</v>
      </c>
      <c r="R90">
        <f>IFERROR(VLOOKUP(A90,[1]Energiindhold!$A$2:$C$11,3,FALSE),IFERROR(VLOOKUP(A90,[1]Biogasudbytte!$A$2:$B$18,2,FALSE)*[1]Energiindhold!$C$10,0))*P90</f>
        <v>0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0</v>
      </c>
      <c r="T90">
        <f>IFERROR(VLOOKUP(A90,[1]Biogasudbytte!$A$2:$B$18,2,FALSE)*[1]Energiindhold!$C$10,0)*K90*IFERROR(VLOOKUP(A90,Biogasanlæg!$F$3:$G$8,2,FALSE),1)</f>
        <v>0</v>
      </c>
      <c r="U90" s="170">
        <f t="shared" si="22"/>
        <v>0</v>
      </c>
      <c r="V90" s="169">
        <f>P90*IFERROR(VLOOKUP(A90,[1]Tørstofindhold!A$2:B$25,2,FALSE),0)</f>
        <v>0</v>
      </c>
      <c r="W90">
        <f>IF(E90=År1,Q90,SUM(P90,Q90))*IFERROR(VLOOKUP(A90,[1]Tørstofindhold!A$2:B$25,2,FALSE),0)</f>
        <v>0</v>
      </c>
      <c r="X90">
        <f>K90*IFERROR(VLOOKUP(A90,[1]Tørstofindhold!A$2:B$25,2,FALSE),0)</f>
        <v>0</v>
      </c>
      <c r="Y90" s="170">
        <f t="shared" si="23"/>
        <v>0</v>
      </c>
      <c r="Z90">
        <f t="shared" si="18"/>
        <v>1</v>
      </c>
      <c r="AA90">
        <f t="shared" si="19"/>
        <v>0</v>
      </c>
    </row>
    <row r="91" spans="1:27" x14ac:dyDescent="0.25">
      <c r="A91" s="171" t="str">
        <f t="shared" si="24"/>
        <v>Slagteriaffald til andet</v>
      </c>
      <c r="B91" s="171" t="str">
        <f t="shared" si="2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6"/>
        <v>0</v>
      </c>
      <c r="E91" s="171">
        <f t="shared" si="15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108671.64339484723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/>
      <c r="K91" s="94"/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0"/>
        <v>108671.64339484723</v>
      </c>
      <c r="P91" s="94">
        <f t="shared" si="17"/>
        <v>0</v>
      </c>
      <c r="Q91" s="180">
        <f t="shared" si="21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2"/>
        <v>0</v>
      </c>
      <c r="V91" s="169">
        <f>P91*IFERROR(VLOOKUP(A91,[1]Tørstofindhold!A$2:B$25,2,FALSE),0)</f>
        <v>0</v>
      </c>
      <c r="W91">
        <f>IF(E91=År1,Q91,SUM(P91,Q91))*IFERROR(VLOOKUP(A91,[1]Tørstofindhold!A$2:B$25,2,FALSE),0)</f>
        <v>0</v>
      </c>
      <c r="X91">
        <f>K91*IFERROR(VLOOKUP(A91,[1]Tørstofindhold!A$2:B$25,2,FALSE),0)</f>
        <v>0</v>
      </c>
      <c r="Y91" s="170">
        <f t="shared" si="23"/>
        <v>0</v>
      </c>
      <c r="Z91">
        <f t="shared" si="18"/>
        <v>0</v>
      </c>
      <c r="AA91">
        <f t="shared" si="19"/>
        <v>1</v>
      </c>
    </row>
    <row r="92" spans="1:27" x14ac:dyDescent="0.25">
      <c r="A92" s="171" t="str">
        <f t="shared" si="24"/>
        <v>Slagteriaffald til foder</v>
      </c>
      <c r="B92" s="171" t="str">
        <f t="shared" si="2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16"/>
        <v>0</v>
      </c>
      <c r="E92" s="171">
        <f t="shared" si="15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69619.838788847192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27571.701941246847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/>
      <c r="K92" s="94"/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0"/>
        <v>42048.136847600341</v>
      </c>
      <c r="P92" s="94">
        <f t="shared" si="17"/>
        <v>0</v>
      </c>
      <c r="Q92" s="180">
        <f t="shared" si="21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2"/>
        <v>0</v>
      </c>
      <c r="V92" s="169">
        <f>P92*IFERROR(VLOOKUP(A92,[1]Tørstofindhold!A$2:B$25,2,FALSE),0)</f>
        <v>0</v>
      </c>
      <c r="W92">
        <f>IF(E92=År1,Q92,SUM(P92,Q92))*IFERROR(VLOOKUP(A92,[1]Tørstofindhold!A$2:B$25,2,FALSE),0)</f>
        <v>0</v>
      </c>
      <c r="X92">
        <f>K92*IFERROR(VLOOKUP(A92,[1]Tørstofindhold!A$2:B$25,2,FALSE),0)</f>
        <v>0</v>
      </c>
      <c r="Y92" s="170">
        <f t="shared" si="23"/>
        <v>0</v>
      </c>
      <c r="Z92">
        <f t="shared" si="18"/>
        <v>0</v>
      </c>
      <c r="AA92">
        <f t="shared" si="19"/>
        <v>1</v>
      </c>
    </row>
    <row r="93" spans="1:27" x14ac:dyDescent="0.25">
      <c r="A93" s="171" t="str">
        <f t="shared" si="24"/>
        <v>Spildevandsslam</v>
      </c>
      <c r="B93" s="171" t="str">
        <f t="shared" si="2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6"/>
        <v>0</v>
      </c>
      <c r="E93" s="171">
        <f t="shared" si="15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3897871.3438154077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/>
      <c r="K93" s="94"/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0"/>
        <v>3897871.3438154077</v>
      </c>
      <c r="P93" s="94">
        <f t="shared" si="17"/>
        <v>3897871.3438154077</v>
      </c>
      <c r="Q93" s="180">
        <f t="shared" si="21"/>
        <v>0</v>
      </c>
      <c r="R93">
        <f>IFERROR(VLOOKUP(A93,[1]Energiindhold!$A$2:$C$11,3,FALSE),IFERROR(VLOOKUP(A93,[1]Biogasudbytte!$A$2:$B$18,2,FALSE)*[1]Energiindhold!$C$10,0))*P93</f>
        <v>1.9450767792773269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1.9450767792773269</v>
      </c>
      <c r="T93">
        <f>IFERROR(VLOOKUP(A93,[1]Biogasudbytte!$A$2:$B$18,2,FALSE)*[1]Energiindhold!$C$10,0)*K93*IFERROR(VLOOKUP(A93,Biogasanlæg!$F$3:$G$8,2,FALSE),1)</f>
        <v>0</v>
      </c>
      <c r="U93" s="170">
        <f t="shared" si="22"/>
        <v>1.9450767792773269</v>
      </c>
      <c r="V93" s="169">
        <f>P93*IFERROR(VLOOKUP(A93,[1]Tørstofindhold!A$2:B$25,2,FALSE),0)</f>
        <v>233872.28062892446</v>
      </c>
      <c r="W93">
        <f>IF(E93=År1,Q93,SUM(P93,Q93))*IFERROR(VLOOKUP(A93,[1]Tørstofindhold!A$2:B$25,2,FALSE),0)</f>
        <v>233872.28062892446</v>
      </c>
      <c r="X93">
        <f>K93*IFERROR(VLOOKUP(A93,[1]Tørstofindhold!A$2:B$25,2,FALSE),0)</f>
        <v>0</v>
      </c>
      <c r="Y93" s="170">
        <f t="shared" si="23"/>
        <v>233872.28062892446</v>
      </c>
      <c r="Z93">
        <f t="shared" si="18"/>
        <v>0</v>
      </c>
      <c r="AA93">
        <f t="shared" si="19"/>
        <v>1</v>
      </c>
    </row>
    <row r="94" spans="1:27" x14ac:dyDescent="0.25">
      <c r="A94" s="171" t="str">
        <f t="shared" si="24"/>
        <v>Svinegylle</v>
      </c>
      <c r="B94" s="171" t="str">
        <f t="shared" si="2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16"/>
        <v>0</v>
      </c>
      <c r="E94" s="171">
        <f t="shared" si="15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6772351.9428086244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/>
      <c r="K94" s="94"/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1693087.9857021561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0"/>
        <v>5079263.9571064683</v>
      </c>
      <c r="P94" s="94">
        <f t="shared" si="17"/>
        <v>5079263.9571064683</v>
      </c>
      <c r="Q94" s="180">
        <f t="shared" si="21"/>
        <v>0</v>
      </c>
      <c r="R94">
        <f>IFERROR(VLOOKUP(A94,[1]Energiindhold!$A$2:$C$11,3,FALSE),IFERROR(VLOOKUP(A94,[1]Biogasudbytte!$A$2:$B$18,2,FALSE)*[1]Energiindhold!$C$10,0))*P94</f>
        <v>2.188146912721467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2.188146912721467</v>
      </c>
      <c r="T94">
        <f>IFERROR(VLOOKUP(A94,[1]Biogasudbytte!$A$2:$B$18,2,FALSE)*[1]Energiindhold!$C$10,0)*K94*IFERROR(VLOOKUP(A94,Biogasanlæg!$F$3:$G$8,2,FALSE),1)</f>
        <v>0</v>
      </c>
      <c r="U94" s="170">
        <f t="shared" si="22"/>
        <v>2.188146912721467</v>
      </c>
      <c r="V94" s="169">
        <f>P94*IFERROR(VLOOKUP(A94,[1]Tørstofindhold!A$2:B$25,2,FALSE),0)</f>
        <v>253963.19785532344</v>
      </c>
      <c r="W94">
        <f>IF(E94=År1,Q94,SUM(P94,Q94))*IFERROR(VLOOKUP(A94,[1]Tørstofindhold!A$2:B$25,2,FALSE),0)</f>
        <v>253963.19785532344</v>
      </c>
      <c r="X94">
        <f>K94*IFERROR(VLOOKUP(A94,[1]Tørstofindhold!A$2:B$25,2,FALSE),0)</f>
        <v>0</v>
      </c>
      <c r="Y94" s="170">
        <f t="shared" si="23"/>
        <v>253963.19785532344</v>
      </c>
      <c r="Z94">
        <f t="shared" si="18"/>
        <v>0</v>
      </c>
      <c r="AA94">
        <f t="shared" si="19"/>
        <v>1</v>
      </c>
    </row>
    <row r="95" spans="1:27" x14ac:dyDescent="0.25">
      <c r="A95" s="171" t="str">
        <f t="shared" si="24"/>
        <v>Svinekød</v>
      </c>
      <c r="B95" s="171" t="str">
        <f t="shared" si="2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16"/>
        <v>1</v>
      </c>
      <c r="E95" s="171">
        <f t="shared" si="15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732389.99616601155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/>
      <c r="K95" s="94"/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0"/>
        <v>732389.99616601155</v>
      </c>
      <c r="P95" s="94">
        <f t="shared" si="17"/>
        <v>0</v>
      </c>
      <c r="Q95" s="180">
        <f t="shared" si="21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2"/>
        <v>0</v>
      </c>
      <c r="V95" s="169">
        <f>P95*IFERROR(VLOOKUP(A95,[1]Tørstofindhold!A$2:B$25,2,FALSE),0)</f>
        <v>0</v>
      </c>
      <c r="W95">
        <f>IF(E95=År1,Q95,SUM(P95,Q95))*IFERROR(VLOOKUP(A95,[1]Tørstofindhold!A$2:B$25,2,FALSE),0)</f>
        <v>0</v>
      </c>
      <c r="X95">
        <f>K95*IFERROR(VLOOKUP(A95,[1]Tørstofindhold!A$2:B$25,2,FALSE),0)</f>
        <v>0</v>
      </c>
      <c r="Y95" s="170">
        <f t="shared" si="23"/>
        <v>0</v>
      </c>
      <c r="Z95">
        <f t="shared" si="18"/>
        <v>0</v>
      </c>
      <c r="AA95">
        <f t="shared" si="19"/>
        <v>1</v>
      </c>
    </row>
    <row r="96" spans="1:27" x14ac:dyDescent="0.25">
      <c r="A96" s="171" t="str">
        <f t="shared" si="24"/>
        <v>Tang</v>
      </c>
      <c r="B96" s="171" t="str">
        <f t="shared" si="2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6"/>
        <v>1</v>
      </c>
      <c r="E96" s="171">
        <f t="shared" si="15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76.5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/>
      <c r="K96" s="94"/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0"/>
        <v>76.5</v>
      </c>
      <c r="P96" s="94">
        <f t="shared" si="17"/>
        <v>76.5</v>
      </c>
      <c r="Q96" s="180">
        <f t="shared" si="21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2"/>
        <v>6.8658750000000004E-5</v>
      </c>
      <c r="V96" s="169">
        <f>P96*IFERROR(VLOOKUP(A96,[1]Tørstofindhold!A$2:B$25,2,FALSE),0)</f>
        <v>11.475</v>
      </c>
      <c r="W96">
        <f>IF(E96=År1,Q96,SUM(P96,Q96))*IFERROR(VLOOKUP(A96,[1]Tørstofindhold!A$2:B$25,2,FALSE),0)</f>
        <v>11.475</v>
      </c>
      <c r="X96">
        <f>K96*IFERROR(VLOOKUP(A96,[1]Tørstofindhold!A$2:B$25,2,FALSE),0)</f>
        <v>0</v>
      </c>
      <c r="Y96" s="170">
        <f t="shared" si="23"/>
        <v>11.475</v>
      </c>
      <c r="Z96">
        <f t="shared" si="18"/>
        <v>0</v>
      </c>
      <c r="AA96">
        <f t="shared" si="19"/>
        <v>1</v>
      </c>
    </row>
    <row r="97" spans="1:27" x14ac:dyDescent="0.25">
      <c r="A97" s="171" t="str">
        <f t="shared" si="24"/>
        <v>Total til biogas</v>
      </c>
      <c r="B97" s="171" t="str">
        <f t="shared" si="2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6"/>
        <v>0</v>
      </c>
      <c r="E97" s="171">
        <f t="shared" si="15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/>
      <c r="K97" s="94"/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0"/>
        <v>0</v>
      </c>
      <c r="P97" s="94">
        <f t="shared" si="17"/>
        <v>0</v>
      </c>
      <c r="Q97" s="180">
        <f t="shared" si="21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2"/>
        <v>0</v>
      </c>
      <c r="V97" s="169">
        <f>P97*IFERROR(VLOOKUP(A97,[1]Tørstofindhold!A$2:B$25,2,FALSE),0)</f>
        <v>0</v>
      </c>
      <c r="W97">
        <f>IF(E97=År1,Q97,SUM(P97,Q97))*IFERROR(VLOOKUP(A97,[1]Tørstofindhold!A$2:B$25,2,FALSE),0)</f>
        <v>0</v>
      </c>
      <c r="X97">
        <f>K97*IFERROR(VLOOKUP(A97,[1]Tørstofindhold!A$2:B$25,2,FALSE),0)</f>
        <v>0</v>
      </c>
      <c r="Y97" s="170">
        <f t="shared" si="23"/>
        <v>0</v>
      </c>
      <c r="Z97">
        <f t="shared" si="18"/>
        <v>0</v>
      </c>
      <c r="AA97">
        <f t="shared" si="19"/>
        <v>0</v>
      </c>
    </row>
    <row r="98" spans="1:27" x14ac:dyDescent="0.25">
      <c r="A98" s="171" t="str">
        <f t="shared" si="24"/>
        <v>Træ til energi</v>
      </c>
      <c r="B98" s="171" t="str">
        <f t="shared" si="2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16"/>
        <v>0</v>
      </c>
      <c r="E98" s="171">
        <f t="shared" si="15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2215801.6184005174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/>
      <c r="K98" s="94"/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2215801.6184005174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0"/>
        <v>0</v>
      </c>
      <c r="P98" s="94">
        <f t="shared" ca="1" si="17"/>
        <v>0</v>
      </c>
      <c r="Q98" s="180">
        <f t="shared" ca="1" si="21"/>
        <v>2215801.6184005174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32.114873426737361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2"/>
        <v>32.114873426737361</v>
      </c>
      <c r="V98" s="169">
        <f ca="1">P98*IFERROR(VLOOKUP(A98,[1]Tørstofindhold!A$2:B$25,2,FALSE),0)</f>
        <v>0</v>
      </c>
      <c r="W98">
        <f ca="1">IF(E98=År1,Q98,SUM(P98,Q98))*IFERROR(VLOOKUP(A98,[1]Tørstofindhold!A$2:B$25,2,FALSE),0)</f>
        <v>1095898.5504339226</v>
      </c>
      <c r="X98">
        <f>K98*IFERROR(VLOOKUP(A98,[1]Tørstofindhold!A$2:B$25,2,FALSE),0)</f>
        <v>0</v>
      </c>
      <c r="Y98" s="170">
        <f t="shared" ca="1" si="23"/>
        <v>1095898.5504339226</v>
      </c>
      <c r="Z98">
        <f t="shared" ca="1" si="18"/>
        <v>0</v>
      </c>
      <c r="AA98">
        <f t="shared" ca="1" si="19"/>
        <v>0</v>
      </c>
    </row>
    <row r="99" spans="1:27" x14ac:dyDescent="0.25">
      <c r="A99" s="171" t="str">
        <f t="shared" si="24"/>
        <v>Træmaterialer</v>
      </c>
      <c r="B99" s="171" t="str">
        <f t="shared" si="2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16"/>
        <v>0</v>
      </c>
      <c r="E99" s="171">
        <f t="shared" si="15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613452.88379897492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/>
      <c r="K99" s="94"/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613452.88379897492</v>
      </c>
      <c r="O99" s="179">
        <f t="shared" ca="1" si="20"/>
        <v>0</v>
      </c>
      <c r="P99" s="94">
        <f t="shared" si="17"/>
        <v>0</v>
      </c>
      <c r="Q99" s="180">
        <f t="shared" si="21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2"/>
        <v>0</v>
      </c>
      <c r="V99" s="169">
        <f>P99*IFERROR(VLOOKUP(A99,[1]Tørstofindhold!A$2:B$25,2,FALSE),0)</f>
        <v>0</v>
      </c>
      <c r="W99">
        <f>IF(E99=År1,Q99,SUM(P99,Q99))*IFERROR(VLOOKUP(A99,[1]Tørstofindhold!A$2:B$25,2,FALSE),0)</f>
        <v>0</v>
      </c>
      <c r="X99">
        <f>K99*IFERROR(VLOOKUP(A99,[1]Tørstofindhold!A$2:B$25,2,FALSE),0)</f>
        <v>0</v>
      </c>
      <c r="Y99" s="170">
        <f t="shared" si="23"/>
        <v>0</v>
      </c>
      <c r="Z99">
        <f t="shared" ca="1" si="18"/>
        <v>0</v>
      </c>
      <c r="AA99">
        <f t="shared" ca="1" si="19"/>
        <v>0</v>
      </c>
    </row>
    <row r="100" spans="1:27" x14ac:dyDescent="0.25">
      <c r="A100" s="171" t="str">
        <f t="shared" si="24"/>
        <v>Æg</v>
      </c>
      <c r="B100" s="171" t="str">
        <f t="shared" si="2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16"/>
        <v>1</v>
      </c>
      <c r="E100" s="171">
        <f t="shared" ref="E100:E147" si="2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38948.680417674739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/>
      <c r="K100" s="94"/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0"/>
        <v>38948.680417674739</v>
      </c>
      <c r="P100" s="94">
        <f t="shared" si="17"/>
        <v>0</v>
      </c>
      <c r="Q100" s="180">
        <f t="shared" si="21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2"/>
        <v>0</v>
      </c>
      <c r="V100" s="169">
        <f>P100*IFERROR(VLOOKUP(A100,[1]Tørstofindhold!A$2:B$25,2,FALSE),0)</f>
        <v>0</v>
      </c>
      <c r="W100">
        <f>IF(E100=År1,Q100,SUM(P100,Q100))*IFERROR(VLOOKUP(A100,[1]Tørstofindhold!A$2:B$25,2,FALSE),0)</f>
        <v>0</v>
      </c>
      <c r="X100">
        <f>K100*IFERROR(VLOOKUP(A100,[1]Tørstofindhold!A$2:B$25,2,FALSE),0)</f>
        <v>0</v>
      </c>
      <c r="Y100" s="170">
        <f t="shared" si="23"/>
        <v>0</v>
      </c>
      <c r="Z100">
        <f t="shared" si="18"/>
        <v>0</v>
      </c>
      <c r="AA100">
        <f t="shared" si="19"/>
        <v>1</v>
      </c>
    </row>
    <row r="101" spans="1:27" x14ac:dyDescent="0.25">
      <c r="A101" s="171" t="str">
        <f t="shared" si="24"/>
        <v>Bælgsæd</v>
      </c>
      <c r="B101" s="171" t="str">
        <f t="shared" si="2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16"/>
        <v>1</v>
      </c>
      <c r="E101" s="171">
        <f t="shared" si="2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675379.18690925464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5403.1676876681813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/>
      <c r="K101" s="94"/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0"/>
        <v>669976.01922158641</v>
      </c>
      <c r="P101" s="94">
        <f t="shared" si="17"/>
        <v>0</v>
      </c>
      <c r="Q101" s="180">
        <f t="shared" si="21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2"/>
        <v>0</v>
      </c>
      <c r="V101" s="169">
        <f>P101*IFERROR(VLOOKUP(A101,[1]Tørstofindhold!A$2:B$25,2,FALSE),0)</f>
        <v>0</v>
      </c>
      <c r="W101">
        <f>IF(E101=År1,Q101,SUM(P101,Q101))*IFERROR(VLOOKUP(A101,[1]Tørstofindhold!A$2:B$25,2,FALSE),0)</f>
        <v>0</v>
      </c>
      <c r="X101">
        <f>K101*IFERROR(VLOOKUP(A101,[1]Tørstofindhold!A$2:B$25,2,FALSE),0)</f>
        <v>0</v>
      </c>
      <c r="Y101" s="170">
        <f t="shared" si="23"/>
        <v>0</v>
      </c>
      <c r="Z101">
        <f t="shared" si="18"/>
        <v>0</v>
      </c>
      <c r="AA101">
        <f t="shared" si="19"/>
        <v>1</v>
      </c>
    </row>
    <row r="102" spans="1:27" x14ac:dyDescent="0.25">
      <c r="A102" s="171" t="str">
        <f t="shared" si="24"/>
        <v>Bioaffald</v>
      </c>
      <c r="B102" s="171" t="str">
        <f t="shared" si="2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16"/>
        <v>0</v>
      </c>
      <c r="E102" s="171">
        <f t="shared" si="2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/>
      <c r="K102" s="94"/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0"/>
        <v>0</v>
      </c>
      <c r="P102" s="94">
        <f t="shared" ca="1" si="17"/>
        <v>0</v>
      </c>
      <c r="Q102" s="180">
        <f t="shared" ca="1" si="21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>IFERROR(VLOOKUP(A102,[1]Biogasudbytte!$A$2:$B$18,2,FALSE)*[1]Energiindhold!$C$10,0)*K102*IFERROR(VLOOKUP(A102,Biogasanlæg!$F$3:$G$8,2,FALSE),1)</f>
        <v>0</v>
      </c>
      <c r="U102" s="170">
        <f t="shared" ca="1" si="22"/>
        <v>3.5255303237813815</v>
      </c>
      <c r="V102" s="169">
        <f ca="1">P102*IFERROR(VLOOKUP(A102,[1]Tørstofindhold!A$2:B$25,2,FALSE),0)</f>
        <v>0</v>
      </c>
      <c r="W102">
        <f ca="1">IF(E102=År1,Q102,SUM(P102,Q102))*IFERROR(VLOOKUP(A102,[1]Tørstofindhold!A$2:B$25,2,FALSE),0)</f>
        <v>55295.557743957776</v>
      </c>
      <c r="X102">
        <f>K102*IFERROR(VLOOKUP(A102,[1]Tørstofindhold!A$2:B$25,2,FALSE),0)</f>
        <v>0</v>
      </c>
      <c r="Y102" s="170">
        <f t="shared" ca="1" si="23"/>
        <v>55295.557743957776</v>
      </c>
      <c r="Z102">
        <f t="shared" ca="1" si="18"/>
        <v>0</v>
      </c>
      <c r="AA102">
        <f t="shared" ca="1" si="19"/>
        <v>0</v>
      </c>
    </row>
    <row r="103" spans="1:27" x14ac:dyDescent="0.25">
      <c r="A103" s="171" t="str">
        <f t="shared" si="24"/>
        <v>Biogas</v>
      </c>
      <c r="B103" s="171" t="str">
        <f t="shared" si="2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16"/>
        <v>0</v>
      </c>
      <c r="E103" s="171">
        <f t="shared" si="2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53132231.072586313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/>
      <c r="K103" s="94"/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53132231.072586313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0"/>
        <v>0</v>
      </c>
      <c r="P103" s="94">
        <f t="shared" ca="1" si="17"/>
        <v>0</v>
      </c>
      <c r="Q103" s="180">
        <f t="shared" ca="1" si="21"/>
        <v>53132231.072586313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2"/>
        <v>0</v>
      </c>
      <c r="V103" s="169">
        <f ca="1">P103*IFERROR(VLOOKUP(A103,[1]Tørstofindhold!A$2:B$25,2,FALSE),0)</f>
        <v>0</v>
      </c>
      <c r="W103">
        <f ca="1">IF(E103=År1,Q103,SUM(P103,Q103))*IFERROR(VLOOKUP(A103,[1]Tørstofindhold!A$2:B$25,2,FALSE),0)</f>
        <v>0</v>
      </c>
      <c r="X103">
        <f>K103*IFERROR(VLOOKUP(A103,[1]Tørstofindhold!A$2:B$25,2,FALSE),0)</f>
        <v>0</v>
      </c>
      <c r="Y103" s="170">
        <f t="shared" ca="1" si="23"/>
        <v>0</v>
      </c>
      <c r="Z103">
        <f t="shared" ca="1" si="18"/>
        <v>0</v>
      </c>
      <c r="AA103">
        <f t="shared" ca="1" si="19"/>
        <v>0</v>
      </c>
    </row>
    <row r="104" spans="1:27" x14ac:dyDescent="0.25">
      <c r="A104" s="171" t="str">
        <f t="shared" si="24"/>
        <v>Biogasgylle</v>
      </c>
      <c r="B104" s="171" t="str">
        <f t="shared" si="2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16"/>
        <v>0</v>
      </c>
      <c r="E104" s="171">
        <f t="shared" si="2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1933341.8038107518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/>
      <c r="K104" s="94"/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47604.725505662638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0"/>
        <v>1885737.0783050891</v>
      </c>
      <c r="P104" s="94">
        <f t="shared" si="17"/>
        <v>0</v>
      </c>
      <c r="Q104" s="180">
        <f t="shared" si="21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2"/>
        <v>0</v>
      </c>
      <c r="V104" s="169">
        <f>P104*IFERROR(VLOOKUP(A104,[1]Tørstofindhold!A$2:B$25,2,FALSE),0)</f>
        <v>0</v>
      </c>
      <c r="W104">
        <f>IF(E104=År1,Q104,SUM(P104,Q104))*IFERROR(VLOOKUP(A104,[1]Tørstofindhold!A$2:B$25,2,FALSE),0)</f>
        <v>0</v>
      </c>
      <c r="X104">
        <f>K104*IFERROR(VLOOKUP(A104,[1]Tørstofindhold!A$2:B$25,2,FALSE),0)</f>
        <v>0</v>
      </c>
      <c r="Y104" s="170">
        <f t="shared" si="23"/>
        <v>0</v>
      </c>
      <c r="Z104">
        <f t="shared" ca="1" si="18"/>
        <v>0</v>
      </c>
      <c r="AA104">
        <f t="shared" ca="1" si="19"/>
        <v>1</v>
      </c>
    </row>
    <row r="105" spans="1:27" x14ac:dyDescent="0.25">
      <c r="A105" s="171" t="str">
        <f t="shared" si="24"/>
        <v>Brun saft</v>
      </c>
      <c r="B105" s="171" t="str">
        <f t="shared" si="2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16"/>
        <v>0</v>
      </c>
      <c r="E105" s="171">
        <f t="shared" si="2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5558362.6844374826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/>
      <c r="K105" s="94"/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0"/>
        <v>5558362.6844374826</v>
      </c>
      <c r="P105" s="94">
        <f t="shared" si="17"/>
        <v>5558362.6844374826</v>
      </c>
      <c r="Q105" s="180">
        <f t="shared" si="21"/>
        <v>0</v>
      </c>
      <c r="R105">
        <f>IFERROR(VLOOKUP(A105,[1]Energiindhold!$A$2:$C$11,3,FALSE),IFERROR(VLOOKUP(A105,[1]Biogasudbytte!$A$2:$B$18,2,FALSE)*[1]Energiindhold!$C$10,0))*P105</f>
        <v>3.1572949498462015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3.1572949498462015</v>
      </c>
      <c r="T105">
        <f>IFERROR(VLOOKUP(A105,[1]Biogasudbytte!$A$2:$B$18,2,FALSE)*[1]Energiindhold!$C$10,0)*K105*IFERROR(VLOOKUP(A105,Biogasanlæg!$F$3:$G$8,2,FALSE),1)</f>
        <v>0</v>
      </c>
      <c r="U105" s="170">
        <f t="shared" si="22"/>
        <v>3.1572949498462015</v>
      </c>
      <c r="V105" s="169">
        <f>P105*IFERROR(VLOOKUP(A105,[1]Tørstofindhold!A$2:B$25,2,FALSE),0)</f>
        <v>237694.41766515101</v>
      </c>
      <c r="W105">
        <f>IF(E105=År1,Q105,SUM(P105,Q105))*IFERROR(VLOOKUP(A105,[1]Tørstofindhold!A$2:B$25,2,FALSE),0)</f>
        <v>237694.41766515101</v>
      </c>
      <c r="X105">
        <f>K105*IFERROR(VLOOKUP(A105,[1]Tørstofindhold!A$2:B$25,2,FALSE),0)</f>
        <v>0</v>
      </c>
      <c r="Y105" s="170">
        <f t="shared" si="23"/>
        <v>237694.41766515101</v>
      </c>
      <c r="Z105">
        <f t="shared" si="18"/>
        <v>0</v>
      </c>
      <c r="AA105">
        <f t="shared" si="19"/>
        <v>1</v>
      </c>
    </row>
    <row r="106" spans="1:27" x14ac:dyDescent="0.25">
      <c r="A106" s="171" t="str">
        <f t="shared" si="24"/>
        <v>Dybstrøelse</v>
      </c>
      <c r="B106" s="171" t="str">
        <f t="shared" si="2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16"/>
        <v>0</v>
      </c>
      <c r="E106" s="171">
        <f t="shared" si="2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575834.83314211352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/>
      <c r="K106" s="94"/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21799.461540380005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0"/>
        <v>554035.3716017335</v>
      </c>
      <c r="P106" s="94">
        <f t="shared" si="17"/>
        <v>554035.3716017335</v>
      </c>
      <c r="Q106" s="180">
        <f t="shared" si="21"/>
        <v>0</v>
      </c>
      <c r="R106">
        <f>IFERROR(VLOOKUP(A106,[1]Energiindhold!$A$2:$C$11,3,FALSE),IFERROR(VLOOKUP(A106,[1]Biogasudbytte!$A$2:$B$18,2,FALSE)*[1]Energiindhold!$C$10,0))*P106</f>
        <v>1.1933921904301339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1.1933921904301339</v>
      </c>
      <c r="T106">
        <f>IFERROR(VLOOKUP(A106,[1]Biogasudbytte!$A$2:$B$18,2,FALSE)*[1]Energiindhold!$C$10,0)*K106*IFERROR(VLOOKUP(A106,Biogasanlæg!$F$3:$G$8,2,FALSE),1)</f>
        <v>0</v>
      </c>
      <c r="U106" s="170">
        <f t="shared" si="22"/>
        <v>1.1933921904301339</v>
      </c>
      <c r="V106" s="169">
        <f>P106*IFERROR(VLOOKUP(A106,[1]Tørstofindhold!A$2:B$25,2,FALSE),0)</f>
        <v>166210.61148052005</v>
      </c>
      <c r="W106">
        <f>IF(E106=År1,Q106,SUM(P106,Q106))*IFERROR(VLOOKUP(A106,[1]Tørstofindhold!A$2:B$25,2,FALSE),0)</f>
        <v>166210.61148052005</v>
      </c>
      <c r="X106">
        <f>K106*IFERROR(VLOOKUP(A106,[1]Tørstofindhold!A$2:B$25,2,FALSE),0)</f>
        <v>0</v>
      </c>
      <c r="Y106" s="170">
        <f t="shared" si="23"/>
        <v>166210.61148052005</v>
      </c>
      <c r="Z106">
        <f t="shared" si="18"/>
        <v>0</v>
      </c>
      <c r="AA106">
        <f t="shared" si="19"/>
        <v>1</v>
      </c>
    </row>
    <row r="107" spans="1:27" x14ac:dyDescent="0.25">
      <c r="A107" s="171" t="str">
        <f t="shared" si="24"/>
        <v>Fiberfraktion</v>
      </c>
      <c r="B107" s="171" t="str">
        <f t="shared" si="2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16"/>
        <v>0</v>
      </c>
      <c r="E107" s="171">
        <f t="shared" si="2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3914966.8791907234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0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/>
      <c r="K107" s="94"/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0"/>
        <v>3914966.8791907234</v>
      </c>
      <c r="P107" s="94">
        <f t="shared" si="17"/>
        <v>0</v>
      </c>
      <c r="Q107" s="180">
        <f t="shared" si="21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2"/>
        <v>0</v>
      </c>
      <c r="V107" s="169">
        <f>P107*IFERROR(VLOOKUP(A107,[1]Tørstofindhold!A$2:B$25,2,FALSE),0)</f>
        <v>0</v>
      </c>
      <c r="W107">
        <f>IF(E107=År1,Q107,SUM(P107,Q107))*IFERROR(VLOOKUP(A107,[1]Tørstofindhold!A$2:B$25,2,FALSE),0)</f>
        <v>0</v>
      </c>
      <c r="X107">
        <f>K107*IFERROR(VLOOKUP(A107,[1]Tørstofindhold!A$2:B$25,2,FALSE),0)</f>
        <v>0</v>
      </c>
      <c r="Y107" s="170">
        <f t="shared" si="23"/>
        <v>0</v>
      </c>
      <c r="Z107">
        <f t="shared" si="18"/>
        <v>0</v>
      </c>
      <c r="AA107">
        <f t="shared" si="19"/>
        <v>1</v>
      </c>
    </row>
    <row r="108" spans="1:27" x14ac:dyDescent="0.25">
      <c r="A108" s="171" t="str">
        <f t="shared" si="24"/>
        <v>Fjerkrægylle</v>
      </c>
      <c r="B108" s="171" t="str">
        <f t="shared" si="2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16"/>
        <v>0</v>
      </c>
      <c r="E108" s="171">
        <f t="shared" si="2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5618.4151705662098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/>
      <c r="K108" s="94"/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561.84151705662089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0"/>
        <v>5056.5736535095893</v>
      </c>
      <c r="P108" s="94">
        <f t="shared" si="17"/>
        <v>5056.5736535095893</v>
      </c>
      <c r="Q108" s="180">
        <f t="shared" si="21"/>
        <v>0</v>
      </c>
      <c r="R108">
        <f>IFERROR(VLOOKUP(A108,[1]Energiindhold!$A$2:$C$11,3,FALSE),IFERROR(VLOOKUP(A108,[1]Biogasudbytte!$A$2:$B$18,2,FALSE)*[1]Energiindhold!$C$10,0))*P108</f>
        <v>2.3780560235090249E-3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2.3780560235090249E-3</v>
      </c>
      <c r="T108">
        <f>IFERROR(VLOOKUP(A108,[1]Biogasudbytte!$A$2:$B$18,2,FALSE)*[1]Energiindhold!$C$10,0)*K108*IFERROR(VLOOKUP(A108,Biogasanlæg!$F$3:$G$8,2,FALSE),1)</f>
        <v>0</v>
      </c>
      <c r="U108" s="170">
        <f t="shared" si="22"/>
        <v>2.3780560235090249E-3</v>
      </c>
      <c r="V108" s="169">
        <f>P108*IFERROR(VLOOKUP(A108,[1]Tørstofindhold!A$2:B$25,2,FALSE),0)</f>
        <v>318.56414017110416</v>
      </c>
      <c r="W108">
        <f>IF(E108=År1,Q108,SUM(P108,Q108))*IFERROR(VLOOKUP(A108,[1]Tørstofindhold!A$2:B$25,2,FALSE),0)</f>
        <v>318.56414017110416</v>
      </c>
      <c r="X108">
        <f>K108*IFERROR(VLOOKUP(A108,[1]Tørstofindhold!A$2:B$25,2,FALSE),0)</f>
        <v>0</v>
      </c>
      <c r="Y108" s="170">
        <f t="shared" si="23"/>
        <v>318.56414017110416</v>
      </c>
      <c r="Z108">
        <f t="shared" si="18"/>
        <v>0</v>
      </c>
      <c r="AA108">
        <f t="shared" si="19"/>
        <v>1</v>
      </c>
    </row>
    <row r="109" spans="1:27" x14ac:dyDescent="0.25">
      <c r="A109" s="171" t="str">
        <f t="shared" si="24"/>
        <v>Fjerkrækød</v>
      </c>
      <c r="B109" s="171" t="str">
        <f t="shared" si="2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16"/>
        <v>1</v>
      </c>
      <c r="E109" s="171">
        <f t="shared" si="2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6001.6248923716248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/>
      <c r="K109" s="94"/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0"/>
        <v>6001.6248923716248</v>
      </c>
      <c r="P109" s="94">
        <f t="shared" si="17"/>
        <v>0</v>
      </c>
      <c r="Q109" s="180">
        <f t="shared" si="21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2"/>
        <v>0</v>
      </c>
      <c r="V109" s="169">
        <f>P109*IFERROR(VLOOKUP(A109,[1]Tørstofindhold!A$2:B$25,2,FALSE),0)</f>
        <v>0</v>
      </c>
      <c r="W109">
        <f>IF(E109=År1,Q109,SUM(P109,Q109))*IFERROR(VLOOKUP(A109,[1]Tørstofindhold!A$2:B$25,2,FALSE),0)</f>
        <v>0</v>
      </c>
      <c r="X109">
        <f>K109*IFERROR(VLOOKUP(A109,[1]Tørstofindhold!A$2:B$25,2,FALSE),0)</f>
        <v>0</v>
      </c>
      <c r="Y109" s="170">
        <f t="shared" si="23"/>
        <v>0</v>
      </c>
      <c r="Z109">
        <f t="shared" si="18"/>
        <v>0</v>
      </c>
      <c r="AA109">
        <f t="shared" si="19"/>
        <v>1</v>
      </c>
    </row>
    <row r="110" spans="1:27" x14ac:dyDescent="0.25">
      <c r="A110" s="171" t="str">
        <f t="shared" si="24"/>
        <v>Frø</v>
      </c>
      <c r="B110" s="171" t="str">
        <f t="shared" si="2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16"/>
        <v>0</v>
      </c>
      <c r="E110" s="171">
        <f t="shared" si="2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63416.052113342856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/>
      <c r="K110" s="94"/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0"/>
        <v>63416.052113342856</v>
      </c>
      <c r="P110" s="94">
        <f t="shared" si="17"/>
        <v>0</v>
      </c>
      <c r="Q110" s="180">
        <f t="shared" si="21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2"/>
        <v>0</v>
      </c>
      <c r="V110" s="169">
        <f>P110*IFERROR(VLOOKUP(A110,[1]Tørstofindhold!A$2:B$25,2,FALSE),0)</f>
        <v>0</v>
      </c>
      <c r="W110">
        <f>IF(E110=År1,Q110,SUM(P110,Q110))*IFERROR(VLOOKUP(A110,[1]Tørstofindhold!A$2:B$25,2,FALSE),0)</f>
        <v>0</v>
      </c>
      <c r="X110">
        <f>K110*IFERROR(VLOOKUP(A110,[1]Tørstofindhold!A$2:B$25,2,FALSE),0)</f>
        <v>0</v>
      </c>
      <c r="Y110" s="170">
        <f t="shared" si="23"/>
        <v>0</v>
      </c>
      <c r="Z110">
        <f t="shared" si="18"/>
        <v>0</v>
      </c>
      <c r="AA110">
        <f t="shared" si="19"/>
        <v>1</v>
      </c>
    </row>
    <row r="111" spans="1:27" x14ac:dyDescent="0.25">
      <c r="A111" s="171" t="str">
        <f t="shared" si="24"/>
        <v>Frugt</v>
      </c>
      <c r="B111" s="171" t="str">
        <f t="shared" si="2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16"/>
        <v>1</v>
      </c>
      <c r="E111" s="171">
        <f t="shared" si="2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782024.94316368026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/>
      <c r="K111" s="94"/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0"/>
        <v>782024.94316368026</v>
      </c>
      <c r="P111" s="94">
        <f t="shared" si="17"/>
        <v>0</v>
      </c>
      <c r="Q111" s="180">
        <f t="shared" si="21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2"/>
        <v>0</v>
      </c>
      <c r="V111" s="169">
        <f>P111*IFERROR(VLOOKUP(A111,[1]Tørstofindhold!A$2:B$25,2,FALSE),0)</f>
        <v>0</v>
      </c>
      <c r="W111">
        <f>IF(E111=År1,Q111,SUM(P111,Q111))*IFERROR(VLOOKUP(A111,[1]Tørstofindhold!A$2:B$25,2,FALSE),0)</f>
        <v>0</v>
      </c>
      <c r="X111">
        <f>K111*IFERROR(VLOOKUP(A111,[1]Tørstofindhold!A$2:B$25,2,FALSE),0)</f>
        <v>0</v>
      </c>
      <c r="Y111" s="170">
        <f t="shared" si="23"/>
        <v>0</v>
      </c>
      <c r="Z111">
        <f t="shared" si="18"/>
        <v>0</v>
      </c>
      <c r="AA111">
        <f t="shared" si="19"/>
        <v>1</v>
      </c>
    </row>
    <row r="112" spans="1:27" x14ac:dyDescent="0.25">
      <c r="A112" s="171" t="str">
        <f t="shared" si="24"/>
        <v>Glycerin</v>
      </c>
      <c r="B112" s="171" t="str">
        <f t="shared" si="2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16"/>
        <v>0</v>
      </c>
      <c r="E112" s="171">
        <f t="shared" si="2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/>
      <c r="K112" s="94"/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0"/>
        <v>0</v>
      </c>
      <c r="P112" s="94">
        <f t="shared" si="17"/>
        <v>0</v>
      </c>
      <c r="Q112" s="180">
        <f t="shared" si="21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2"/>
        <v>0</v>
      </c>
      <c r="V112" s="169">
        <f>P112*IFERROR(VLOOKUP(A112,[1]Tørstofindhold!A$2:B$25,2,FALSE),0)</f>
        <v>0</v>
      </c>
      <c r="W112">
        <f>IF(E112=År1,Q112,SUM(P112,Q112))*IFERROR(VLOOKUP(A112,[1]Tørstofindhold!A$2:B$25,2,FALSE),0)</f>
        <v>0</v>
      </c>
      <c r="X112">
        <f>K112*IFERROR(VLOOKUP(A112,[1]Tørstofindhold!A$2:B$25,2,FALSE),0)</f>
        <v>0</v>
      </c>
      <c r="Y112" s="170">
        <f t="shared" si="23"/>
        <v>0</v>
      </c>
      <c r="Z112">
        <f t="shared" si="18"/>
        <v>0</v>
      </c>
      <c r="AA112">
        <f t="shared" si="19"/>
        <v>0</v>
      </c>
    </row>
    <row r="113" spans="1:27" x14ac:dyDescent="0.25">
      <c r="A113" s="171" t="str">
        <f t="shared" si="24"/>
        <v>Græs</v>
      </c>
      <c r="B113" s="171" t="str">
        <f t="shared" si="2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16"/>
        <v>0</v>
      </c>
      <c r="E113" s="171">
        <f t="shared" si="2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28845032.2708226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1025176.0247393751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/>
      <c r="K113" s="94"/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11374884.904949415</v>
      </c>
      <c r="O113" s="179">
        <f t="shared" si="20"/>
        <v>16444971.341133809</v>
      </c>
      <c r="P113" s="94">
        <f t="shared" si="17"/>
        <v>16444971.341133809</v>
      </c>
      <c r="Q113" s="180">
        <f t="shared" si="21"/>
        <v>0</v>
      </c>
      <c r="R113">
        <f>IFERROR(VLOOKUP(A113,[1]Energiindhold!$A$2:$C$11,3,FALSE),IFERROR(VLOOKUP(A113,[1]Biogasudbytte!$A$2:$B$18,2,FALSE)*[1]Energiindhold!$C$10,0))*P113</f>
        <v>30.256691646268568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30.256691646268568</v>
      </c>
      <c r="T113">
        <f>IFERROR(VLOOKUP(A113,[1]Biogasudbytte!$A$2:$B$18,2,FALSE)*[1]Energiindhold!$C$10,0)*K113*IFERROR(VLOOKUP(A113,Biogasanlæg!$F$3:$G$8,2,FALSE),1)</f>
        <v>0</v>
      </c>
      <c r="U113" s="170">
        <f t="shared" si="22"/>
        <v>30.256691646268568</v>
      </c>
      <c r="V113" s="169">
        <f>P113*IFERROR(VLOOKUP(A113,[1]Tørstofindhold!A$2:B$25,2,FALSE),0)</f>
        <v>4604591.9755174667</v>
      </c>
      <c r="W113">
        <f>IF(E113=År1,Q113,SUM(P113,Q113))*IFERROR(VLOOKUP(A113,[1]Tørstofindhold!A$2:B$25,2,FALSE),0)</f>
        <v>4604591.9755174667</v>
      </c>
      <c r="X113">
        <f>K113*IFERROR(VLOOKUP(A113,[1]Tørstofindhold!A$2:B$25,2,FALSE),0)</f>
        <v>0</v>
      </c>
      <c r="Y113" s="170">
        <f t="shared" si="23"/>
        <v>4604591.9755174667</v>
      </c>
      <c r="Z113">
        <f t="shared" si="18"/>
        <v>0</v>
      </c>
      <c r="AA113">
        <f t="shared" si="19"/>
        <v>1</v>
      </c>
    </row>
    <row r="114" spans="1:27" x14ac:dyDescent="0.25">
      <c r="A114" s="171" t="str">
        <f t="shared" si="24"/>
        <v>Græsprotein</v>
      </c>
      <c r="B114" s="171" t="str">
        <f t="shared" si="2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16"/>
        <v>0</v>
      </c>
      <c r="E114" s="171">
        <f t="shared" si="2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1901555.3413212083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1901555.3413212085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/>
      <c r="K114" s="94"/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0"/>
        <v>0</v>
      </c>
      <c r="P114" s="94">
        <f t="shared" si="17"/>
        <v>0</v>
      </c>
      <c r="Q114" s="180">
        <f t="shared" si="21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2"/>
        <v>0</v>
      </c>
      <c r="V114" s="169">
        <f>P114*IFERROR(VLOOKUP(A114,[1]Tørstofindhold!A$2:B$25,2,FALSE),0)</f>
        <v>0</v>
      </c>
      <c r="W114">
        <f>IF(E114=År1,Q114,SUM(P114,Q114))*IFERROR(VLOOKUP(A114,[1]Tørstofindhold!A$2:B$25,2,FALSE),0)</f>
        <v>0</v>
      </c>
      <c r="X114">
        <f>K114*IFERROR(VLOOKUP(A114,[1]Tørstofindhold!A$2:B$25,2,FALSE),0)</f>
        <v>0</v>
      </c>
      <c r="Y114" s="170">
        <f t="shared" si="23"/>
        <v>0</v>
      </c>
      <c r="Z114">
        <f t="shared" si="18"/>
        <v>0</v>
      </c>
      <c r="AA114">
        <f t="shared" si="19"/>
        <v>0</v>
      </c>
    </row>
    <row r="115" spans="1:27" x14ac:dyDescent="0.25">
      <c r="A115" s="171" t="str">
        <f t="shared" si="24"/>
        <v>Grøntsager</v>
      </c>
      <c r="B115" s="171" t="str">
        <f t="shared" si="2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16"/>
        <v>1</v>
      </c>
      <c r="E115" s="171">
        <f t="shared" si="2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304619.14425386849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/>
      <c r="K115" s="94"/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0"/>
        <v>304619.14425386849</v>
      </c>
      <c r="P115" s="94">
        <f t="shared" si="17"/>
        <v>0</v>
      </c>
      <c r="Q115" s="180">
        <f t="shared" si="21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2"/>
        <v>0</v>
      </c>
      <c r="V115" s="169">
        <f>P115*IFERROR(VLOOKUP(A115,[1]Tørstofindhold!A$2:B$25,2,FALSE),0)</f>
        <v>0</v>
      </c>
      <c r="W115">
        <f>IF(E115=År1,Q115,SUM(P115,Q115))*IFERROR(VLOOKUP(A115,[1]Tørstofindhold!A$2:B$25,2,FALSE),0)</f>
        <v>0</v>
      </c>
      <c r="X115">
        <f>K115*IFERROR(VLOOKUP(A115,[1]Tørstofindhold!A$2:B$25,2,FALSE),0)</f>
        <v>0</v>
      </c>
      <c r="Y115" s="170">
        <f t="shared" si="23"/>
        <v>0</v>
      </c>
      <c r="Z115">
        <f t="shared" si="18"/>
        <v>0</v>
      </c>
      <c r="AA115">
        <f t="shared" si="19"/>
        <v>1</v>
      </c>
    </row>
    <row r="116" spans="1:27" x14ac:dyDescent="0.25">
      <c r="A116" s="171" t="str">
        <f t="shared" si="24"/>
        <v>Halm</v>
      </c>
      <c r="B116" s="171" t="str">
        <f t="shared" si="2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16"/>
        <v>0</v>
      </c>
      <c r="E116" s="171">
        <f t="shared" si="2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712964.91975724418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64762.968256356122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70290.546378545216</v>
      </c>
      <c r="J116" s="94"/>
      <c r="K116" s="94"/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577911.40512234275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0"/>
        <v>0</v>
      </c>
      <c r="P116" s="94">
        <f t="shared" si="17"/>
        <v>0</v>
      </c>
      <c r="Q116" s="180">
        <f t="shared" si="21"/>
        <v>577911.40512234275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5.9731803645215589</v>
      </c>
      <c r="T116">
        <f>IFERROR(VLOOKUP(A116,[1]Biogasudbytte!$A$2:$B$18,2,FALSE)*[1]Energiindhold!$C$10,0)*K116*IFERROR(VLOOKUP(A116,Biogasanlæg!$F$3:$G$8,2,FALSE),1)</f>
        <v>0</v>
      </c>
      <c r="U116" s="170">
        <f t="shared" si="22"/>
        <v>5.9731803645215589</v>
      </c>
      <c r="V116" s="169">
        <f>P116*IFERROR(VLOOKUP(A116,[1]Tørstofindhold!A$2:B$25,2,FALSE),0)</f>
        <v>0</v>
      </c>
      <c r="W116">
        <f>IF(E116=År1,Q116,SUM(P116,Q116))*IFERROR(VLOOKUP(A116,[1]Tørstofindhold!A$2:B$25,2,FALSE),0)</f>
        <v>491224.6943539913</v>
      </c>
      <c r="X116">
        <f>K116*IFERROR(VLOOKUP(A116,[1]Tørstofindhold!A$2:B$25,2,FALSE),0)</f>
        <v>0</v>
      </c>
      <c r="Y116" s="170">
        <f t="shared" si="23"/>
        <v>491224.6943539913</v>
      </c>
      <c r="Z116">
        <f t="shared" si="18"/>
        <v>0</v>
      </c>
      <c r="AA116">
        <f t="shared" si="19"/>
        <v>0</v>
      </c>
    </row>
    <row r="117" spans="1:27" x14ac:dyDescent="0.25">
      <c r="A117" s="171" t="str">
        <f t="shared" si="24"/>
        <v>Have/parkaffald</v>
      </c>
      <c r="B117" s="171" t="str">
        <f t="shared" si="2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27">D69</f>
        <v>0</v>
      </c>
      <c r="E117" s="171">
        <f t="shared" si="2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/>
      <c r="K117" s="94"/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524881.97503939818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0"/>
        <v>0</v>
      </c>
      <c r="P117" s="94">
        <f t="shared" si="17"/>
        <v>0</v>
      </c>
      <c r="Q117" s="180">
        <f t="shared" si="21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9.3703087657301456</v>
      </c>
      <c r="T117">
        <f>IFERROR(VLOOKUP(A117,[1]Biogasudbytte!$A$2:$B$18,2,FALSE)*[1]Energiindhold!$C$10,0)*K117*IFERROR(VLOOKUP(A117,Biogasanlæg!$F$3:$G$8,2,FALSE),1)</f>
        <v>0</v>
      </c>
      <c r="U117" s="170">
        <f t="shared" si="22"/>
        <v>9.3703087657301456</v>
      </c>
      <c r="V117" s="169">
        <f>P117*IFERROR(VLOOKUP(A117,[1]Tørstofindhold!A$2:B$25,2,FALSE),0)</f>
        <v>0</v>
      </c>
      <c r="W117">
        <f>IF(E117=År1,Q117,SUM(P117,Q117))*IFERROR(VLOOKUP(A117,[1]Tørstofindhold!A$2:B$25,2,FALSE),0)</f>
        <v>157464.59251181944</v>
      </c>
      <c r="X117">
        <f>K117*IFERROR(VLOOKUP(A117,[1]Tørstofindhold!A$2:B$25,2,FALSE),0)</f>
        <v>0</v>
      </c>
      <c r="Y117" s="170">
        <f t="shared" si="23"/>
        <v>157464.59251181944</v>
      </c>
      <c r="Z117">
        <f t="shared" si="18"/>
        <v>0</v>
      </c>
      <c r="AA117">
        <f t="shared" si="19"/>
        <v>0</v>
      </c>
    </row>
    <row r="118" spans="1:27" x14ac:dyDescent="0.25">
      <c r="A118" s="171" t="str">
        <f t="shared" si="24"/>
        <v>Import af foder</v>
      </c>
      <c r="B118" s="171" t="str">
        <f t="shared" si="2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27"/>
        <v>1</v>
      </c>
      <c r="E118" s="171">
        <f t="shared" si="2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0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/>
      <c r="K118" s="94"/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0"/>
        <v>0</v>
      </c>
      <c r="P118" s="94">
        <f t="shared" si="17"/>
        <v>0</v>
      </c>
      <c r="Q118" s="180">
        <f t="shared" si="21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2"/>
        <v>0</v>
      </c>
      <c r="V118" s="169">
        <f>P118*IFERROR(VLOOKUP(A118,[1]Tørstofindhold!A$2:B$25,2,FALSE),0)</f>
        <v>0</v>
      </c>
      <c r="W118">
        <f>IF(E118=År1,Q118,SUM(P118,Q118))*IFERROR(VLOOKUP(A118,[1]Tørstofindhold!A$2:B$25,2,FALSE),0)</f>
        <v>0</v>
      </c>
      <c r="X118">
        <f>K118*IFERROR(VLOOKUP(A118,[1]Tørstofindhold!A$2:B$25,2,FALSE),0)</f>
        <v>0</v>
      </c>
      <c r="Y118" s="170">
        <f t="shared" si="23"/>
        <v>0</v>
      </c>
      <c r="Z118">
        <f t="shared" si="18"/>
        <v>0</v>
      </c>
      <c r="AA118">
        <f t="shared" si="19"/>
        <v>0</v>
      </c>
    </row>
    <row r="119" spans="1:27" x14ac:dyDescent="0.25">
      <c r="A119" s="171" t="str">
        <f t="shared" si="24"/>
        <v>Industriaffald</v>
      </c>
      <c r="B119" s="171" t="str">
        <f t="shared" si="2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27"/>
        <v>0</v>
      </c>
      <c r="E119" s="171">
        <f t="shared" si="2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217306.9698136746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/>
      <c r="K119" s="94"/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0"/>
        <v>217306.9698136746</v>
      </c>
      <c r="P119" s="94">
        <f t="shared" si="17"/>
        <v>217306.9698136746</v>
      </c>
      <c r="Q119" s="180">
        <f t="shared" si="21"/>
        <v>0</v>
      </c>
      <c r="R119">
        <f>IFERROR(VLOOKUP(A119,[1]Energiindhold!$A$2:$C$11,3,FALSE),IFERROR(VLOOKUP(A119,[1]Biogasudbytte!$A$2:$B$18,2,FALSE)*[1]Energiindhold!$C$10,0))*P119</f>
        <v>0.94161935010872788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0.94161935010872788</v>
      </c>
      <c r="T119">
        <f>IFERROR(VLOOKUP(A119,[1]Biogasudbytte!$A$2:$B$18,2,FALSE)*[1]Energiindhold!$C$10,0)*K119*IFERROR(VLOOKUP(A119,Biogasanlæg!$F$3:$G$8,2,FALSE),1)</f>
        <v>0</v>
      </c>
      <c r="U119" s="170">
        <f t="shared" si="22"/>
        <v>0.94161935010872788</v>
      </c>
      <c r="V119" s="169">
        <f>P119*IFERROR(VLOOKUP(A119,[1]Tørstofindhold!A$2:B$25,2,FALSE),0)</f>
        <v>91268.927321743322</v>
      </c>
      <c r="W119">
        <f>IF(E119=År1,Q119,SUM(P119,Q119))*IFERROR(VLOOKUP(A119,[1]Tørstofindhold!A$2:B$25,2,FALSE),0)</f>
        <v>91268.927321743322</v>
      </c>
      <c r="X119">
        <f>K119*IFERROR(VLOOKUP(A119,[1]Tørstofindhold!A$2:B$25,2,FALSE),0)</f>
        <v>0</v>
      </c>
      <c r="Y119" s="170">
        <f t="shared" si="23"/>
        <v>91268.927321743322</v>
      </c>
      <c r="Z119">
        <f t="shared" si="18"/>
        <v>0</v>
      </c>
      <c r="AA119">
        <f t="shared" si="19"/>
        <v>1</v>
      </c>
    </row>
    <row r="120" spans="1:27" x14ac:dyDescent="0.25">
      <c r="A120" s="171" t="str">
        <f t="shared" si="24"/>
        <v>Juletræer</v>
      </c>
      <c r="B120" s="171" t="str">
        <f t="shared" si="2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27"/>
        <v>0</v>
      </c>
      <c r="E120" s="171">
        <f t="shared" si="2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390434.16444163944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/>
      <c r="K120" s="94"/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0"/>
        <v>390434.16444163944</v>
      </c>
      <c r="P120" s="94">
        <f t="shared" si="17"/>
        <v>0</v>
      </c>
      <c r="Q120" s="180">
        <f t="shared" si="21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2"/>
        <v>0</v>
      </c>
      <c r="V120" s="169">
        <f>P120*IFERROR(VLOOKUP(A120,[1]Tørstofindhold!A$2:B$25,2,FALSE),0)</f>
        <v>0</v>
      </c>
      <c r="W120">
        <f>IF(E120=År1,Q120,SUM(P120,Q120))*IFERROR(VLOOKUP(A120,[1]Tørstofindhold!A$2:B$25,2,FALSE),0)</f>
        <v>0</v>
      </c>
      <c r="X120">
        <f>K120*IFERROR(VLOOKUP(A120,[1]Tørstofindhold!A$2:B$25,2,FALSE),0)</f>
        <v>0</v>
      </c>
      <c r="Y120" s="170">
        <f t="shared" si="23"/>
        <v>0</v>
      </c>
      <c r="Z120">
        <f t="shared" si="18"/>
        <v>0</v>
      </c>
      <c r="AA120">
        <f t="shared" si="19"/>
        <v>1</v>
      </c>
    </row>
    <row r="121" spans="1:27" x14ac:dyDescent="0.25">
      <c r="A121" s="171" t="str">
        <f t="shared" si="24"/>
        <v>Kartofler</v>
      </c>
      <c r="B121" s="171" t="str">
        <f t="shared" si="2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27"/>
        <v>1</v>
      </c>
      <c r="E121" s="171">
        <f t="shared" si="2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2359310.5932499878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/>
      <c r="K121" s="94"/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0"/>
        <v>2359310.5932499878</v>
      </c>
      <c r="P121" s="94">
        <f t="shared" si="17"/>
        <v>0</v>
      </c>
      <c r="Q121" s="180">
        <f t="shared" si="21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2"/>
        <v>0</v>
      </c>
      <c r="V121" s="169">
        <f>P121*IFERROR(VLOOKUP(A121,[1]Tørstofindhold!A$2:B$25,2,FALSE),0)</f>
        <v>0</v>
      </c>
      <c r="W121">
        <f>IF(E121=År1,Q121,SUM(P121,Q121))*IFERROR(VLOOKUP(A121,[1]Tørstofindhold!A$2:B$25,2,FALSE),0)</f>
        <v>0</v>
      </c>
      <c r="X121">
        <f>K121*IFERROR(VLOOKUP(A121,[1]Tørstofindhold!A$2:B$25,2,FALSE),0)</f>
        <v>0</v>
      </c>
      <c r="Y121" s="170">
        <f t="shared" si="23"/>
        <v>0</v>
      </c>
      <c r="Z121">
        <f t="shared" si="18"/>
        <v>0</v>
      </c>
      <c r="AA121">
        <f t="shared" si="19"/>
        <v>1</v>
      </c>
    </row>
    <row r="122" spans="1:27" x14ac:dyDescent="0.25">
      <c r="A122" s="171" t="str">
        <f t="shared" si="24"/>
        <v>Korn</v>
      </c>
      <c r="B122" s="171" t="str">
        <f t="shared" si="2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27"/>
        <v>1</v>
      </c>
      <c r="E122" s="171">
        <f t="shared" si="2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440363.1063619653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123145.11430255328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/>
      <c r="K122" s="94"/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0"/>
        <v>317217.992059412</v>
      </c>
      <c r="P122" s="94">
        <f t="shared" si="17"/>
        <v>317217.992059412</v>
      </c>
      <c r="Q122" s="180">
        <f t="shared" si="21"/>
        <v>0</v>
      </c>
      <c r="R122">
        <f>IFERROR(VLOOKUP(A122,[1]Energiindhold!$A$2:$C$11,3,FALSE),IFERROR(VLOOKUP(A122,[1]Biogasudbytte!$A$2:$B$18,2,FALSE)*[1]Energiindhold!$C$10,0))*P122</f>
        <v>1.0864272122845979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1.0864272122845979</v>
      </c>
      <c r="T122">
        <f>IFERROR(VLOOKUP(A122,[1]Biogasudbytte!$A$2:$B$18,2,FALSE)*[1]Energiindhold!$C$10,0)*K122*IFERROR(VLOOKUP(A122,Biogasanlæg!$F$3:$G$8,2,FALSE),1)</f>
        <v>0</v>
      </c>
      <c r="U122" s="170">
        <f t="shared" si="22"/>
        <v>1.0864272122845979</v>
      </c>
      <c r="V122" s="169">
        <f>P122*IFERROR(VLOOKUP(A122,[1]Tørstofindhold!A$2:B$25,2,FALSE),0)</f>
        <v>98337.577538417725</v>
      </c>
      <c r="W122">
        <f>IF(E122=År1,Q122,SUM(P122,Q122))*IFERROR(VLOOKUP(A122,[1]Tørstofindhold!A$2:B$25,2,FALSE),0)</f>
        <v>98337.577538417725</v>
      </c>
      <c r="X122">
        <f>K122*IFERROR(VLOOKUP(A122,[1]Tørstofindhold!A$2:B$25,2,FALSE),0)</f>
        <v>0</v>
      </c>
      <c r="Y122" s="170">
        <f t="shared" si="23"/>
        <v>98337.577538417725</v>
      </c>
      <c r="Z122">
        <f t="shared" si="18"/>
        <v>0</v>
      </c>
      <c r="AA122">
        <f t="shared" si="19"/>
        <v>1</v>
      </c>
    </row>
    <row r="123" spans="1:27" x14ac:dyDescent="0.25">
      <c r="A123" s="171" t="str">
        <f t="shared" si="24"/>
        <v>Kunstgødning</v>
      </c>
      <c r="B123" s="171" t="str">
        <f t="shared" si="2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27"/>
        <v>0</v>
      </c>
      <c r="E123" s="171">
        <f t="shared" si="2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/>
      <c r="K123" s="94"/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982391.24658337084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0"/>
        <v>-982391.24658337084</v>
      </c>
      <c r="P123" s="94">
        <f t="shared" si="17"/>
        <v>0</v>
      </c>
      <c r="Q123" s="180">
        <f t="shared" si="21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2"/>
        <v>0</v>
      </c>
      <c r="V123" s="169">
        <f>P123*IFERROR(VLOOKUP(A123,[1]Tørstofindhold!A$2:B$25,2,FALSE),0)</f>
        <v>0</v>
      </c>
      <c r="W123">
        <f>IF(E123=År1,Q123,SUM(P123,Q123))*IFERROR(VLOOKUP(A123,[1]Tørstofindhold!A$2:B$25,2,FALSE),0)</f>
        <v>0</v>
      </c>
      <c r="X123">
        <f>K123*IFERROR(VLOOKUP(A123,[1]Tørstofindhold!A$2:B$25,2,FALSE),0)</f>
        <v>0</v>
      </c>
      <c r="Y123" s="170">
        <f t="shared" si="23"/>
        <v>0</v>
      </c>
      <c r="Z123">
        <f t="shared" ca="1" si="18"/>
        <v>1</v>
      </c>
      <c r="AA123">
        <f t="shared" ca="1" si="19"/>
        <v>0</v>
      </c>
    </row>
    <row r="124" spans="1:27" x14ac:dyDescent="0.25">
      <c r="A124" s="171" t="str">
        <f t="shared" si="24"/>
        <v>Kvæggylle</v>
      </c>
      <c r="B124" s="171" t="str">
        <f t="shared" si="2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27"/>
        <v>0</v>
      </c>
      <c r="E124" s="171">
        <f t="shared" si="2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68744.822418311582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/>
      <c r="K124" s="94"/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6874.4822418311569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0"/>
        <v>61870.340176480422</v>
      </c>
      <c r="P124" s="94">
        <f t="shared" si="17"/>
        <v>61870.340176480422</v>
      </c>
      <c r="Q124" s="180">
        <f t="shared" si="21"/>
        <v>0</v>
      </c>
      <c r="R124">
        <f>IFERROR(VLOOKUP(A124,[1]Energiindhold!$A$2:$C$11,3,FALSE),IFERROR(VLOOKUP(A124,[1]Biogasudbytte!$A$2:$B$18,2,FALSE)*[1]Energiindhold!$C$10,0))*P124</f>
        <v>3.1318147493932628E-2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3.1318147493932628E-2</v>
      </c>
      <c r="T124">
        <f>IFERROR(VLOOKUP(A124,[1]Biogasudbytte!$A$2:$B$18,2,FALSE)*[1]Energiindhold!$C$10,0)*K124*IFERROR(VLOOKUP(A124,Biogasanlæg!$F$3:$G$8,2,FALSE),1)</f>
        <v>0</v>
      </c>
      <c r="U124" s="170">
        <f t="shared" si="22"/>
        <v>3.1318147493932628E-2</v>
      </c>
      <c r="V124" s="169">
        <f>P124*IFERROR(VLOOKUP(A124,[1]Tørstofindhold!A$2:B$25,2,FALSE),0)</f>
        <v>4702.1458534125122</v>
      </c>
      <c r="W124">
        <f>IF(E124=År1,Q124,SUM(P124,Q124))*IFERROR(VLOOKUP(A124,[1]Tørstofindhold!A$2:B$25,2,FALSE),0)</f>
        <v>4702.1458534125122</v>
      </c>
      <c r="X124">
        <f>K124*IFERROR(VLOOKUP(A124,[1]Tørstofindhold!A$2:B$25,2,FALSE),0)</f>
        <v>0</v>
      </c>
      <c r="Y124" s="170">
        <f t="shared" si="23"/>
        <v>4702.1458534125122</v>
      </c>
      <c r="Z124">
        <f t="shared" si="18"/>
        <v>0</v>
      </c>
      <c r="AA124">
        <f t="shared" si="19"/>
        <v>1</v>
      </c>
    </row>
    <row r="125" spans="1:27" x14ac:dyDescent="0.25">
      <c r="A125" s="171" t="str">
        <f t="shared" si="24"/>
        <v>Mælk til foder</v>
      </c>
      <c r="B125" s="171" t="str">
        <f t="shared" si="2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27"/>
        <v>0</v>
      </c>
      <c r="E125" s="171">
        <f t="shared" si="2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0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0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/>
      <c r="K125" s="94"/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0"/>
        <v>0</v>
      </c>
      <c r="P125" s="94">
        <f t="shared" si="17"/>
        <v>0</v>
      </c>
      <c r="Q125" s="180">
        <f t="shared" si="21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2"/>
        <v>0</v>
      </c>
      <c r="V125" s="169">
        <f>P125*IFERROR(VLOOKUP(A125,[1]Tørstofindhold!A$2:B$25,2,FALSE),0)</f>
        <v>0</v>
      </c>
      <c r="W125">
        <f>IF(E125=År1,Q125,SUM(P125,Q125))*IFERROR(VLOOKUP(A125,[1]Tørstofindhold!A$2:B$25,2,FALSE),0)</f>
        <v>0</v>
      </c>
      <c r="X125">
        <f>K125*IFERROR(VLOOKUP(A125,[1]Tørstofindhold!A$2:B$25,2,FALSE),0)</f>
        <v>0</v>
      </c>
      <c r="Y125" s="170">
        <f t="shared" si="23"/>
        <v>0</v>
      </c>
      <c r="Z125">
        <f t="shared" si="18"/>
        <v>0</v>
      </c>
      <c r="AA125">
        <f t="shared" si="19"/>
        <v>0</v>
      </c>
    </row>
    <row r="126" spans="1:27" x14ac:dyDescent="0.25">
      <c r="A126" s="171" t="str">
        <f t="shared" si="24"/>
        <v>Majs</v>
      </c>
      <c r="B126" s="171" t="str">
        <f t="shared" si="2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27"/>
        <v>1</v>
      </c>
      <c r="E126" s="171">
        <f t="shared" si="2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414732.57617739204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472676.57715918368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/>
      <c r="K126" s="94"/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0"/>
        <v>-57944.000981791643</v>
      </c>
      <c r="P126" s="94">
        <f t="shared" si="17"/>
        <v>0</v>
      </c>
      <c r="Q126" s="180">
        <f t="shared" si="21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2"/>
        <v>0</v>
      </c>
      <c r="V126" s="169">
        <f>P126*IFERROR(VLOOKUP(A126,[1]Tørstofindhold!A$2:B$25,2,FALSE),0)</f>
        <v>0</v>
      </c>
      <c r="W126">
        <f>IF(E126=År1,Q126,SUM(P126,Q126))*IFERROR(VLOOKUP(A126,[1]Tørstofindhold!A$2:B$25,2,FALSE),0)</f>
        <v>0</v>
      </c>
      <c r="X126">
        <f>K126*IFERROR(VLOOKUP(A126,[1]Tørstofindhold!A$2:B$25,2,FALSE),0)</f>
        <v>0</v>
      </c>
      <c r="Y126" s="170">
        <f t="shared" si="23"/>
        <v>0</v>
      </c>
      <c r="Z126">
        <f t="shared" si="18"/>
        <v>0</v>
      </c>
      <c r="AA126">
        <f t="shared" si="19"/>
        <v>1</v>
      </c>
    </row>
    <row r="127" spans="1:27" x14ac:dyDescent="0.25">
      <c r="A127" s="171" t="str">
        <f t="shared" si="24"/>
        <v>Mejeriprodukter</v>
      </c>
      <c r="B127" s="171" t="str">
        <f t="shared" si="2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27"/>
        <v>1</v>
      </c>
      <c r="E127" s="171">
        <f t="shared" si="2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0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/>
      <c r="K127" s="94"/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0"/>
        <v>0</v>
      </c>
      <c r="P127" s="94">
        <f t="shared" si="17"/>
        <v>0</v>
      </c>
      <c r="Q127" s="180">
        <f t="shared" si="21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2"/>
        <v>0</v>
      </c>
      <c r="V127" s="169">
        <f>P127*IFERROR(VLOOKUP(A127,[1]Tørstofindhold!A$2:B$25,2,FALSE),0)</f>
        <v>0</v>
      </c>
      <c r="W127">
        <f>IF(E127=År1,Q127,SUM(P127,Q127))*IFERROR(VLOOKUP(A127,[1]Tørstofindhold!A$2:B$25,2,FALSE),0)</f>
        <v>0</v>
      </c>
      <c r="X127">
        <f>K127*IFERROR(VLOOKUP(A127,[1]Tørstofindhold!A$2:B$25,2,FALSE),0)</f>
        <v>0</v>
      </c>
      <c r="Y127" s="170">
        <f t="shared" si="23"/>
        <v>0</v>
      </c>
      <c r="Z127">
        <f t="shared" si="18"/>
        <v>0</v>
      </c>
      <c r="AA127">
        <f t="shared" si="19"/>
        <v>0</v>
      </c>
    </row>
    <row r="128" spans="1:27" x14ac:dyDescent="0.25">
      <c r="A128" s="171" t="str">
        <f t="shared" si="24"/>
        <v>Muslinger</v>
      </c>
      <c r="B128" s="171" t="str">
        <f t="shared" si="2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27"/>
        <v>1</v>
      </c>
      <c r="E128" s="171">
        <f t="shared" si="2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/>
      <c r="K128" s="94"/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0"/>
        <v>878.90231344976178</v>
      </c>
      <c r="P128" s="94">
        <f t="shared" si="17"/>
        <v>878.90231344976178</v>
      </c>
      <c r="Q128" s="180">
        <f t="shared" si="21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2"/>
        <v>7.8881482632116122E-4</v>
      </c>
      <c r="V128" s="169">
        <f>P128*IFERROR(VLOOKUP(A128,[1]Tørstofindhold!A$2:B$25,2,FALSE),0)</f>
        <v>131.83534701746427</v>
      </c>
      <c r="W128">
        <f>IF(E128=År1,Q128,SUM(P128,Q128))*IFERROR(VLOOKUP(A128,[1]Tørstofindhold!A$2:B$25,2,FALSE),0)</f>
        <v>131.83534701746427</v>
      </c>
      <c r="X128">
        <f>K128*IFERROR(VLOOKUP(A128,[1]Tørstofindhold!A$2:B$25,2,FALSE),0)</f>
        <v>0</v>
      </c>
      <c r="Y128" s="170">
        <f t="shared" si="23"/>
        <v>131.83534701746427</v>
      </c>
      <c r="Z128">
        <f t="shared" si="18"/>
        <v>0</v>
      </c>
      <c r="AA128">
        <f t="shared" si="19"/>
        <v>1</v>
      </c>
    </row>
    <row r="129" spans="1:27" x14ac:dyDescent="0.25">
      <c r="A129" s="171" t="str">
        <f t="shared" si="24"/>
        <v>Oksekød</v>
      </c>
      <c r="B129" s="171" t="str">
        <f t="shared" si="2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27"/>
        <v>1</v>
      </c>
      <c r="E129" s="171">
        <f t="shared" si="2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3915.1017916004403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/>
      <c r="K129" s="94"/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0"/>
        <v>3915.1017916004403</v>
      </c>
      <c r="P129" s="94">
        <f t="shared" si="17"/>
        <v>0</v>
      </c>
      <c r="Q129" s="180">
        <f t="shared" si="21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2"/>
        <v>0</v>
      </c>
      <c r="V129" s="169">
        <f>P129*IFERROR(VLOOKUP(A129,[1]Tørstofindhold!A$2:B$25,2,FALSE),0)</f>
        <v>0</v>
      </c>
      <c r="W129">
        <f>IF(E129=År1,Q129,SUM(P129,Q129))*IFERROR(VLOOKUP(A129,[1]Tørstofindhold!A$2:B$25,2,FALSE),0)</f>
        <v>0</v>
      </c>
      <c r="X129">
        <f>K129*IFERROR(VLOOKUP(A129,[1]Tørstofindhold!A$2:B$25,2,FALSE),0)</f>
        <v>0</v>
      </c>
      <c r="Y129" s="170">
        <f t="shared" si="23"/>
        <v>0</v>
      </c>
      <c r="Z129">
        <f t="shared" si="18"/>
        <v>0</v>
      </c>
      <c r="AA129">
        <f t="shared" si="19"/>
        <v>1</v>
      </c>
    </row>
    <row r="130" spans="1:27" x14ac:dyDescent="0.25">
      <c r="A130" s="171" t="str">
        <f t="shared" si="24"/>
        <v>Øvrige</v>
      </c>
      <c r="B130" s="171" t="str">
        <f t="shared" si="2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27"/>
        <v>1</v>
      </c>
      <c r="E130" s="171">
        <f t="shared" si="2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91558.70508823132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/>
      <c r="K130" s="94"/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0"/>
        <v>91558.70508823132</v>
      </c>
      <c r="P130" s="94">
        <f t="shared" si="17"/>
        <v>0</v>
      </c>
      <c r="Q130" s="180">
        <f t="shared" si="21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2"/>
        <v>0</v>
      </c>
      <c r="V130" s="169">
        <f>P130*IFERROR(VLOOKUP(A130,[1]Tørstofindhold!A$2:B$25,2,FALSE),0)</f>
        <v>0</v>
      </c>
      <c r="W130">
        <f>IF(E130=År1,Q130,SUM(P130,Q130))*IFERROR(VLOOKUP(A130,[1]Tørstofindhold!A$2:B$25,2,FALSE),0)</f>
        <v>0</v>
      </c>
      <c r="X130">
        <f>K130*IFERROR(VLOOKUP(A130,[1]Tørstofindhold!A$2:B$25,2,FALSE),0)</f>
        <v>0</v>
      </c>
      <c r="Y130" s="170">
        <f t="shared" si="23"/>
        <v>0</v>
      </c>
      <c r="Z130">
        <f t="shared" si="18"/>
        <v>0</v>
      </c>
      <c r="AA130">
        <f t="shared" si="19"/>
        <v>1</v>
      </c>
    </row>
    <row r="131" spans="1:27" x14ac:dyDescent="0.25">
      <c r="A131" s="171" t="str">
        <f t="shared" si="24"/>
        <v>Pil &amp; poppel</v>
      </c>
      <c r="B131" s="171" t="str">
        <f t="shared" si="2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27"/>
        <v>0</v>
      </c>
      <c r="E131" s="171">
        <f t="shared" si="2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1328394.2479560631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/>
      <c r="K131" s="94"/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1328394.2479560631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0"/>
        <v>0</v>
      </c>
      <c r="P131" s="94">
        <f t="shared" si="17"/>
        <v>0</v>
      </c>
      <c r="Q131" s="180">
        <f t="shared" si="21"/>
        <v>1328394.2479560631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24.442454162391556</v>
      </c>
      <c r="T131">
        <f>IFERROR(VLOOKUP(A131,[1]Biogasudbytte!$A$2:$B$18,2,FALSE)*[1]Energiindhold!$C$10,0)*K131*IFERROR(VLOOKUP(A131,Biogasanlæg!$F$3:$G$8,2,FALSE),1)</f>
        <v>0</v>
      </c>
      <c r="U131" s="170">
        <f t="shared" si="22"/>
        <v>24.442454162391556</v>
      </c>
      <c r="V131" s="169">
        <f>P131*IFERROR(VLOOKUP(A131,[1]Tørstofindhold!A$2:B$25,2,FALSE),0)</f>
        <v>0</v>
      </c>
      <c r="W131">
        <f>IF(E131=År1,Q131,SUM(P131,Q131))*IFERROR(VLOOKUP(A131,[1]Tørstofindhold!A$2:B$25,2,FALSE),0)</f>
        <v>551283.6129017662</v>
      </c>
      <c r="X131">
        <f>K131*IFERROR(VLOOKUP(A131,[1]Tørstofindhold!A$2:B$25,2,FALSE),0)</f>
        <v>0</v>
      </c>
      <c r="Y131" s="170">
        <f t="shared" si="23"/>
        <v>551283.6129017662</v>
      </c>
      <c r="Z131">
        <f t="shared" si="18"/>
        <v>0</v>
      </c>
      <c r="AA131">
        <f t="shared" si="19"/>
        <v>0</v>
      </c>
    </row>
    <row r="132" spans="1:27" x14ac:dyDescent="0.25">
      <c r="A132" s="171" t="str">
        <f>A84</f>
        <v>Pyrolysegas</v>
      </c>
      <c r="B132" s="171" t="str">
        <f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27"/>
        <v>0</v>
      </c>
      <c r="E132" s="171">
        <f t="shared" si="2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/>
      <c r="K132" s="94"/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>G132-SUM(H132:N132)</f>
        <v>0</v>
      </c>
      <c r="P132" s="94">
        <f t="shared" ref="P132:P195" si="28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>S132-T132</f>
        <v>0</v>
      </c>
      <c r="V132" s="169">
        <f>P132*IFERROR(VLOOKUP(A132,[1]Tørstofindhold!A$2:B$25,2,FALSE),0)</f>
        <v>0</v>
      </c>
      <c r="W132">
        <f>IF(E132=År1,Q132,SUM(P132,Q132))*IFERROR(VLOOKUP(A132,[1]Tørstofindhold!A$2:B$25,2,FALSE),0)</f>
        <v>0</v>
      </c>
      <c r="X132">
        <f>K132*IFERROR(VLOOKUP(A132,[1]Tørstofindhold!A$2:B$25,2,FALSE),0)</f>
        <v>0</v>
      </c>
      <c r="Y132" s="170">
        <f>W132-X132</f>
        <v>0</v>
      </c>
      <c r="Z132">
        <f t="shared" ref="Z132:Z195" si="29">IF(SUMIFS($O$4:$O$291,$A$4:$A$291,A132,$E$4:$E$291,E132)&lt;0,1,0)</f>
        <v>0</v>
      </c>
      <c r="AA132">
        <f t="shared" ref="AA132:AA195" si="30">IF(SUMIFS($O$4:$O$291,$A$4:$A$291,A132,$E$4:$E$291,E132)&gt;0,1,0)</f>
        <v>0</v>
      </c>
    </row>
    <row r="133" spans="1:27" x14ac:dyDescent="0.25">
      <c r="A133" s="171" t="str">
        <f>A85</f>
        <v>Pyrolyseolie</v>
      </c>
      <c r="B133" s="171" t="str">
        <f>IF(B85&lt;&gt;"",B85,"")</f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27"/>
        <v>0</v>
      </c>
      <c r="E133" s="171">
        <f t="shared" si="2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/>
      <c r="K133" s="94"/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>G133-SUM(H133:N133)</f>
        <v>0</v>
      </c>
      <c r="P133" s="94">
        <f t="shared" si="28"/>
        <v>0</v>
      </c>
      <c r="Q133" s="180">
        <f>SUM(K133,M133)</f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>S133-T133</f>
        <v>0</v>
      </c>
      <c r="V133" s="169">
        <f>P133*IFERROR(VLOOKUP(A133,[1]Tørstofindhold!A$2:B$25,2,FALSE),0)</f>
        <v>0</v>
      </c>
      <c r="W133">
        <f>IF(E133=År1,Q133,SUM(P133,Q133))*IFERROR(VLOOKUP(A133,[1]Tørstofindhold!A$2:B$25,2,FALSE),0)</f>
        <v>0</v>
      </c>
      <c r="X133">
        <f>K133*IFERROR(VLOOKUP(A133,[1]Tørstofindhold!A$2:B$25,2,FALSE),0)</f>
        <v>0</v>
      </c>
      <c r="Y133" s="170">
        <f>W133-X133</f>
        <v>0</v>
      </c>
      <c r="Z133">
        <f t="shared" si="29"/>
        <v>0</v>
      </c>
      <c r="AA133">
        <f t="shared" si="30"/>
        <v>0</v>
      </c>
    </row>
    <row r="134" spans="1:27" x14ac:dyDescent="0.25">
      <c r="A134" s="171" t="str">
        <f t="shared" ref="A134:A147" si="31">A86</f>
        <v>Råmælk</v>
      </c>
      <c r="B134" s="171" t="str">
        <f t="shared" ref="B134:B147" si="32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27"/>
        <v>0</v>
      </c>
      <c r="E134" s="171">
        <f t="shared" si="2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0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/>
      <c r="K134" s="94"/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0"/>
        <v>0</v>
      </c>
      <c r="P134" s="94">
        <f t="shared" si="28"/>
        <v>0</v>
      </c>
      <c r="Q134" s="180">
        <f t="shared" si="21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2"/>
        <v>0</v>
      </c>
      <c r="V134" s="169">
        <f>P134*IFERROR(VLOOKUP(A134,[1]Tørstofindhold!A$2:B$25,2,FALSE),0)</f>
        <v>0</v>
      </c>
      <c r="W134">
        <f>IF(E134=År1,Q134,SUM(P134,Q134))*IFERROR(VLOOKUP(A134,[1]Tørstofindhold!A$2:B$25,2,FALSE),0)</f>
        <v>0</v>
      </c>
      <c r="X134">
        <f>K134*IFERROR(VLOOKUP(A134,[1]Tørstofindhold!A$2:B$25,2,FALSE),0)</f>
        <v>0</v>
      </c>
      <c r="Y134" s="170">
        <f t="shared" si="23"/>
        <v>0</v>
      </c>
      <c r="Z134">
        <f t="shared" si="29"/>
        <v>0</v>
      </c>
      <c r="AA134">
        <f t="shared" si="30"/>
        <v>0</v>
      </c>
    </row>
    <row r="135" spans="1:27" x14ac:dyDescent="0.25">
      <c r="A135" s="171" t="str">
        <f t="shared" si="31"/>
        <v>Raps</v>
      </c>
      <c r="B135" s="171" t="str">
        <f t="shared" si="32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27"/>
        <v>0</v>
      </c>
      <c r="E135" s="171">
        <f t="shared" si="2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670636.87299018225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/>
      <c r="K135" s="94"/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670636.87299018225</v>
      </c>
      <c r="O135" s="179">
        <f t="shared" si="20"/>
        <v>0</v>
      </c>
      <c r="P135" s="94">
        <f t="shared" si="28"/>
        <v>0</v>
      </c>
      <c r="Q135" s="180">
        <f t="shared" si="21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2"/>
        <v>0</v>
      </c>
      <c r="V135" s="169">
        <f>P135*IFERROR(VLOOKUP(A135,[1]Tørstofindhold!A$2:B$25,2,FALSE),0)</f>
        <v>0</v>
      </c>
      <c r="W135">
        <f>IF(E135=År1,Q135,SUM(P135,Q135))*IFERROR(VLOOKUP(A135,[1]Tørstofindhold!A$2:B$25,2,FALSE),0)</f>
        <v>0</v>
      </c>
      <c r="X135">
        <f>K135*IFERROR(VLOOKUP(A135,[1]Tørstofindhold!A$2:B$25,2,FALSE),0)</f>
        <v>0</v>
      </c>
      <c r="Y135" s="170">
        <f t="shared" si="23"/>
        <v>0</v>
      </c>
      <c r="Z135">
        <f t="shared" si="29"/>
        <v>0</v>
      </c>
      <c r="AA135">
        <f t="shared" si="30"/>
        <v>0</v>
      </c>
    </row>
    <row r="136" spans="1:27" x14ac:dyDescent="0.25">
      <c r="A136" s="171" t="str">
        <f t="shared" si="31"/>
        <v>Rapskage</v>
      </c>
      <c r="B136" s="171" t="str">
        <f t="shared" si="32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27"/>
        <v>0</v>
      </c>
      <c r="E136" s="171">
        <f t="shared" si="2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335318.43649509113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17935.514963231879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/>
      <c r="K136" s="94"/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0"/>
        <v>317382.92153185926</v>
      </c>
      <c r="P136" s="94">
        <f t="shared" si="28"/>
        <v>0</v>
      </c>
      <c r="Q136" s="180">
        <f t="shared" si="21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2"/>
        <v>0</v>
      </c>
      <c r="V136" s="169">
        <f>P136*IFERROR(VLOOKUP(A136,[1]Tørstofindhold!A$2:B$25,2,FALSE),0)</f>
        <v>0</v>
      </c>
      <c r="W136">
        <f>IF(E136=År1,Q136,SUM(P136,Q136))*IFERROR(VLOOKUP(A136,[1]Tørstofindhold!A$2:B$25,2,FALSE),0)</f>
        <v>0</v>
      </c>
      <c r="X136">
        <f>K136*IFERROR(VLOOKUP(A136,[1]Tørstofindhold!A$2:B$25,2,FALSE),0)</f>
        <v>0</v>
      </c>
      <c r="Y136" s="170">
        <f t="shared" si="23"/>
        <v>0</v>
      </c>
      <c r="Z136">
        <f t="shared" si="29"/>
        <v>0</v>
      </c>
      <c r="AA136">
        <f t="shared" si="30"/>
        <v>1</v>
      </c>
    </row>
    <row r="137" spans="1:27" x14ac:dyDescent="0.25">
      <c r="A137" s="171" t="str">
        <f t="shared" si="31"/>
        <v>Rapsolie</v>
      </c>
      <c r="B137" s="171" t="str">
        <f t="shared" si="32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27"/>
        <v>1</v>
      </c>
      <c r="E137" s="171">
        <f t="shared" si="2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214603.79935685833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/>
      <c r="K137" s="94"/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214603.79935685833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0"/>
        <v>0</v>
      </c>
      <c r="P137" s="94">
        <f t="shared" si="28"/>
        <v>0</v>
      </c>
      <c r="Q137" s="180">
        <f t="shared" si="21"/>
        <v>214603.79935685833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7.5111329774900408</v>
      </c>
      <c r="T137">
        <f>IFERROR(VLOOKUP(A137,[1]Biogasudbytte!$A$2:$B$18,2,FALSE)*[1]Energiindhold!$C$10,0)*K137*IFERROR(VLOOKUP(A137,Biogasanlæg!$F$3:$G$8,2,FALSE),1)</f>
        <v>0</v>
      </c>
      <c r="U137" s="170">
        <f t="shared" si="22"/>
        <v>7.5111329774900408</v>
      </c>
      <c r="V137" s="169">
        <f>P137*IFERROR(VLOOKUP(A137,[1]Tørstofindhold!A$2:B$25,2,FALSE),0)</f>
        <v>0</v>
      </c>
      <c r="W137">
        <f>IF(E137=År1,Q137,SUM(P137,Q137))*IFERROR(VLOOKUP(A137,[1]Tørstofindhold!A$2:B$25,2,FALSE),0)</f>
        <v>0</v>
      </c>
      <c r="X137">
        <f>K137*IFERROR(VLOOKUP(A137,[1]Tørstofindhold!A$2:B$25,2,FALSE),0)</f>
        <v>0</v>
      </c>
      <c r="Y137" s="170">
        <f t="shared" si="23"/>
        <v>0</v>
      </c>
      <c r="Z137">
        <f t="shared" si="29"/>
        <v>0</v>
      </c>
      <c r="AA137">
        <f t="shared" si="30"/>
        <v>0</v>
      </c>
    </row>
    <row r="138" spans="1:27" x14ac:dyDescent="0.25">
      <c r="A138" s="171" t="str">
        <f t="shared" si="31"/>
        <v>Roer</v>
      </c>
      <c r="B138" s="171" t="str">
        <f t="shared" si="32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27"/>
        <v>1</v>
      </c>
      <c r="E138" s="171">
        <f t="shared" si="2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2775969.9581087129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1819188.8605265266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/>
      <c r="K138" s="94"/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0"/>
        <v>956781.09758218634</v>
      </c>
      <c r="P138" s="94">
        <f t="shared" si="28"/>
        <v>956781.09758218634</v>
      </c>
      <c r="Q138" s="180">
        <f t="shared" si="21"/>
        <v>0</v>
      </c>
      <c r="R138">
        <f>IFERROR(VLOOKUP(A138,[1]Energiindhold!$A$2:$C$11,3,FALSE),IFERROR(VLOOKUP(A138,[1]Biogasudbytte!$A$2:$B$18,2,FALSE)*[1]Energiindhold!$C$10,0))*P138</f>
        <v>2.5967421700819568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2.5967421700819568</v>
      </c>
      <c r="T138">
        <f>IFERROR(VLOOKUP(A138,[1]Biogasudbytte!$A$2:$B$18,2,FALSE)*[1]Energiindhold!$C$10,0)*K138*IFERROR(VLOOKUP(A138,Biogasanlæg!$F$3:$G$8,2,FALSE),1)</f>
        <v>0</v>
      </c>
      <c r="U138" s="170">
        <f t="shared" si="22"/>
        <v>2.5967421700819568</v>
      </c>
      <c r="V138" s="169">
        <f>P138*IFERROR(VLOOKUP(A138,[1]Tørstofindhold!A$2:B$25,2,FALSE),0)</f>
        <v>191356.21951643727</v>
      </c>
      <c r="W138">
        <f>IF(E138=År1,Q138,SUM(P138,Q138))*IFERROR(VLOOKUP(A138,[1]Tørstofindhold!A$2:B$25,2,FALSE),0)</f>
        <v>191356.21951643727</v>
      </c>
      <c r="X138">
        <f>K138*IFERROR(VLOOKUP(A138,[1]Tørstofindhold!A$2:B$25,2,FALSE),0)</f>
        <v>0</v>
      </c>
      <c r="Y138" s="170">
        <f t="shared" si="23"/>
        <v>191356.21951643727</v>
      </c>
      <c r="Z138">
        <f t="shared" si="29"/>
        <v>0</v>
      </c>
      <c r="AA138">
        <f t="shared" si="30"/>
        <v>1</v>
      </c>
    </row>
    <row r="139" spans="1:27" x14ac:dyDescent="0.25">
      <c r="A139" s="171" t="str">
        <f t="shared" si="31"/>
        <v>Slagteriaffald til andet</v>
      </c>
      <c r="B139" s="171" t="str">
        <f t="shared" si="32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27"/>
        <v>0</v>
      </c>
      <c r="E139" s="171">
        <f t="shared" si="2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6885.6435501498472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/>
      <c r="K139" s="94"/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0"/>
        <v>6885.6435501498472</v>
      </c>
      <c r="P139" s="94">
        <f t="shared" si="28"/>
        <v>0</v>
      </c>
      <c r="Q139" s="180">
        <f t="shared" si="21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2"/>
        <v>0</v>
      </c>
      <c r="V139" s="169">
        <f>P139*IFERROR(VLOOKUP(A139,[1]Tørstofindhold!A$2:B$25,2,FALSE),0)</f>
        <v>0</v>
      </c>
      <c r="W139">
        <f>IF(E139=År1,Q139,SUM(P139,Q139))*IFERROR(VLOOKUP(A139,[1]Tørstofindhold!A$2:B$25,2,FALSE),0)</f>
        <v>0</v>
      </c>
      <c r="X139">
        <f>K139*IFERROR(VLOOKUP(A139,[1]Tørstofindhold!A$2:B$25,2,FALSE),0)</f>
        <v>0</v>
      </c>
      <c r="Y139" s="170">
        <f t="shared" si="23"/>
        <v>0</v>
      </c>
      <c r="Z139">
        <f t="shared" si="29"/>
        <v>0</v>
      </c>
      <c r="AA139">
        <f t="shared" si="30"/>
        <v>1</v>
      </c>
    </row>
    <row r="140" spans="1:27" x14ac:dyDescent="0.25">
      <c r="A140" s="171" t="str">
        <f t="shared" si="31"/>
        <v>Slagteriaffald til foder</v>
      </c>
      <c r="B140" s="171" t="str">
        <f t="shared" si="32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27"/>
        <v>0</v>
      </c>
      <c r="E140" s="171">
        <f t="shared" si="2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4618.1462568237339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4432.6987357664457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/>
      <c r="K140" s="94"/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0"/>
        <v>185.44752105728821</v>
      </c>
      <c r="P140" s="94">
        <f t="shared" si="28"/>
        <v>0</v>
      </c>
      <c r="Q140" s="180">
        <f t="shared" si="21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2"/>
        <v>0</v>
      </c>
      <c r="V140" s="169">
        <f>P140*IFERROR(VLOOKUP(A140,[1]Tørstofindhold!A$2:B$25,2,FALSE),0)</f>
        <v>0</v>
      </c>
      <c r="W140">
        <f>IF(E140=År1,Q140,SUM(P140,Q140))*IFERROR(VLOOKUP(A140,[1]Tørstofindhold!A$2:B$25,2,FALSE),0)</f>
        <v>0</v>
      </c>
      <c r="X140">
        <f>K140*IFERROR(VLOOKUP(A140,[1]Tørstofindhold!A$2:B$25,2,FALSE),0)</f>
        <v>0</v>
      </c>
      <c r="Y140" s="170">
        <f t="shared" si="23"/>
        <v>0</v>
      </c>
      <c r="Z140">
        <f t="shared" si="29"/>
        <v>0</v>
      </c>
      <c r="AA140">
        <f t="shared" si="30"/>
        <v>1</v>
      </c>
    </row>
    <row r="141" spans="1:27" x14ac:dyDescent="0.25">
      <c r="A141" s="171" t="str">
        <f t="shared" si="31"/>
        <v>Spildevandsslam</v>
      </c>
      <c r="B141" s="171" t="str">
        <f t="shared" si="32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27"/>
        <v>0</v>
      </c>
      <c r="E141" s="171">
        <f t="shared" si="2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4002333.5486616795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/>
      <c r="K141" s="94"/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0"/>
        <v>4002333.5486616795</v>
      </c>
      <c r="P141" s="94">
        <f t="shared" si="28"/>
        <v>4002333.5486616795</v>
      </c>
      <c r="Q141" s="180">
        <f t="shared" si="21"/>
        <v>0</v>
      </c>
      <c r="R141">
        <f>IFERROR(VLOOKUP(A141,[1]Energiindhold!$A$2:$C$11,3,FALSE),IFERROR(VLOOKUP(A141,[1]Biogasudbytte!$A$2:$B$18,2,FALSE)*[1]Energiindhold!$C$10,0))*P141</f>
        <v>1.9972044641176649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1.9972044641176649</v>
      </c>
      <c r="T141">
        <f>IFERROR(VLOOKUP(A141,[1]Biogasudbytte!$A$2:$B$18,2,FALSE)*[1]Energiindhold!$C$10,0)*K141*IFERROR(VLOOKUP(A141,Biogasanlæg!$F$3:$G$8,2,FALSE),1)</f>
        <v>0</v>
      </c>
      <c r="U141" s="170">
        <f t="shared" si="22"/>
        <v>1.9972044641176649</v>
      </c>
      <c r="V141" s="169">
        <f>P141*IFERROR(VLOOKUP(A141,[1]Tørstofindhold!A$2:B$25,2,FALSE),0)</f>
        <v>240140.01291970076</v>
      </c>
      <c r="W141">
        <f>IF(E141=År1,Q141,SUM(P141,Q141))*IFERROR(VLOOKUP(A141,[1]Tørstofindhold!A$2:B$25,2,FALSE),0)</f>
        <v>240140.01291970076</v>
      </c>
      <c r="X141">
        <f>K141*IFERROR(VLOOKUP(A141,[1]Tørstofindhold!A$2:B$25,2,FALSE),0)</f>
        <v>0</v>
      </c>
      <c r="Y141" s="170">
        <f t="shared" si="23"/>
        <v>240140.01291970076</v>
      </c>
      <c r="Z141">
        <f t="shared" si="29"/>
        <v>0</v>
      </c>
      <c r="AA141">
        <f t="shared" si="30"/>
        <v>1</v>
      </c>
    </row>
    <row r="142" spans="1:27" x14ac:dyDescent="0.25">
      <c r="A142" s="171" t="str">
        <f t="shared" si="31"/>
        <v>Svinegylle</v>
      </c>
      <c r="B142" s="171" t="str">
        <f t="shared" si="32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27"/>
        <v>0</v>
      </c>
      <c r="E142" s="171">
        <f t="shared" si="2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/>
      <c r="K142" s="94"/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0"/>
        <v>0</v>
      </c>
      <c r="P142" s="94">
        <f t="shared" si="28"/>
        <v>0</v>
      </c>
      <c r="Q142" s="180">
        <f t="shared" si="21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2"/>
        <v>0</v>
      </c>
      <c r="V142" s="169">
        <f>P142*IFERROR(VLOOKUP(A142,[1]Tørstofindhold!A$2:B$25,2,FALSE),0)</f>
        <v>0</v>
      </c>
      <c r="W142">
        <f>IF(E142=År1,Q142,SUM(P142,Q142))*IFERROR(VLOOKUP(A142,[1]Tørstofindhold!A$2:B$25,2,FALSE),0)</f>
        <v>0</v>
      </c>
      <c r="X142">
        <f>K142*IFERROR(VLOOKUP(A142,[1]Tørstofindhold!A$2:B$25,2,FALSE),0)</f>
        <v>0</v>
      </c>
      <c r="Y142" s="170">
        <f t="shared" si="23"/>
        <v>0</v>
      </c>
      <c r="Z142">
        <f t="shared" si="29"/>
        <v>0</v>
      </c>
      <c r="AA142">
        <f t="shared" si="30"/>
        <v>0</v>
      </c>
    </row>
    <row r="143" spans="1:27" x14ac:dyDescent="0.25">
      <c r="A143" s="171" t="str">
        <f t="shared" si="31"/>
        <v>Svinekød</v>
      </c>
      <c r="B143" s="171" t="str">
        <f t="shared" si="32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27"/>
        <v>1</v>
      </c>
      <c r="E143" s="171">
        <f t="shared" si="2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48971.913359549246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/>
      <c r="K143" s="94"/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0"/>
        <v>48971.913359549246</v>
      </c>
      <c r="P143" s="94">
        <f t="shared" si="28"/>
        <v>0</v>
      </c>
      <c r="Q143" s="180">
        <f t="shared" si="21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2"/>
        <v>0</v>
      </c>
      <c r="V143" s="169">
        <f>P143*IFERROR(VLOOKUP(A143,[1]Tørstofindhold!A$2:B$25,2,FALSE),0)</f>
        <v>0</v>
      </c>
      <c r="W143">
        <f>IF(E143=År1,Q143,SUM(P143,Q143))*IFERROR(VLOOKUP(A143,[1]Tørstofindhold!A$2:B$25,2,FALSE),0)</f>
        <v>0</v>
      </c>
      <c r="X143">
        <f>K143*IFERROR(VLOOKUP(A143,[1]Tørstofindhold!A$2:B$25,2,FALSE),0)</f>
        <v>0</v>
      </c>
      <c r="Y143" s="170">
        <f t="shared" si="23"/>
        <v>0</v>
      </c>
      <c r="Z143">
        <f t="shared" si="29"/>
        <v>0</v>
      </c>
      <c r="AA143">
        <f t="shared" si="30"/>
        <v>1</v>
      </c>
    </row>
    <row r="144" spans="1:27" x14ac:dyDescent="0.25">
      <c r="A144" s="171" t="str">
        <f t="shared" si="31"/>
        <v>Tang</v>
      </c>
      <c r="B144" s="171" t="str">
        <f t="shared" si="32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27"/>
        <v>1</v>
      </c>
      <c r="E144" s="171">
        <f t="shared" si="2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76.5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/>
      <c r="K144" s="94"/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0"/>
        <v>76.5</v>
      </c>
      <c r="P144" s="94">
        <f t="shared" si="28"/>
        <v>76.5</v>
      </c>
      <c r="Q144" s="180">
        <f t="shared" si="21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22"/>
        <v>6.8658750000000004E-5</v>
      </c>
      <c r="V144" s="169">
        <f>P144*IFERROR(VLOOKUP(A144,[1]Tørstofindhold!A$2:B$25,2,FALSE),0)</f>
        <v>11.475</v>
      </c>
      <c r="W144">
        <f>IF(E144=År1,Q144,SUM(P144,Q144))*IFERROR(VLOOKUP(A144,[1]Tørstofindhold!A$2:B$25,2,FALSE),0)</f>
        <v>11.475</v>
      </c>
      <c r="X144">
        <f>K144*IFERROR(VLOOKUP(A144,[1]Tørstofindhold!A$2:B$25,2,FALSE),0)</f>
        <v>0</v>
      </c>
      <c r="Y144" s="170">
        <f t="shared" si="23"/>
        <v>11.475</v>
      </c>
      <c r="Z144">
        <f t="shared" si="29"/>
        <v>0</v>
      </c>
      <c r="AA144">
        <f t="shared" si="30"/>
        <v>1</v>
      </c>
    </row>
    <row r="145" spans="1:27" x14ac:dyDescent="0.25">
      <c r="A145" s="171" t="str">
        <f t="shared" si="31"/>
        <v>Total til biogas</v>
      </c>
      <c r="B145" s="171" t="str">
        <f t="shared" si="32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27"/>
        <v>0</v>
      </c>
      <c r="E145" s="171">
        <f t="shared" si="2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/>
      <c r="K145" s="94"/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0"/>
        <v>0</v>
      </c>
      <c r="P145" s="94">
        <f t="shared" si="28"/>
        <v>0</v>
      </c>
      <c r="Q145" s="180">
        <f t="shared" si="21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2"/>
        <v>0</v>
      </c>
      <c r="V145" s="169">
        <f>P145*IFERROR(VLOOKUP(A145,[1]Tørstofindhold!A$2:B$25,2,FALSE),0)</f>
        <v>0</v>
      </c>
      <c r="W145">
        <f>IF(E145=År1,Q145,SUM(P145,Q145))*IFERROR(VLOOKUP(A145,[1]Tørstofindhold!A$2:B$25,2,FALSE),0)</f>
        <v>0</v>
      </c>
      <c r="X145">
        <f>K145*IFERROR(VLOOKUP(A145,[1]Tørstofindhold!A$2:B$25,2,FALSE),0)</f>
        <v>0</v>
      </c>
      <c r="Y145" s="170">
        <f t="shared" si="23"/>
        <v>0</v>
      </c>
      <c r="Z145">
        <f t="shared" si="29"/>
        <v>0</v>
      </c>
      <c r="AA145">
        <f t="shared" si="30"/>
        <v>0</v>
      </c>
    </row>
    <row r="146" spans="1:27" x14ac:dyDescent="0.25">
      <c r="A146" s="171" t="str">
        <f t="shared" si="31"/>
        <v>Træ til energi</v>
      </c>
      <c r="B146" s="171" t="str">
        <f t="shared" si="32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27"/>
        <v>0</v>
      </c>
      <c r="E146" s="171">
        <f t="shared" si="2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2249732.4484132435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/>
      <c r="K146" s="94"/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2249732.4484132435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0"/>
        <v>0</v>
      </c>
      <c r="P146" s="94">
        <f t="shared" ca="1" si="28"/>
        <v>0</v>
      </c>
      <c r="Q146" s="180">
        <f t="shared" ca="1" si="21"/>
        <v>2249732.4484132435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32.606652249387302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2"/>
        <v>32.606652249387302</v>
      </c>
      <c r="V146" s="169">
        <f ca="1">P146*IFERROR(VLOOKUP(A146,[1]Tørstofindhold!A$2:B$25,2,FALSE),0)</f>
        <v>0</v>
      </c>
      <c r="W146">
        <f ca="1">IF(E146=År1,Q146,SUM(P146,Q146))*IFERROR(VLOOKUP(A146,[1]Tørstofindhold!A$2:B$25,2,FALSE),0)</f>
        <v>1112680.1734443833</v>
      </c>
      <c r="X146">
        <f>K146*IFERROR(VLOOKUP(A146,[1]Tørstofindhold!A$2:B$25,2,FALSE),0)</f>
        <v>0</v>
      </c>
      <c r="Y146" s="170">
        <f t="shared" ca="1" si="23"/>
        <v>1112680.1734443833</v>
      </c>
      <c r="Z146">
        <f t="shared" ca="1" si="29"/>
        <v>0</v>
      </c>
      <c r="AA146">
        <f t="shared" ca="1" si="30"/>
        <v>0</v>
      </c>
    </row>
    <row r="147" spans="1:27" x14ac:dyDescent="0.25">
      <c r="A147" s="171" t="str">
        <f t="shared" si="31"/>
        <v>Træmaterialer</v>
      </c>
      <c r="B147" s="171" t="str">
        <f t="shared" si="32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27"/>
        <v>0</v>
      </c>
      <c r="E147" s="171">
        <f t="shared" si="2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697041.55294512468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/>
      <c r="K147" s="94"/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697041.55294512468</v>
      </c>
      <c r="O147" s="179">
        <f t="shared" ca="1" si="20"/>
        <v>0</v>
      </c>
      <c r="P147" s="94">
        <f t="shared" si="28"/>
        <v>0</v>
      </c>
      <c r="Q147" s="180">
        <f t="shared" si="21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2"/>
        <v>0</v>
      </c>
      <c r="V147" s="169">
        <f>P147*IFERROR(VLOOKUP(A147,[1]Tørstofindhold!A$2:B$25,2,FALSE),0)</f>
        <v>0</v>
      </c>
      <c r="W147">
        <f>IF(E147=År1,Q147,SUM(P147,Q147))*IFERROR(VLOOKUP(A147,[1]Tørstofindhold!A$2:B$25,2,FALSE),0)</f>
        <v>0</v>
      </c>
      <c r="X147">
        <f>K147*IFERROR(VLOOKUP(A147,[1]Tørstofindhold!A$2:B$25,2,FALSE),0)</f>
        <v>0</v>
      </c>
      <c r="Y147" s="170">
        <f t="shared" si="23"/>
        <v>0</v>
      </c>
      <c r="Z147">
        <f t="shared" ca="1" si="29"/>
        <v>0</v>
      </c>
      <c r="AA147">
        <f t="shared" ca="1" si="30"/>
        <v>0</v>
      </c>
    </row>
    <row r="148" spans="1:27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27"/>
        <v>1</v>
      </c>
      <c r="E148" s="171">
        <f t="shared" ref="E148:E195" si="33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/>
      <c r="K148" s="94"/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0"/>
        <v>18450.007031483605</v>
      </c>
      <c r="P148" s="94">
        <f t="shared" si="28"/>
        <v>0</v>
      </c>
      <c r="Q148" s="180">
        <f t="shared" si="21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2"/>
        <v>0</v>
      </c>
      <c r="V148" s="169">
        <f>P148*IFERROR(VLOOKUP(A148,[1]Tørstofindhold!A$2:B$25,2,FALSE),0)</f>
        <v>0</v>
      </c>
      <c r="W148">
        <f>IF(E148=År1,Q148,SUM(P148,Q148))*IFERROR(VLOOKUP(A148,[1]Tørstofindhold!A$2:B$25,2,FALSE),0)</f>
        <v>0</v>
      </c>
      <c r="X148">
        <f>K148*IFERROR(VLOOKUP(A148,[1]Tørstofindhold!A$2:B$25,2,FALSE),0)</f>
        <v>0</v>
      </c>
      <c r="Y148" s="170">
        <f t="shared" si="23"/>
        <v>0</v>
      </c>
      <c r="Z148">
        <f t="shared" si="29"/>
        <v>0</v>
      </c>
      <c r="AA148">
        <f t="shared" si="30"/>
        <v>1</v>
      </c>
    </row>
    <row r="149" spans="1:27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27"/>
        <v>1</v>
      </c>
      <c r="E149" s="171">
        <f t="shared" si="33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/>
      <c r="K149" s="94"/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0"/>
        <v>19055.87878491775</v>
      </c>
      <c r="P149" s="94">
        <f t="shared" si="28"/>
        <v>0</v>
      </c>
      <c r="Q149" s="180">
        <f t="shared" si="21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2"/>
        <v>0</v>
      </c>
      <c r="V149" s="169">
        <f>P149*IFERROR(VLOOKUP(A149,[1]Tørstofindhold!A$2:B$25,2,FALSE),0)</f>
        <v>0</v>
      </c>
      <c r="W149">
        <f>IF(E149=År1,Q149,SUM(P149,Q149))*IFERROR(VLOOKUP(A149,[1]Tørstofindhold!A$2:B$25,2,FALSE),0)</f>
        <v>0</v>
      </c>
      <c r="X149">
        <f>K149*IFERROR(VLOOKUP(A149,[1]Tørstofindhold!A$2:B$25,2,FALSE),0)</f>
        <v>0</v>
      </c>
      <c r="Y149" s="170">
        <f t="shared" si="23"/>
        <v>0</v>
      </c>
      <c r="Z149">
        <f t="shared" si="29"/>
        <v>0</v>
      </c>
      <c r="AA149">
        <f t="shared" si="30"/>
        <v>1</v>
      </c>
    </row>
    <row r="150" spans="1:27" x14ac:dyDescent="0.25">
      <c r="A150" s="171" t="s">
        <v>102</v>
      </c>
      <c r="B150" s="171" t="s">
        <v>229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27"/>
        <v>0</v>
      </c>
      <c r="E150" s="171">
        <f t="shared" si="33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/>
      <c r="K150" s="94"/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0"/>
        <v>165083.0224523381</v>
      </c>
      <c r="P150" s="94">
        <f t="shared" ca="1" si="28"/>
        <v>0</v>
      </c>
      <c r="Q150" s="180">
        <f t="shared" ca="1" si="21"/>
        <v>0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0</v>
      </c>
      <c r="T150">
        <f>IFERROR(VLOOKUP(A150,[1]Biogasudbytte!$A$2:$B$18,2,FALSE)*[1]Energiindhold!$C$10,0)*K150*IFERROR(VLOOKUP(A150,Biogasanlæg!$F$3:$G$8,2,FALSE),1)</f>
        <v>0</v>
      </c>
      <c r="U150" s="170">
        <f t="shared" ca="1" si="22"/>
        <v>0</v>
      </c>
      <c r="V150" s="169">
        <f ca="1">P150*IFERROR(VLOOKUP(A150,[1]Tørstofindhold!A$2:B$25,2,FALSE),0)</f>
        <v>0</v>
      </c>
      <c r="W150">
        <f ca="1">IF(E150=År1,Q150,SUM(P150,Q150))*IFERROR(VLOOKUP(A150,[1]Tørstofindhold!A$2:B$25,2,FALSE),0)</f>
        <v>0</v>
      </c>
      <c r="X150">
        <f>K150*IFERROR(VLOOKUP(A150,[1]Tørstofindhold!A$2:B$25,2,FALSE),0)</f>
        <v>0</v>
      </c>
      <c r="Y150" s="170">
        <f t="shared" ca="1" si="23"/>
        <v>0</v>
      </c>
      <c r="Z150">
        <f t="shared" ca="1" si="29"/>
        <v>1</v>
      </c>
      <c r="AA150">
        <f t="shared" ca="1" si="30"/>
        <v>0</v>
      </c>
    </row>
    <row r="151" spans="1:27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27"/>
        <v>0</v>
      </c>
      <c r="E151" s="171">
        <f t="shared" si="33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/>
      <c r="K151" s="94"/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34">G151-SUM(H151:N151)</f>
        <v>0</v>
      </c>
      <c r="P151" s="94">
        <f t="shared" ca="1" si="28"/>
        <v>0</v>
      </c>
      <c r="Q151" s="180">
        <f t="shared" ref="Q151:Q216" ca="1" si="35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36">S151-T151</f>
        <v>0</v>
      </c>
      <c r="V151" s="169">
        <f ca="1">P151*IFERROR(VLOOKUP(A151,[1]Tørstofindhold!A$2:B$25,2,FALSE),0)</f>
        <v>0</v>
      </c>
      <c r="W151">
        <f ca="1">IF(E151=År1,Q151,SUM(P151,Q151))*IFERROR(VLOOKUP(A151,[1]Tørstofindhold!A$2:B$25,2,FALSE),0)</f>
        <v>0</v>
      </c>
      <c r="X151">
        <f>K151*IFERROR(VLOOKUP(A151,[1]Tørstofindhold!A$2:B$25,2,FALSE),0)</f>
        <v>0</v>
      </c>
      <c r="Y151" s="170">
        <f t="shared" ref="Y151:Y216" ca="1" si="37">W151-X151</f>
        <v>0</v>
      </c>
      <c r="Z151">
        <f t="shared" ca="1" si="29"/>
        <v>0</v>
      </c>
      <c r="AA151">
        <f t="shared" ca="1" si="30"/>
        <v>0</v>
      </c>
    </row>
    <row r="152" spans="1:27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27"/>
        <v>0</v>
      </c>
      <c r="E152" s="171">
        <f t="shared" si="33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/>
      <c r="K152" s="94"/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34"/>
        <v>661211.27137287101</v>
      </c>
      <c r="P152" s="94">
        <f t="shared" si="28"/>
        <v>0</v>
      </c>
      <c r="Q152" s="180">
        <f t="shared" si="35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36"/>
        <v>0</v>
      </c>
      <c r="V152" s="169">
        <f>P152*IFERROR(VLOOKUP(A152,[1]Tørstofindhold!A$2:B$25,2,FALSE),0)</f>
        <v>0</v>
      </c>
      <c r="W152">
        <f>IF(E152=År1,Q152,SUM(P152,Q152))*IFERROR(VLOOKUP(A152,[1]Tørstofindhold!A$2:B$25,2,FALSE),0)</f>
        <v>0</v>
      </c>
      <c r="X152">
        <f>K152*IFERROR(VLOOKUP(A152,[1]Tørstofindhold!A$2:B$25,2,FALSE),0)</f>
        <v>0</v>
      </c>
      <c r="Y152" s="170">
        <f t="shared" si="37"/>
        <v>0</v>
      </c>
      <c r="Z152">
        <f t="shared" ca="1" si="29"/>
        <v>0</v>
      </c>
      <c r="AA152">
        <f t="shared" ca="1" si="30"/>
        <v>1</v>
      </c>
    </row>
    <row r="153" spans="1:27" x14ac:dyDescent="0.25">
      <c r="A153" s="171" t="s">
        <v>207</v>
      </c>
      <c r="B153" s="171" t="s">
        <v>229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27"/>
        <v>0</v>
      </c>
      <c r="E153" s="171">
        <f t="shared" si="33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/>
      <c r="K153" s="94"/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34"/>
        <v>0</v>
      </c>
      <c r="P153" s="94">
        <f t="shared" si="28"/>
        <v>0</v>
      </c>
      <c r="Q153" s="180">
        <f t="shared" si="35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36"/>
        <v>0</v>
      </c>
      <c r="V153" s="169">
        <f>P153*IFERROR(VLOOKUP(A153,[1]Tørstofindhold!A$2:B$25,2,FALSE),0)</f>
        <v>0</v>
      </c>
      <c r="W153">
        <f>IF(E153=År1,Q153,SUM(P153,Q153))*IFERROR(VLOOKUP(A153,[1]Tørstofindhold!A$2:B$25,2,FALSE),0)</f>
        <v>0</v>
      </c>
      <c r="X153">
        <f>K153*IFERROR(VLOOKUP(A153,[1]Tørstofindhold!A$2:B$25,2,FALSE),0)</f>
        <v>0</v>
      </c>
      <c r="Y153" s="170">
        <f t="shared" si="37"/>
        <v>0</v>
      </c>
      <c r="Z153">
        <f t="shared" si="29"/>
        <v>0</v>
      </c>
      <c r="AA153">
        <f t="shared" si="30"/>
        <v>0</v>
      </c>
    </row>
    <row r="154" spans="1:27" x14ac:dyDescent="0.25">
      <c r="A154" t="s">
        <v>101</v>
      </c>
      <c r="B154" s="171" t="s">
        <v>221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27"/>
        <v>0</v>
      </c>
      <c r="E154" s="171">
        <f t="shared" si="33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/>
      <c r="K154" s="94"/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34"/>
        <v>239302.90504806853</v>
      </c>
      <c r="P154" s="94">
        <f t="shared" si="28"/>
        <v>239302.90504806853</v>
      </c>
      <c r="Q154" s="180">
        <f t="shared" si="35"/>
        <v>0</v>
      </c>
      <c r="R154">
        <f>IFERROR(VLOOKUP(A154,[1]Energiindhold!$A$2:$C$11,3,FALSE),IFERROR(VLOOKUP(A154,[1]Biogasudbytte!$A$2:$B$18,2,FALSE)*[1]Energiindhold!$C$10,0))*P154</f>
        <v>0.51545845747353958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</v>
      </c>
      <c r="T154">
        <f>IFERROR(VLOOKUP(A154,[1]Biogasudbytte!$A$2:$B$18,2,FALSE)*[1]Energiindhold!$C$10,0)*K154*IFERROR(VLOOKUP(A154,Biogasanlæg!$F$3:$G$8,2,FALSE),1)</f>
        <v>0</v>
      </c>
      <c r="U154" s="170">
        <f t="shared" si="36"/>
        <v>0</v>
      </c>
      <c r="V154" s="169">
        <f>P154*IFERROR(VLOOKUP(A154,[1]Tørstofindhold!A$2:B$25,2,FALSE),0)</f>
        <v>71790.871514420549</v>
      </c>
      <c r="W154">
        <f>IF(E154=År1,Q154,SUM(P154,Q154))*IFERROR(VLOOKUP(A154,[1]Tørstofindhold!A$2:B$25,2,FALSE),0)</f>
        <v>0</v>
      </c>
      <c r="X154">
        <f>K154*IFERROR(VLOOKUP(A154,[1]Tørstofindhold!A$2:B$25,2,FALSE),0)</f>
        <v>0</v>
      </c>
      <c r="Y154" s="170">
        <f t="shared" si="37"/>
        <v>0</v>
      </c>
      <c r="Z154">
        <f t="shared" si="29"/>
        <v>0</v>
      </c>
      <c r="AA154">
        <f t="shared" si="30"/>
        <v>1</v>
      </c>
    </row>
    <row r="155" spans="1:27" x14ac:dyDescent="0.25">
      <c r="A155" t="s">
        <v>203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27"/>
        <v>0</v>
      </c>
      <c r="E155" s="171">
        <f t="shared" si="33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/>
      <c r="K155" s="94"/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34"/>
        <v>0</v>
      </c>
      <c r="P155" s="94">
        <f t="shared" si="28"/>
        <v>0</v>
      </c>
      <c r="Q155" s="180">
        <f t="shared" si="35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36"/>
        <v>0</v>
      </c>
      <c r="V155" s="169">
        <f>P155*IFERROR(VLOOKUP(A155,[1]Tørstofindhold!A$2:B$25,2,FALSE),0)</f>
        <v>0</v>
      </c>
      <c r="W155">
        <f>IF(E155=År1,Q155,SUM(P155,Q155))*IFERROR(VLOOKUP(A155,[1]Tørstofindhold!A$2:B$25,2,FALSE),0)</f>
        <v>0</v>
      </c>
      <c r="X155">
        <f>K155*IFERROR(VLOOKUP(A155,[1]Tørstofindhold!A$2:B$25,2,FALSE),0)</f>
        <v>0</v>
      </c>
      <c r="Y155" s="170">
        <f t="shared" si="37"/>
        <v>0</v>
      </c>
      <c r="Z155">
        <f t="shared" si="29"/>
        <v>0</v>
      </c>
      <c r="AA155">
        <f t="shared" si="30"/>
        <v>0</v>
      </c>
    </row>
    <row r="156" spans="1:27" x14ac:dyDescent="0.25">
      <c r="A156" t="s">
        <v>137</v>
      </c>
      <c r="B156" s="171" t="s">
        <v>221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27"/>
        <v>0</v>
      </c>
      <c r="E156" s="171">
        <f t="shared" si="33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/>
      <c r="K156" s="94"/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34"/>
        <v>337.693821952441</v>
      </c>
      <c r="P156" s="94">
        <f t="shared" si="28"/>
        <v>337.693821952441</v>
      </c>
      <c r="Q156" s="180">
        <f t="shared" si="35"/>
        <v>0</v>
      </c>
      <c r="R156">
        <f>IFERROR(VLOOKUP(A156,[1]Energiindhold!$A$2:$C$11,3,FALSE),IFERROR(VLOOKUP(A156,[1]Biogasudbytte!$A$2:$B$18,2,FALSE)*[1]Energiindhold!$C$10,0))*P156</f>
        <v>1.5881402752601349E-4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0</v>
      </c>
      <c r="T156">
        <f>IFERROR(VLOOKUP(A156,[1]Biogasudbytte!$A$2:$B$18,2,FALSE)*[1]Energiindhold!$C$10,0)*K156*IFERROR(VLOOKUP(A156,Biogasanlæg!$F$3:$G$8,2,FALSE),1)</f>
        <v>0</v>
      </c>
      <c r="U156" s="170">
        <f t="shared" si="36"/>
        <v>0</v>
      </c>
      <c r="V156" s="169">
        <f>P156*IFERROR(VLOOKUP(A156,[1]Tørstofindhold!A$2:B$25,2,FALSE),0)</f>
        <v>21.274710783003783</v>
      </c>
      <c r="W156">
        <f>IF(E156=År1,Q156,SUM(P156,Q156))*IFERROR(VLOOKUP(A156,[1]Tørstofindhold!A$2:B$25,2,FALSE),0)</f>
        <v>0</v>
      </c>
      <c r="X156">
        <f>K156*IFERROR(VLOOKUP(A156,[1]Tørstofindhold!A$2:B$25,2,FALSE),0)</f>
        <v>0</v>
      </c>
      <c r="Y156" s="170">
        <f t="shared" si="37"/>
        <v>0</v>
      </c>
      <c r="Z156">
        <f t="shared" si="29"/>
        <v>0</v>
      </c>
      <c r="AA156">
        <f t="shared" si="30"/>
        <v>1</v>
      </c>
    </row>
    <row r="157" spans="1:27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27"/>
        <v>1</v>
      </c>
      <c r="E157" s="171">
        <f t="shared" si="33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/>
      <c r="K157" s="94"/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34"/>
        <v>15969.006082579654</v>
      </c>
      <c r="P157" s="94">
        <f t="shared" si="28"/>
        <v>0</v>
      </c>
      <c r="Q157" s="180">
        <f t="shared" si="35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36"/>
        <v>0</v>
      </c>
      <c r="V157" s="169">
        <f>P157*IFERROR(VLOOKUP(A157,[1]Tørstofindhold!A$2:B$25,2,FALSE),0)</f>
        <v>0</v>
      </c>
      <c r="W157">
        <f>IF(E157=År1,Q157,SUM(P157,Q157))*IFERROR(VLOOKUP(A157,[1]Tørstofindhold!A$2:B$25,2,FALSE),0)</f>
        <v>0</v>
      </c>
      <c r="X157">
        <f>K157*IFERROR(VLOOKUP(A157,[1]Tørstofindhold!A$2:B$25,2,FALSE),0)</f>
        <v>0</v>
      </c>
      <c r="Y157" s="170">
        <f t="shared" si="37"/>
        <v>0</v>
      </c>
      <c r="Z157">
        <f t="shared" si="29"/>
        <v>0</v>
      </c>
      <c r="AA157">
        <f t="shared" si="30"/>
        <v>1</v>
      </c>
    </row>
    <row r="158" spans="1:27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27"/>
        <v>0</v>
      </c>
      <c r="E158" s="171">
        <f t="shared" si="33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/>
      <c r="K158" s="94"/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34"/>
        <v>620445.82725004398</v>
      </c>
      <c r="P158" s="94">
        <f t="shared" si="28"/>
        <v>0</v>
      </c>
      <c r="Q158" s="180">
        <f t="shared" si="35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36"/>
        <v>0</v>
      </c>
      <c r="V158" s="169">
        <f>P158*IFERROR(VLOOKUP(A158,[1]Tørstofindhold!A$2:B$25,2,FALSE),0)</f>
        <v>0</v>
      </c>
      <c r="W158">
        <f>IF(E158=År1,Q158,SUM(P158,Q158))*IFERROR(VLOOKUP(A158,[1]Tørstofindhold!A$2:B$25,2,FALSE),0)</f>
        <v>0</v>
      </c>
      <c r="X158">
        <f>K158*IFERROR(VLOOKUP(A158,[1]Tørstofindhold!A$2:B$25,2,FALSE),0)</f>
        <v>0</v>
      </c>
      <c r="Y158" s="170">
        <f t="shared" si="37"/>
        <v>0</v>
      </c>
      <c r="Z158">
        <f t="shared" si="29"/>
        <v>0</v>
      </c>
      <c r="AA158">
        <f t="shared" si="30"/>
        <v>1</v>
      </c>
    </row>
    <row r="159" spans="1:27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27"/>
        <v>1</v>
      </c>
      <c r="E159" s="171">
        <f t="shared" si="33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/>
      <c r="K159" s="94"/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34"/>
        <v>15780.226177538038</v>
      </c>
      <c r="P159" s="94">
        <f t="shared" si="28"/>
        <v>0</v>
      </c>
      <c r="Q159" s="180">
        <f t="shared" si="35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36"/>
        <v>0</v>
      </c>
      <c r="V159" s="169">
        <f>P159*IFERROR(VLOOKUP(A159,[1]Tørstofindhold!A$2:B$25,2,FALSE),0)</f>
        <v>0</v>
      </c>
      <c r="W159">
        <f>IF(E159=År1,Q159,SUM(P159,Q159))*IFERROR(VLOOKUP(A159,[1]Tørstofindhold!A$2:B$25,2,FALSE),0)</f>
        <v>0</v>
      </c>
      <c r="X159">
        <f>K159*IFERROR(VLOOKUP(A159,[1]Tørstofindhold!A$2:B$25,2,FALSE),0)</f>
        <v>0</v>
      </c>
      <c r="Y159" s="170">
        <f t="shared" si="37"/>
        <v>0</v>
      </c>
      <c r="Z159">
        <f t="shared" si="29"/>
        <v>1</v>
      </c>
      <c r="AA159">
        <f t="shared" si="30"/>
        <v>0</v>
      </c>
    </row>
    <row r="160" spans="1:27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27"/>
        <v>0</v>
      </c>
      <c r="E160" s="171">
        <f t="shared" si="33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/>
      <c r="K160" s="94"/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34"/>
        <v>0</v>
      </c>
      <c r="P160" s="94">
        <f t="shared" si="28"/>
        <v>0</v>
      </c>
      <c r="Q160" s="180">
        <f t="shared" si="35"/>
        <v>0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</v>
      </c>
      <c r="T160">
        <f>IFERROR(VLOOKUP(A160,[1]Biogasudbytte!$A$2:$B$18,2,FALSE)*[1]Energiindhold!$C$10,0)*K160*IFERROR(VLOOKUP(A160,Biogasanlæg!$F$3:$G$8,2,FALSE),1)</f>
        <v>0</v>
      </c>
      <c r="U160" s="170">
        <f t="shared" si="36"/>
        <v>0</v>
      </c>
      <c r="V160" s="169">
        <f>P160*IFERROR(VLOOKUP(A160,[1]Tørstofindhold!A$2:B$25,2,FALSE),0)</f>
        <v>0</v>
      </c>
      <c r="W160">
        <f>IF(E160=År1,Q160,SUM(P160,Q160))*IFERROR(VLOOKUP(A160,[1]Tørstofindhold!A$2:B$25,2,FALSE),0)</f>
        <v>0</v>
      </c>
      <c r="X160">
        <f>K160*IFERROR(VLOOKUP(A160,[1]Tørstofindhold!A$2:B$25,2,FALSE),0)</f>
        <v>0</v>
      </c>
      <c r="Y160" s="170">
        <f t="shared" si="37"/>
        <v>0</v>
      </c>
      <c r="Z160">
        <f t="shared" si="29"/>
        <v>1</v>
      </c>
      <c r="AA160">
        <f t="shared" si="30"/>
        <v>0</v>
      </c>
    </row>
    <row r="161" spans="1:27" x14ac:dyDescent="0.25">
      <c r="A161" s="171" t="s">
        <v>51</v>
      </c>
      <c r="B161" s="171" t="s">
        <v>223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27"/>
        <v>0</v>
      </c>
      <c r="E161" s="171">
        <f t="shared" si="33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/>
      <c r="K161" s="94"/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34"/>
        <v>646780.12508183043</v>
      </c>
      <c r="P161" s="94">
        <f t="shared" si="28"/>
        <v>646780.12508183043</v>
      </c>
      <c r="Q161" s="180">
        <f t="shared" si="35"/>
        <v>0</v>
      </c>
      <c r="R161">
        <f>IFERROR(VLOOKUP(A161,[1]Energiindhold!$A$2:$C$11,3,FALSE),IFERROR(VLOOKUP(A161,[1]Biogasudbytte!$A$2:$B$18,2,FALSE)*[1]Energiindhold!$C$10,0))*P161</f>
        <v>1.1899945826349327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0</v>
      </c>
      <c r="T161">
        <f>IFERROR(VLOOKUP(A161,[1]Biogasudbytte!$A$2:$B$18,2,FALSE)*[1]Energiindhold!$C$10,0)*K161*IFERROR(VLOOKUP(A161,Biogasanlæg!$F$3:$G$8,2,FALSE),1)</f>
        <v>0</v>
      </c>
      <c r="U161" s="170">
        <f t="shared" si="36"/>
        <v>0</v>
      </c>
      <c r="V161" s="169">
        <f>P161*IFERROR(VLOOKUP(A161,[1]Tørstofindhold!A$2:B$25,2,FALSE),0)</f>
        <v>181098.43502291254</v>
      </c>
      <c r="W161">
        <f>IF(E161=År1,Q161,SUM(P161,Q161))*IFERROR(VLOOKUP(A161,[1]Tørstofindhold!A$2:B$25,2,FALSE),0)</f>
        <v>0</v>
      </c>
      <c r="X161">
        <f>K161*IFERROR(VLOOKUP(A161,[1]Tørstofindhold!A$2:B$25,2,FALSE),0)</f>
        <v>0</v>
      </c>
      <c r="Y161" s="170">
        <f t="shared" si="37"/>
        <v>0</v>
      </c>
      <c r="Z161">
        <f t="shared" si="29"/>
        <v>0</v>
      </c>
      <c r="AA161">
        <f t="shared" si="30"/>
        <v>1</v>
      </c>
    </row>
    <row r="162" spans="1:27" x14ac:dyDescent="0.25">
      <c r="A162" s="171" t="s">
        <v>202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27"/>
        <v>0</v>
      </c>
      <c r="E162" s="171">
        <f t="shared" si="33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/>
      <c r="K162" s="94"/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34"/>
        <v>0</v>
      </c>
      <c r="P162" s="94">
        <f t="shared" si="28"/>
        <v>0</v>
      </c>
      <c r="Q162" s="180">
        <f t="shared" si="35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36"/>
        <v>0</v>
      </c>
      <c r="V162" s="169">
        <f>P162*IFERROR(VLOOKUP(A162,[1]Tørstofindhold!A$2:B$25,2,FALSE),0)</f>
        <v>0</v>
      </c>
      <c r="W162">
        <f>IF(E162=År1,Q162,SUM(P162,Q162))*IFERROR(VLOOKUP(A162,[1]Tørstofindhold!A$2:B$25,2,FALSE),0)</f>
        <v>0</v>
      </c>
      <c r="X162">
        <f>K162*IFERROR(VLOOKUP(A162,[1]Tørstofindhold!A$2:B$25,2,FALSE),0)</f>
        <v>0</v>
      </c>
      <c r="Y162" s="170">
        <f t="shared" si="37"/>
        <v>0</v>
      </c>
      <c r="Z162">
        <f t="shared" si="29"/>
        <v>0</v>
      </c>
      <c r="AA162">
        <f t="shared" si="30"/>
        <v>0</v>
      </c>
    </row>
    <row r="163" spans="1:27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27"/>
        <v>1</v>
      </c>
      <c r="E163" s="171">
        <f t="shared" si="33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/>
      <c r="K163" s="94"/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34"/>
        <v>95299.46904386401</v>
      </c>
      <c r="P163" s="94">
        <f t="shared" si="28"/>
        <v>0</v>
      </c>
      <c r="Q163" s="180">
        <f t="shared" si="35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36"/>
        <v>0</v>
      </c>
      <c r="V163" s="169">
        <f>P163*IFERROR(VLOOKUP(A163,[1]Tørstofindhold!A$2:B$25,2,FALSE),0)</f>
        <v>0</v>
      </c>
      <c r="W163">
        <f>IF(E163=År1,Q163,SUM(P163,Q163))*IFERROR(VLOOKUP(A163,[1]Tørstofindhold!A$2:B$25,2,FALSE),0)</f>
        <v>0</v>
      </c>
      <c r="X163">
        <f>K163*IFERROR(VLOOKUP(A163,[1]Tørstofindhold!A$2:B$25,2,FALSE),0)</f>
        <v>0</v>
      </c>
      <c r="Y163" s="170">
        <f t="shared" si="37"/>
        <v>0</v>
      </c>
      <c r="Z163">
        <f t="shared" si="29"/>
        <v>0</v>
      </c>
      <c r="AA163">
        <f t="shared" si="30"/>
        <v>1</v>
      </c>
    </row>
    <row r="164" spans="1:27" x14ac:dyDescent="0.25">
      <c r="A164" s="171" t="s">
        <v>67</v>
      </c>
      <c r="B164" s="171" t="s">
        <v>226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27"/>
        <v>0</v>
      </c>
      <c r="E164" s="171">
        <f t="shared" si="33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/>
      <c r="K164" s="94"/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34"/>
        <v>22739.095393183758</v>
      </c>
      <c r="P164" s="94">
        <f t="shared" si="28"/>
        <v>22739.095393183758</v>
      </c>
      <c r="Q164" s="180">
        <f t="shared" si="35"/>
        <v>732655.58820898295</v>
      </c>
      <c r="R164">
        <f>IFERROR(VLOOKUP(A164,[1]Energiindhold!$A$2:$C$11,3,FALSE),IFERROR(VLOOKUP(A164,[1]Biogasudbytte!$A$2:$B$18,2,FALSE)*[1]Energiindhold!$C$10,0))*P164</f>
        <v>0.23502688631104973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7.5725862730126234</v>
      </c>
      <c r="T164">
        <f>IFERROR(VLOOKUP(A164,[1]Biogasudbytte!$A$2:$B$18,2,FALSE)*[1]Energiindhold!$C$10,0)*K164*IFERROR(VLOOKUP(A164,Biogasanlæg!$F$3:$G$8,2,FALSE),1)</f>
        <v>0</v>
      </c>
      <c r="U164" s="170">
        <f t="shared" si="36"/>
        <v>7.5725862730126234</v>
      </c>
      <c r="V164" s="169">
        <f>P164*IFERROR(VLOOKUP(A164,[1]Tørstofindhold!A$2:B$25,2,FALSE),0)</f>
        <v>19328.231084206192</v>
      </c>
      <c r="W164">
        <f>IF(E164=År1,Q164,SUM(P164,Q164))*IFERROR(VLOOKUP(A164,[1]Tørstofindhold!A$2:B$25,2,FALSE),0)</f>
        <v>622757.24997763545</v>
      </c>
      <c r="X164">
        <f>K164*IFERROR(VLOOKUP(A164,[1]Tørstofindhold!A$2:B$25,2,FALSE),0)</f>
        <v>0</v>
      </c>
      <c r="Y164" s="170">
        <f t="shared" si="37"/>
        <v>622757.24997763545</v>
      </c>
      <c r="Z164">
        <f t="shared" si="29"/>
        <v>0</v>
      </c>
      <c r="AA164">
        <f t="shared" si="30"/>
        <v>1</v>
      </c>
    </row>
    <row r="165" spans="1:27" x14ac:dyDescent="0.25">
      <c r="A165" s="171" t="s">
        <v>162</v>
      </c>
      <c r="B165" s="171" t="s">
        <v>229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27"/>
        <v>0</v>
      </c>
      <c r="E165" s="171">
        <f t="shared" si="33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/>
      <c r="K165" s="94"/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34"/>
        <v>35.900188095867634</v>
      </c>
      <c r="P165" s="94">
        <f t="shared" si="28"/>
        <v>35.900188095867634</v>
      </c>
      <c r="Q165" s="180">
        <f t="shared" si="35"/>
        <v>452310.61214957217</v>
      </c>
      <c r="R165">
        <f>IFERROR(VLOOKUP(A165,[1]Energiindhold!$A$2:$C$11,3,FALSE),IFERROR(VLOOKUP(A165,[1]Biogasudbytte!$A$2:$B$18,2,FALSE)*[1]Energiindhold!$C$10,0))*P165</f>
        <v>6.4089807462109803E-4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8.0747487919351268</v>
      </c>
      <c r="T165">
        <f>IFERROR(VLOOKUP(A165,[1]Biogasudbytte!$A$2:$B$18,2,FALSE)*[1]Energiindhold!$C$10,0)*K165*IFERROR(VLOOKUP(A165,Biogasanlæg!$F$3:$G$8,2,FALSE),1)</f>
        <v>0</v>
      </c>
      <c r="U165" s="170">
        <f t="shared" si="36"/>
        <v>8.0747487919351268</v>
      </c>
      <c r="V165" s="169">
        <f>P165*IFERROR(VLOOKUP(A165,[1]Tørstofindhold!A$2:B$25,2,FALSE),0)</f>
        <v>10.77005642876029</v>
      </c>
      <c r="W165">
        <f>IF(E165=År1,Q165,SUM(P165,Q165))*IFERROR(VLOOKUP(A165,[1]Tørstofindhold!A$2:B$25,2,FALSE),0)</f>
        <v>135693.18364487163</v>
      </c>
      <c r="X165">
        <f>K165*IFERROR(VLOOKUP(A165,[1]Tørstofindhold!A$2:B$25,2,FALSE),0)</f>
        <v>0</v>
      </c>
      <c r="Y165" s="170">
        <f t="shared" si="37"/>
        <v>135693.18364487163</v>
      </c>
      <c r="Z165">
        <f t="shared" si="29"/>
        <v>0</v>
      </c>
      <c r="AA165">
        <f t="shared" si="30"/>
        <v>1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27"/>
        <v>1</v>
      </c>
      <c r="E166" s="171">
        <f t="shared" si="33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/>
      <c r="K166" s="94"/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34"/>
        <v>-592646.72642582108</v>
      </c>
      <c r="P166" s="94">
        <f t="shared" si="28"/>
        <v>0</v>
      </c>
      <c r="Q166" s="180">
        <f t="shared" si="35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36"/>
        <v>0</v>
      </c>
      <c r="V166" s="169">
        <f>P166*IFERROR(VLOOKUP(A166,[1]Tørstofindhold!A$2:B$25,2,FALSE),0)</f>
        <v>0</v>
      </c>
      <c r="W166">
        <f>IF(E166=År1,Q166,SUM(P166,Q166))*IFERROR(VLOOKUP(A166,[1]Tørstofindhold!A$2:B$25,2,FALSE),0)</f>
        <v>0</v>
      </c>
      <c r="X166">
        <f>K166*IFERROR(VLOOKUP(A166,[1]Tørstofindhold!A$2:B$25,2,FALSE),0)</f>
        <v>0</v>
      </c>
      <c r="Y166" s="170">
        <f t="shared" si="37"/>
        <v>0</v>
      </c>
      <c r="Z166">
        <f t="shared" si="29"/>
        <v>1</v>
      </c>
      <c r="AA166">
        <f t="shared" si="30"/>
        <v>0</v>
      </c>
    </row>
    <row r="167" spans="1:27" x14ac:dyDescent="0.25">
      <c r="A167" s="171" t="s">
        <v>103</v>
      </c>
      <c r="B167" s="171" t="s">
        <v>229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27"/>
        <v>0</v>
      </c>
      <c r="E167" s="171">
        <f t="shared" si="33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/>
      <c r="K167" s="94"/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34"/>
        <v>200279.74928693369</v>
      </c>
      <c r="P167" s="94">
        <f t="shared" si="28"/>
        <v>0</v>
      </c>
      <c r="Q167" s="180">
        <f t="shared" si="35"/>
        <v>0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0</v>
      </c>
      <c r="T167">
        <f>IFERROR(VLOOKUP(A167,[1]Biogasudbytte!$A$2:$B$18,2,FALSE)*[1]Energiindhold!$C$10,0)*K167*IFERROR(VLOOKUP(A167,Biogasanlæg!$F$3:$G$8,2,FALSE),1)</f>
        <v>0</v>
      </c>
      <c r="U167" s="170">
        <f t="shared" si="36"/>
        <v>0</v>
      </c>
      <c r="V167" s="169">
        <f>P167*IFERROR(VLOOKUP(A167,[1]Tørstofindhold!A$2:B$25,2,FALSE),0)</f>
        <v>0</v>
      </c>
      <c r="W167">
        <f>IF(E167=År1,Q167,SUM(P167,Q167))*IFERROR(VLOOKUP(A167,[1]Tørstofindhold!A$2:B$25,2,FALSE),0)</f>
        <v>0</v>
      </c>
      <c r="X167">
        <f>K167*IFERROR(VLOOKUP(A167,[1]Tørstofindhold!A$2:B$25,2,FALSE),0)</f>
        <v>0</v>
      </c>
      <c r="Y167" s="170">
        <f t="shared" si="37"/>
        <v>0</v>
      </c>
      <c r="Z167">
        <f t="shared" si="29"/>
        <v>1</v>
      </c>
      <c r="AA167">
        <f t="shared" si="30"/>
        <v>0</v>
      </c>
    </row>
    <row r="168" spans="1:27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27"/>
        <v>0</v>
      </c>
      <c r="E168" s="171">
        <f t="shared" si="33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/>
      <c r="K168" s="94"/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34"/>
        <v>145627.35347864506</v>
      </c>
      <c r="P168" s="94">
        <f t="shared" si="28"/>
        <v>0</v>
      </c>
      <c r="Q168" s="180">
        <f t="shared" si="35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36"/>
        <v>0</v>
      </c>
      <c r="V168" s="169">
        <f>P168*IFERROR(VLOOKUP(A168,[1]Tørstofindhold!A$2:B$25,2,FALSE),0)</f>
        <v>0</v>
      </c>
      <c r="W168">
        <f>IF(E168=År1,Q168,SUM(P168,Q168))*IFERROR(VLOOKUP(A168,[1]Tørstofindhold!A$2:B$25,2,FALSE),0)</f>
        <v>0</v>
      </c>
      <c r="X168">
        <f>K168*IFERROR(VLOOKUP(A168,[1]Tørstofindhold!A$2:B$25,2,FALSE),0)</f>
        <v>0</v>
      </c>
      <c r="Y168" s="170">
        <f t="shared" si="37"/>
        <v>0</v>
      </c>
      <c r="Z168">
        <f t="shared" si="29"/>
        <v>0</v>
      </c>
      <c r="AA168">
        <f t="shared" si="30"/>
        <v>1</v>
      </c>
    </row>
    <row r="169" spans="1:27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27"/>
        <v>1</v>
      </c>
      <c r="E169" s="171">
        <f t="shared" si="33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/>
      <c r="K169" s="94"/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34"/>
        <v>116539.79424410909</v>
      </c>
      <c r="P169" s="94">
        <f t="shared" si="28"/>
        <v>0</v>
      </c>
      <c r="Q169" s="180">
        <f t="shared" si="35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36"/>
        <v>0</v>
      </c>
      <c r="V169" s="169">
        <f>P169*IFERROR(VLOOKUP(A169,[1]Tørstofindhold!A$2:B$25,2,FALSE),0)</f>
        <v>0</v>
      </c>
      <c r="W169">
        <f>IF(E169=År1,Q169,SUM(P169,Q169))*IFERROR(VLOOKUP(A169,[1]Tørstofindhold!A$2:B$25,2,FALSE),0)</f>
        <v>0</v>
      </c>
      <c r="X169">
        <f>K169*IFERROR(VLOOKUP(A169,[1]Tørstofindhold!A$2:B$25,2,FALSE),0)</f>
        <v>0</v>
      </c>
      <c r="Y169" s="170">
        <f t="shared" si="37"/>
        <v>0</v>
      </c>
      <c r="Z169">
        <f t="shared" si="29"/>
        <v>0</v>
      </c>
      <c r="AA169">
        <f t="shared" si="30"/>
        <v>1</v>
      </c>
    </row>
    <row r="170" spans="1:27" x14ac:dyDescent="0.25">
      <c r="A170" s="171" t="s">
        <v>48</v>
      </c>
      <c r="B170" s="171" t="s">
        <v>226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27"/>
        <v>1</v>
      </c>
      <c r="E170" s="171">
        <f t="shared" si="33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/>
      <c r="K170" s="94"/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34"/>
        <v>1547028.977300738</v>
      </c>
      <c r="P170" s="94">
        <f t="shared" si="28"/>
        <v>1547028.977300738</v>
      </c>
      <c r="Q170" s="180">
        <f t="shared" si="35"/>
        <v>0</v>
      </c>
      <c r="R170">
        <f>IFERROR(VLOOKUP(A170,[1]Energiindhold!$A$2:$C$11,3,FALSE),IFERROR(VLOOKUP(A170,[1]Biogasudbytte!$A$2:$B$18,2,FALSE)*[1]Energiindhold!$C$10,0))*P170</f>
        <v>5.2983576631982068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0</v>
      </c>
      <c r="T170">
        <f>IFERROR(VLOOKUP(A170,[1]Biogasudbytte!$A$2:$B$18,2,FALSE)*[1]Energiindhold!$C$10,0)*K170*IFERROR(VLOOKUP(A170,Biogasanlæg!$F$3:$G$8,2,FALSE),1)</f>
        <v>0</v>
      </c>
      <c r="U170" s="170">
        <f t="shared" si="36"/>
        <v>0</v>
      </c>
      <c r="V170" s="169">
        <f>P170*IFERROR(VLOOKUP(A170,[1]Tørstofindhold!A$2:B$25,2,FALSE),0)</f>
        <v>479578.98296322877</v>
      </c>
      <c r="W170">
        <f>IF(E170=År1,Q170,SUM(P170,Q170))*IFERROR(VLOOKUP(A170,[1]Tørstofindhold!A$2:B$25,2,FALSE),0)</f>
        <v>0</v>
      </c>
      <c r="X170">
        <f>K170*IFERROR(VLOOKUP(A170,[1]Tørstofindhold!A$2:B$25,2,FALSE),0)</f>
        <v>0</v>
      </c>
      <c r="Y170" s="170">
        <f t="shared" si="37"/>
        <v>0</v>
      </c>
      <c r="Z170">
        <f t="shared" si="29"/>
        <v>0</v>
      </c>
      <c r="AA170">
        <f t="shared" si="30"/>
        <v>1</v>
      </c>
    </row>
    <row r="171" spans="1:27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27"/>
        <v>0</v>
      </c>
      <c r="E171" s="171">
        <f t="shared" si="33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/>
      <c r="K171" s="94"/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34"/>
        <v>-374820.3560243976</v>
      </c>
      <c r="P171" s="94">
        <f t="shared" si="28"/>
        <v>0</v>
      </c>
      <c r="Q171" s="180">
        <f t="shared" si="35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36"/>
        <v>0</v>
      </c>
      <c r="V171" s="169">
        <f>P171*IFERROR(VLOOKUP(A171,[1]Tørstofindhold!A$2:B$25,2,FALSE),0)</f>
        <v>0</v>
      </c>
      <c r="W171">
        <f>IF(E171=År1,Q171,SUM(P171,Q171))*IFERROR(VLOOKUP(A171,[1]Tørstofindhold!A$2:B$25,2,FALSE),0)</f>
        <v>0</v>
      </c>
      <c r="X171">
        <f>K171*IFERROR(VLOOKUP(A171,[1]Tørstofindhold!A$2:B$25,2,FALSE),0)</f>
        <v>0</v>
      </c>
      <c r="Y171" s="170">
        <f t="shared" si="37"/>
        <v>0</v>
      </c>
      <c r="Z171">
        <f t="shared" ca="1" si="29"/>
        <v>1</v>
      </c>
      <c r="AA171">
        <f t="shared" ca="1" si="30"/>
        <v>0</v>
      </c>
    </row>
    <row r="172" spans="1:27" x14ac:dyDescent="0.25">
      <c r="A172" s="171" t="s">
        <v>136</v>
      </c>
      <c r="B172" s="171" t="s">
        <v>221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27"/>
        <v>0</v>
      </c>
      <c r="E172" s="171">
        <f t="shared" si="33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/>
      <c r="K172" s="94"/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34"/>
        <v>286645.05985025829</v>
      </c>
      <c r="P172" s="94">
        <f t="shared" si="28"/>
        <v>286645.05985025829</v>
      </c>
      <c r="Q172" s="180">
        <f t="shared" si="35"/>
        <v>0</v>
      </c>
      <c r="R172">
        <f>IFERROR(VLOOKUP(A172,[1]Energiindhold!$A$2:$C$11,3,FALSE),IFERROR(VLOOKUP(A172,[1]Biogasudbytte!$A$2:$B$18,2,FALSE)*[1]Energiindhold!$C$10,0))*P172</f>
        <v>0.14509686284560225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</v>
      </c>
      <c r="T172">
        <f>IFERROR(VLOOKUP(A172,[1]Biogasudbytte!$A$2:$B$18,2,FALSE)*[1]Energiindhold!$C$10,0)*K172*IFERROR(VLOOKUP(A172,Biogasanlæg!$F$3:$G$8,2,FALSE),1)</f>
        <v>0</v>
      </c>
      <c r="U172" s="170">
        <f t="shared" si="36"/>
        <v>0</v>
      </c>
      <c r="V172" s="169">
        <f>P172*IFERROR(VLOOKUP(A172,[1]Tørstofindhold!A$2:B$25,2,FALSE),0)</f>
        <v>21785.024548619629</v>
      </c>
      <c r="W172">
        <f>IF(E172=År1,Q172,SUM(P172,Q172))*IFERROR(VLOOKUP(A172,[1]Tørstofindhold!A$2:B$25,2,FALSE),0)</f>
        <v>0</v>
      </c>
      <c r="X172">
        <f>K172*IFERROR(VLOOKUP(A172,[1]Tørstofindhold!A$2:B$25,2,FALSE),0)</f>
        <v>0</v>
      </c>
      <c r="Y172" s="170">
        <f t="shared" si="37"/>
        <v>0</v>
      </c>
      <c r="Z172">
        <f t="shared" si="29"/>
        <v>0</v>
      </c>
      <c r="AA172">
        <f t="shared" si="30"/>
        <v>1</v>
      </c>
    </row>
    <row r="173" spans="1:27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27"/>
        <v>0</v>
      </c>
      <c r="E173" s="171">
        <f t="shared" si="33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/>
      <c r="K173" s="94"/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34"/>
        <v>-70551.412916692323</v>
      </c>
      <c r="P173" s="94">
        <f t="shared" si="28"/>
        <v>0</v>
      </c>
      <c r="Q173" s="180">
        <f t="shared" si="35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36"/>
        <v>0</v>
      </c>
      <c r="V173" s="169">
        <f>P173*IFERROR(VLOOKUP(A173,[1]Tørstofindhold!A$2:B$25,2,FALSE),0)</f>
        <v>0</v>
      </c>
      <c r="W173">
        <f>IF(E173=År1,Q173,SUM(P173,Q173))*IFERROR(VLOOKUP(A173,[1]Tørstofindhold!A$2:B$25,2,FALSE),0)</f>
        <v>0</v>
      </c>
      <c r="X173">
        <f>K173*IFERROR(VLOOKUP(A173,[1]Tørstofindhold!A$2:B$25,2,FALSE),0)</f>
        <v>0</v>
      </c>
      <c r="Y173" s="170">
        <f t="shared" si="37"/>
        <v>0</v>
      </c>
      <c r="Z173">
        <f t="shared" si="29"/>
        <v>0</v>
      </c>
      <c r="AA173">
        <f t="shared" si="30"/>
        <v>1</v>
      </c>
    </row>
    <row r="174" spans="1:27" x14ac:dyDescent="0.25">
      <c r="A174" t="s">
        <v>53</v>
      </c>
      <c r="B174" s="171" t="s">
        <v>223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27"/>
        <v>1</v>
      </c>
      <c r="E174" s="171">
        <f t="shared" si="33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/>
      <c r="K174" s="94"/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34"/>
        <v>-329107.52754100139</v>
      </c>
      <c r="P174" s="94">
        <f t="shared" si="28"/>
        <v>0</v>
      </c>
      <c r="Q174" s="180">
        <f t="shared" si="35"/>
        <v>0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0</v>
      </c>
      <c r="T174">
        <f>IFERROR(VLOOKUP(A174,[1]Biogasudbytte!$A$2:$B$18,2,FALSE)*[1]Energiindhold!$C$10,0)*K174*IFERROR(VLOOKUP(A174,Biogasanlæg!$F$3:$G$8,2,FALSE),1)</f>
        <v>0</v>
      </c>
      <c r="U174" s="170">
        <f t="shared" si="36"/>
        <v>0</v>
      </c>
      <c r="V174" s="169">
        <f>P174*IFERROR(VLOOKUP(A174,[1]Tørstofindhold!A$2:B$25,2,FALSE),0)</f>
        <v>0</v>
      </c>
      <c r="W174">
        <f>IF(E174=År1,Q174,SUM(P174,Q174))*IFERROR(VLOOKUP(A174,[1]Tørstofindhold!A$2:B$25,2,FALSE),0)</f>
        <v>0</v>
      </c>
      <c r="X174">
        <f>K174*IFERROR(VLOOKUP(A174,[1]Tørstofindhold!A$2:B$25,2,FALSE),0)</f>
        <v>0</v>
      </c>
      <c r="Y174" s="170">
        <f t="shared" si="37"/>
        <v>0</v>
      </c>
      <c r="Z174">
        <f t="shared" si="29"/>
        <v>0</v>
      </c>
      <c r="AA174">
        <f t="shared" si="30"/>
        <v>1</v>
      </c>
    </row>
    <row r="175" spans="1:27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27"/>
        <v>1</v>
      </c>
      <c r="E175" s="171">
        <f t="shared" si="33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/>
      <c r="K175" s="94"/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34"/>
        <v>222833.98833453824</v>
      </c>
      <c r="P175" s="94">
        <f t="shared" si="28"/>
        <v>0</v>
      </c>
      <c r="Q175" s="180">
        <f t="shared" si="35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36"/>
        <v>0</v>
      </c>
      <c r="V175" s="169">
        <f>P175*IFERROR(VLOOKUP(A175,[1]Tørstofindhold!A$2:B$25,2,FALSE),0)</f>
        <v>0</v>
      </c>
      <c r="W175">
        <f>IF(E175=År1,Q175,SUM(P175,Q175))*IFERROR(VLOOKUP(A175,[1]Tørstofindhold!A$2:B$25,2,FALSE),0)</f>
        <v>0</v>
      </c>
      <c r="X175">
        <f>K175*IFERROR(VLOOKUP(A175,[1]Tørstofindhold!A$2:B$25,2,FALSE),0)</f>
        <v>0</v>
      </c>
      <c r="Y175" s="170">
        <f t="shared" si="37"/>
        <v>0</v>
      </c>
      <c r="Z175">
        <f t="shared" si="29"/>
        <v>0</v>
      </c>
      <c r="AA175">
        <f t="shared" si="30"/>
        <v>1</v>
      </c>
    </row>
    <row r="176" spans="1:27" x14ac:dyDescent="0.25">
      <c r="A176" s="171" t="s">
        <v>106</v>
      </c>
      <c r="B176" s="171" t="s">
        <v>225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27"/>
        <v>1</v>
      </c>
      <c r="E176" s="171">
        <f t="shared" si="33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/>
      <c r="K176" s="94"/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34"/>
        <v>1.1976865502381491</v>
      </c>
      <c r="P176" s="94">
        <f t="shared" si="28"/>
        <v>1.1976865502381491</v>
      </c>
      <c r="Q176" s="180">
        <f t="shared" si="35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36"/>
        <v>0</v>
      </c>
      <c r="V176" s="169">
        <f>P176*IFERROR(VLOOKUP(A176,[1]Tørstofindhold!A$2:B$25,2,FALSE),0)</f>
        <v>0.17965298253572234</v>
      </c>
      <c r="W176">
        <f>IF(E176=År1,Q176,SUM(P176,Q176))*IFERROR(VLOOKUP(A176,[1]Tørstofindhold!A$2:B$25,2,FALSE),0)</f>
        <v>0</v>
      </c>
      <c r="X176">
        <f>K176*IFERROR(VLOOKUP(A176,[1]Tørstofindhold!A$2:B$25,2,FALSE),0)</f>
        <v>0</v>
      </c>
      <c r="Y176" s="170">
        <f t="shared" si="37"/>
        <v>0</v>
      </c>
      <c r="Z176">
        <f t="shared" si="29"/>
        <v>0</v>
      </c>
      <c r="AA176">
        <f t="shared" si="30"/>
        <v>1</v>
      </c>
    </row>
    <row r="177" spans="1:27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27"/>
        <v>1</v>
      </c>
      <c r="E177" s="171">
        <f t="shared" si="33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/>
      <c r="K177" s="94"/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34"/>
        <v>7577.0634215631153</v>
      </c>
      <c r="P177" s="94">
        <f t="shared" si="28"/>
        <v>0</v>
      </c>
      <c r="Q177" s="180">
        <f t="shared" si="35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36"/>
        <v>0</v>
      </c>
      <c r="V177" s="169">
        <f>P177*IFERROR(VLOOKUP(A177,[1]Tørstofindhold!A$2:B$25,2,FALSE),0)</f>
        <v>0</v>
      </c>
      <c r="W177">
        <f>IF(E177=År1,Q177,SUM(P177,Q177))*IFERROR(VLOOKUP(A177,[1]Tørstofindhold!A$2:B$25,2,FALSE),0)</f>
        <v>0</v>
      </c>
      <c r="X177">
        <f>K177*IFERROR(VLOOKUP(A177,[1]Tørstofindhold!A$2:B$25,2,FALSE),0)</f>
        <v>0</v>
      </c>
      <c r="Y177" s="170">
        <f t="shared" si="37"/>
        <v>0</v>
      </c>
      <c r="Z177">
        <f t="shared" si="29"/>
        <v>0</v>
      </c>
      <c r="AA177">
        <f t="shared" si="30"/>
        <v>1</v>
      </c>
    </row>
    <row r="178" spans="1:27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27"/>
        <v>1</v>
      </c>
      <c r="E178" s="171">
        <f t="shared" si="33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/>
      <c r="K178" s="94"/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34"/>
        <v>395448.91426064254</v>
      </c>
      <c r="P178" s="94">
        <f t="shared" si="28"/>
        <v>0</v>
      </c>
      <c r="Q178" s="180">
        <f t="shared" si="35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36"/>
        <v>0</v>
      </c>
      <c r="V178" s="169">
        <f>P178*IFERROR(VLOOKUP(A178,[1]Tørstofindhold!A$2:B$25,2,FALSE),0)</f>
        <v>0</v>
      </c>
      <c r="W178">
        <f>IF(E178=År1,Q178,SUM(P178,Q178))*IFERROR(VLOOKUP(A178,[1]Tørstofindhold!A$2:B$25,2,FALSE),0)</f>
        <v>0</v>
      </c>
      <c r="X178">
        <f>K178*IFERROR(VLOOKUP(A178,[1]Tørstofindhold!A$2:B$25,2,FALSE),0)</f>
        <v>0</v>
      </c>
      <c r="Y178" s="170">
        <f t="shared" si="37"/>
        <v>0</v>
      </c>
      <c r="Z178">
        <f t="shared" si="29"/>
        <v>0</v>
      </c>
      <c r="AA178">
        <f t="shared" si="30"/>
        <v>1</v>
      </c>
    </row>
    <row r="179" spans="1:27" x14ac:dyDescent="0.25">
      <c r="A179" s="171" t="s">
        <v>95</v>
      </c>
      <c r="B179" s="171" t="s">
        <v>224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27"/>
        <v>0</v>
      </c>
      <c r="E179" s="171">
        <f t="shared" si="33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/>
      <c r="K179" s="94"/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34"/>
        <v>0</v>
      </c>
      <c r="P179" s="94">
        <f t="shared" si="28"/>
        <v>0</v>
      </c>
      <c r="Q179" s="180">
        <f t="shared" si="35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36"/>
        <v>0.71503055390133141</v>
      </c>
      <c r="V179" s="169">
        <f>P179*IFERROR(VLOOKUP(A179,[1]Tørstofindhold!A$2:B$25,2,FALSE),0)</f>
        <v>0</v>
      </c>
      <c r="W179">
        <f>IF(E179=År1,Q179,SUM(P179,Q179))*IFERROR(VLOOKUP(A179,[1]Tørstofindhold!A$2:B$25,2,FALSE),0)</f>
        <v>16127.04781897025</v>
      </c>
      <c r="X179">
        <f>K179*IFERROR(VLOOKUP(A179,[1]Tørstofindhold!A$2:B$25,2,FALSE),0)</f>
        <v>0</v>
      </c>
      <c r="Y179" s="170">
        <f t="shared" si="37"/>
        <v>16127.04781897025</v>
      </c>
      <c r="Z179">
        <f t="shared" si="29"/>
        <v>0</v>
      </c>
      <c r="AA179">
        <f t="shared" si="30"/>
        <v>0</v>
      </c>
    </row>
    <row r="180" spans="1:27" x14ac:dyDescent="0.25">
      <c r="A180" s="171" t="s">
        <v>305</v>
      </c>
      <c r="B180" s="171" t="s">
        <v>311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27"/>
        <v>0</v>
      </c>
      <c r="E180" s="171">
        <f t="shared" si="33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/>
      <c r="K180" s="94"/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>G180-SUM(H180:N180)</f>
        <v>0</v>
      </c>
      <c r="P180" s="94">
        <f t="shared" si="28"/>
        <v>0</v>
      </c>
      <c r="Q180" s="180">
        <f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>S180-T180</f>
        <v>0</v>
      </c>
      <c r="V180" s="169">
        <f>P180*IFERROR(VLOOKUP(A180,[1]Tørstofindhold!A$2:B$25,2,FALSE),0)</f>
        <v>0</v>
      </c>
      <c r="W180">
        <f>IF(E180=År1,Q180,SUM(P180,Q180))*IFERROR(VLOOKUP(A180,[1]Tørstofindhold!A$2:B$25,2,FALSE),0)</f>
        <v>0</v>
      </c>
      <c r="X180">
        <f>K180*IFERROR(VLOOKUP(A180,[1]Tørstofindhold!A$2:B$25,2,FALSE),0)</f>
        <v>0</v>
      </c>
      <c r="Y180" s="170">
        <f>W180-X180</f>
        <v>0</v>
      </c>
      <c r="Z180">
        <f t="shared" si="29"/>
        <v>0</v>
      </c>
      <c r="AA180">
        <f t="shared" si="30"/>
        <v>0</v>
      </c>
    </row>
    <row r="181" spans="1:27" x14ac:dyDescent="0.25">
      <c r="A181" s="171" t="s">
        <v>306</v>
      </c>
      <c r="B181" s="171" t="s">
        <v>311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38">D133</f>
        <v>0</v>
      </c>
      <c r="E181" s="171">
        <f t="shared" si="33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/>
      <c r="K181" s="94"/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>G181-SUM(H181:N181)</f>
        <v>0</v>
      </c>
      <c r="P181" s="94">
        <f t="shared" si="28"/>
        <v>0</v>
      </c>
      <c r="Q181" s="180">
        <f>SUM(K181,M181)</f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>S181-T181</f>
        <v>0</v>
      </c>
      <c r="V181" s="169">
        <f>P181*IFERROR(VLOOKUP(A181,[1]Tørstofindhold!A$2:B$25,2,FALSE),0)</f>
        <v>0</v>
      </c>
      <c r="W181">
        <f>IF(E181=År1,Q181,SUM(P181,Q181))*IFERROR(VLOOKUP(A181,[1]Tørstofindhold!A$2:B$25,2,FALSE),0)</f>
        <v>0</v>
      </c>
      <c r="X181">
        <f>K181*IFERROR(VLOOKUP(A181,[1]Tørstofindhold!A$2:B$25,2,FALSE),0)</f>
        <v>0</v>
      </c>
      <c r="Y181" s="170">
        <f>W181-X181</f>
        <v>0</v>
      </c>
      <c r="Z181">
        <f t="shared" si="29"/>
        <v>0</v>
      </c>
      <c r="AA181">
        <f t="shared" si="30"/>
        <v>0</v>
      </c>
    </row>
    <row r="182" spans="1:27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38"/>
        <v>0</v>
      </c>
      <c r="E182" s="171">
        <f t="shared" si="33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/>
      <c r="K182" s="94"/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34"/>
        <v>346998.01962126989</v>
      </c>
      <c r="P182" s="94">
        <f t="shared" si="28"/>
        <v>0</v>
      </c>
      <c r="Q182" s="180">
        <f t="shared" si="35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36"/>
        <v>0</v>
      </c>
      <c r="V182" s="169">
        <f>P182*IFERROR(VLOOKUP(A182,[1]Tørstofindhold!A$2:B$25,2,FALSE),0)</f>
        <v>0</v>
      </c>
      <c r="W182">
        <f>IF(E182=År1,Q182,SUM(P182,Q182))*IFERROR(VLOOKUP(A182,[1]Tørstofindhold!A$2:B$25,2,FALSE),0)</f>
        <v>0</v>
      </c>
      <c r="X182">
        <f>K182*IFERROR(VLOOKUP(A182,[1]Tørstofindhold!A$2:B$25,2,FALSE),0)</f>
        <v>0</v>
      </c>
      <c r="Y182" s="170">
        <f t="shared" si="37"/>
        <v>0</v>
      </c>
      <c r="Z182">
        <f t="shared" si="29"/>
        <v>0</v>
      </c>
      <c r="AA182">
        <f t="shared" si="30"/>
        <v>1</v>
      </c>
    </row>
    <row r="183" spans="1:27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38"/>
        <v>0</v>
      </c>
      <c r="E183" s="171">
        <f t="shared" si="33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/>
      <c r="K183" s="94"/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34"/>
        <v>0</v>
      </c>
      <c r="P183" s="94">
        <f t="shared" si="28"/>
        <v>0</v>
      </c>
      <c r="Q183" s="180">
        <f t="shared" si="35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36"/>
        <v>0</v>
      </c>
      <c r="V183" s="169">
        <f>P183*IFERROR(VLOOKUP(A183,[1]Tørstofindhold!A$2:B$25,2,FALSE),0)</f>
        <v>0</v>
      </c>
      <c r="W183">
        <f>IF(E183=År1,Q183,SUM(P183,Q183))*IFERROR(VLOOKUP(A183,[1]Tørstofindhold!A$2:B$25,2,FALSE),0)</f>
        <v>0</v>
      </c>
      <c r="X183">
        <f>K183*IFERROR(VLOOKUP(A183,[1]Tørstofindhold!A$2:B$25,2,FALSE),0)</f>
        <v>0</v>
      </c>
      <c r="Y183" s="170">
        <f t="shared" si="37"/>
        <v>0</v>
      </c>
      <c r="Z183">
        <f t="shared" si="29"/>
        <v>0</v>
      </c>
      <c r="AA183">
        <f t="shared" si="30"/>
        <v>0</v>
      </c>
    </row>
    <row r="184" spans="1:27" x14ac:dyDescent="0.25">
      <c r="A184" t="s">
        <v>237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38"/>
        <v>0</v>
      </c>
      <c r="E184" s="171">
        <f t="shared" si="33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/>
      <c r="K184" s="94"/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34"/>
        <v>70002.843567045958</v>
      </c>
      <c r="P184" s="94">
        <f t="shared" si="28"/>
        <v>0</v>
      </c>
      <c r="Q184" s="180">
        <f t="shared" si="35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36"/>
        <v>0</v>
      </c>
      <c r="V184" s="169">
        <f>P184*IFERROR(VLOOKUP(A184,[1]Tørstofindhold!A$2:B$25,2,FALSE),0)</f>
        <v>0</v>
      </c>
      <c r="W184">
        <f>IF(E184=År1,Q184,SUM(P184,Q184))*IFERROR(VLOOKUP(A184,[1]Tørstofindhold!A$2:B$25,2,FALSE),0)</f>
        <v>0</v>
      </c>
      <c r="X184">
        <f>K184*IFERROR(VLOOKUP(A184,[1]Tørstofindhold!A$2:B$25,2,FALSE),0)</f>
        <v>0</v>
      </c>
      <c r="Y184" s="170">
        <f t="shared" si="37"/>
        <v>0</v>
      </c>
      <c r="Z184">
        <f t="shared" si="29"/>
        <v>0</v>
      </c>
      <c r="AA184">
        <f t="shared" si="30"/>
        <v>1</v>
      </c>
    </row>
    <row r="185" spans="1:27" x14ac:dyDescent="0.25">
      <c r="A185" t="s">
        <v>230</v>
      </c>
      <c r="B185" s="171" t="s">
        <v>230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38"/>
        <v>1</v>
      </c>
      <c r="E185" s="171">
        <f t="shared" si="33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/>
      <c r="K185" s="94"/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34"/>
        <v>0</v>
      </c>
      <c r="P185" s="94">
        <f t="shared" si="28"/>
        <v>0</v>
      </c>
      <c r="Q185" s="180">
        <f t="shared" si="35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36"/>
        <v>1.1214882290282282</v>
      </c>
      <c r="V185" s="169">
        <f>P185*IFERROR(VLOOKUP(A185,[1]Tørstofindhold!A$2:B$25,2,FALSE),0)</f>
        <v>0</v>
      </c>
      <c r="W185">
        <f>IF(E185=År1,Q185,SUM(P185,Q185))*IFERROR(VLOOKUP(A185,[1]Tørstofindhold!A$2:B$25,2,FALSE),0)</f>
        <v>0</v>
      </c>
      <c r="X185">
        <f>K185*IFERROR(VLOOKUP(A185,[1]Tørstofindhold!A$2:B$25,2,FALSE),0)</f>
        <v>0</v>
      </c>
      <c r="Y185" s="170">
        <f t="shared" si="37"/>
        <v>0</v>
      </c>
      <c r="Z185">
        <f t="shared" si="29"/>
        <v>0</v>
      </c>
      <c r="AA185">
        <f t="shared" si="30"/>
        <v>0</v>
      </c>
    </row>
    <row r="186" spans="1:27" x14ac:dyDescent="0.25">
      <c r="A186" t="s">
        <v>52</v>
      </c>
      <c r="B186" s="171" t="s">
        <v>223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38"/>
        <v>1</v>
      </c>
      <c r="E186" s="171">
        <f t="shared" si="33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/>
      <c r="K186" s="94"/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34"/>
        <v>2130070.5886269384</v>
      </c>
      <c r="P186" s="94">
        <f t="shared" si="28"/>
        <v>1662278.5794471605</v>
      </c>
      <c r="Q186" s="180">
        <f t="shared" si="35"/>
        <v>0</v>
      </c>
      <c r="R186">
        <f>IFERROR(VLOOKUP(A186,[1]Energiindhold!$A$2:$C$11,3,FALSE),IFERROR(VLOOKUP(A186,[1]Biogasudbytte!$A$2:$B$18,2,FALSE)*[1]Energiindhold!$C$10,0))*P186</f>
        <v>4.5114905557627711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0</v>
      </c>
      <c r="T186">
        <f>IFERROR(VLOOKUP(A186,[1]Biogasudbytte!$A$2:$B$18,2,FALSE)*[1]Energiindhold!$C$10,0)*K186*IFERROR(VLOOKUP(A186,Biogasanlæg!$F$3:$G$8,2,FALSE),1)</f>
        <v>0</v>
      </c>
      <c r="U186" s="170">
        <f t="shared" si="36"/>
        <v>0</v>
      </c>
      <c r="V186" s="169">
        <f>P186*IFERROR(VLOOKUP(A186,[1]Tørstofindhold!A$2:B$25,2,FALSE),0)</f>
        <v>332455.71588943212</v>
      </c>
      <c r="W186">
        <f>IF(E186=År1,Q186,SUM(P186,Q186))*IFERROR(VLOOKUP(A186,[1]Tørstofindhold!A$2:B$25,2,FALSE),0)</f>
        <v>0</v>
      </c>
      <c r="X186">
        <f>K186*IFERROR(VLOOKUP(A186,[1]Tørstofindhold!A$2:B$25,2,FALSE),0)</f>
        <v>0</v>
      </c>
      <c r="Y186" s="170">
        <f t="shared" si="37"/>
        <v>0</v>
      </c>
      <c r="Z186">
        <f t="shared" si="29"/>
        <v>0</v>
      </c>
      <c r="AA186">
        <f t="shared" si="30"/>
        <v>1</v>
      </c>
    </row>
    <row r="187" spans="1:27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38"/>
        <v>0</v>
      </c>
      <c r="E187" s="171">
        <f t="shared" si="33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/>
      <c r="K187" s="94"/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34"/>
        <v>23179.475218292017</v>
      </c>
      <c r="P187" s="94">
        <f t="shared" si="28"/>
        <v>0</v>
      </c>
      <c r="Q187" s="180">
        <f t="shared" si="35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36"/>
        <v>0</v>
      </c>
      <c r="V187" s="169">
        <f>P187*IFERROR(VLOOKUP(A187,[1]Tørstofindhold!A$2:B$25,2,FALSE),0)</f>
        <v>0</v>
      </c>
      <c r="W187">
        <f>IF(E187=År1,Q187,SUM(P187,Q187))*IFERROR(VLOOKUP(A187,[1]Tørstofindhold!A$2:B$25,2,FALSE),0)</f>
        <v>0</v>
      </c>
      <c r="X187">
        <f>K187*IFERROR(VLOOKUP(A187,[1]Tørstofindhold!A$2:B$25,2,FALSE),0)</f>
        <v>0</v>
      </c>
      <c r="Y187" s="170">
        <f t="shared" si="37"/>
        <v>0</v>
      </c>
      <c r="Z187">
        <f t="shared" si="29"/>
        <v>0</v>
      </c>
      <c r="AA187">
        <f t="shared" si="30"/>
        <v>1</v>
      </c>
    </row>
    <row r="188" spans="1:27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38"/>
        <v>0</v>
      </c>
      <c r="E188" s="171">
        <f t="shared" si="33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/>
      <c r="K188" s="94"/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34"/>
        <v>14085.970705770382</v>
      </c>
      <c r="P188" s="94">
        <f t="shared" si="28"/>
        <v>0</v>
      </c>
      <c r="Q188" s="180">
        <f t="shared" si="35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36"/>
        <v>0</v>
      </c>
      <c r="V188" s="169">
        <f>P188*IFERROR(VLOOKUP(A188,[1]Tørstofindhold!A$2:B$25,2,FALSE),0)</f>
        <v>0</v>
      </c>
      <c r="W188">
        <f>IF(E188=År1,Q188,SUM(P188,Q188))*IFERROR(VLOOKUP(A188,[1]Tørstofindhold!A$2:B$25,2,FALSE),0)</f>
        <v>0</v>
      </c>
      <c r="X188">
        <f>K188*IFERROR(VLOOKUP(A188,[1]Tørstofindhold!A$2:B$25,2,FALSE),0)</f>
        <v>0</v>
      </c>
      <c r="Y188" s="170">
        <f t="shared" si="37"/>
        <v>0</v>
      </c>
      <c r="Z188">
        <f t="shared" si="29"/>
        <v>0</v>
      </c>
      <c r="AA188">
        <f t="shared" si="30"/>
        <v>1</v>
      </c>
    </row>
    <row r="189" spans="1:27" x14ac:dyDescent="0.25">
      <c r="A189" s="171" t="s">
        <v>140</v>
      </c>
      <c r="B189" s="171" t="s">
        <v>229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38"/>
        <v>0</v>
      </c>
      <c r="E189" s="171">
        <f t="shared" si="33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/>
      <c r="K189" s="94"/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34"/>
        <v>3186961.3614372411</v>
      </c>
      <c r="P189" s="94">
        <f t="shared" si="28"/>
        <v>3186961.3614372411</v>
      </c>
      <c r="Q189" s="180">
        <f t="shared" si="35"/>
        <v>0</v>
      </c>
      <c r="R189">
        <f>IFERROR(VLOOKUP(A189,[1]Energiindhold!$A$2:$C$11,3,FALSE),IFERROR(VLOOKUP(A189,[1]Biogasudbytte!$A$2:$B$18,2,FALSE)*[1]Energiindhold!$C$10,0))*P189</f>
        <v>1.5903255889707979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</v>
      </c>
      <c r="T189">
        <f>IFERROR(VLOOKUP(A189,[1]Biogasudbytte!$A$2:$B$18,2,FALSE)*[1]Energiindhold!$C$10,0)*K189*IFERROR(VLOOKUP(A189,Biogasanlæg!$F$3:$G$8,2,FALSE),1)</f>
        <v>0</v>
      </c>
      <c r="U189" s="170">
        <f t="shared" si="36"/>
        <v>0</v>
      </c>
      <c r="V189" s="169">
        <f>P189*IFERROR(VLOOKUP(A189,[1]Tørstofindhold!A$2:B$25,2,FALSE),0)</f>
        <v>191217.68168623446</v>
      </c>
      <c r="W189">
        <f>IF(E189=År1,Q189,SUM(P189,Q189))*IFERROR(VLOOKUP(A189,[1]Tørstofindhold!A$2:B$25,2,FALSE),0)</f>
        <v>0</v>
      </c>
      <c r="X189">
        <f>K189*IFERROR(VLOOKUP(A189,[1]Tørstofindhold!A$2:B$25,2,FALSE),0)</f>
        <v>0</v>
      </c>
      <c r="Y189" s="170">
        <f t="shared" si="37"/>
        <v>0</v>
      </c>
      <c r="Z189">
        <f t="shared" si="29"/>
        <v>0</v>
      </c>
      <c r="AA189">
        <f t="shared" si="30"/>
        <v>1</v>
      </c>
    </row>
    <row r="190" spans="1:27" x14ac:dyDescent="0.25">
      <c r="A190" s="171" t="s">
        <v>135</v>
      </c>
      <c r="B190" s="171" t="s">
        <v>221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38"/>
        <v>0</v>
      </c>
      <c r="E190" s="171">
        <f t="shared" si="33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/>
      <c r="K190" s="94"/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34"/>
        <v>380427.26035611168</v>
      </c>
      <c r="P190" s="94">
        <f t="shared" si="28"/>
        <v>380427.26035611168</v>
      </c>
      <c r="Q190" s="180">
        <f t="shared" si="35"/>
        <v>0</v>
      </c>
      <c r="R190">
        <f>IFERROR(VLOOKUP(A190,[1]Energiindhold!$A$2:$C$11,3,FALSE),IFERROR(VLOOKUP(A190,[1]Biogasudbytte!$A$2:$B$18,2,FALSE)*[1]Energiindhold!$C$10,0))*P190</f>
        <v>0.16388806376141293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</v>
      </c>
      <c r="T190">
        <f>IFERROR(VLOOKUP(A190,[1]Biogasudbytte!$A$2:$B$18,2,FALSE)*[1]Energiindhold!$C$10,0)*K190*IFERROR(VLOOKUP(A190,Biogasanlæg!$F$3:$G$8,2,FALSE),1)</f>
        <v>0</v>
      </c>
      <c r="U190" s="170">
        <f t="shared" si="36"/>
        <v>0</v>
      </c>
      <c r="V190" s="169">
        <f>P190*IFERROR(VLOOKUP(A190,[1]Tørstofindhold!A$2:B$25,2,FALSE),0)</f>
        <v>19021.363017805586</v>
      </c>
      <c r="W190">
        <f>IF(E190=År1,Q190,SUM(P190,Q190))*IFERROR(VLOOKUP(A190,[1]Tørstofindhold!A$2:B$25,2,FALSE),0)</f>
        <v>0</v>
      </c>
      <c r="X190">
        <f>K190*IFERROR(VLOOKUP(A190,[1]Tørstofindhold!A$2:B$25,2,FALSE),0)</f>
        <v>0</v>
      </c>
      <c r="Y190" s="170">
        <f t="shared" si="37"/>
        <v>0</v>
      </c>
      <c r="Z190">
        <f t="shared" si="29"/>
        <v>0</v>
      </c>
      <c r="AA190">
        <f t="shared" si="30"/>
        <v>1</v>
      </c>
    </row>
    <row r="191" spans="1:27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38"/>
        <v>1</v>
      </c>
      <c r="E191" s="171">
        <f t="shared" si="33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/>
      <c r="K191" s="94"/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34"/>
        <v>206750.71206041813</v>
      </c>
      <c r="P191" s="94">
        <f t="shared" si="28"/>
        <v>0</v>
      </c>
      <c r="Q191" s="180">
        <f t="shared" si="35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36"/>
        <v>0</v>
      </c>
      <c r="V191" s="169">
        <f>P191*IFERROR(VLOOKUP(A191,[1]Tørstofindhold!A$2:B$25,2,FALSE),0)</f>
        <v>0</v>
      </c>
      <c r="W191">
        <f>IF(E191=År1,Q191,SUM(P191,Q191))*IFERROR(VLOOKUP(A191,[1]Tørstofindhold!A$2:B$25,2,FALSE),0)</f>
        <v>0</v>
      </c>
      <c r="X191">
        <f>K191*IFERROR(VLOOKUP(A191,[1]Tørstofindhold!A$2:B$25,2,FALSE),0)</f>
        <v>0</v>
      </c>
      <c r="Y191" s="170">
        <f t="shared" si="37"/>
        <v>0</v>
      </c>
      <c r="Z191">
        <f t="shared" si="29"/>
        <v>0</v>
      </c>
      <c r="AA191">
        <f t="shared" si="30"/>
        <v>1</v>
      </c>
    </row>
    <row r="192" spans="1:27" x14ac:dyDescent="0.25">
      <c r="A192" s="171" t="s">
        <v>99</v>
      </c>
      <c r="B192" s="171" t="s">
        <v>225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38"/>
        <v>1</v>
      </c>
      <c r="E192" s="171">
        <f t="shared" si="33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/>
      <c r="K192" s="94"/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34"/>
        <v>0</v>
      </c>
      <c r="P192" s="94">
        <f t="shared" si="28"/>
        <v>0</v>
      </c>
      <c r="Q192" s="180">
        <f t="shared" si="35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36"/>
        <v>0</v>
      </c>
      <c r="V192" s="169">
        <f>P192*IFERROR(VLOOKUP(A192,[1]Tørstofindhold!A$2:B$25,2,FALSE),0)</f>
        <v>0</v>
      </c>
      <c r="W192">
        <f>IF(E192=År1,Q192,SUM(P192,Q192))*IFERROR(VLOOKUP(A192,[1]Tørstofindhold!A$2:B$25,2,FALSE),0)</f>
        <v>0</v>
      </c>
      <c r="X192">
        <f>K192*IFERROR(VLOOKUP(A192,[1]Tørstofindhold!A$2:B$25,2,FALSE),0)</f>
        <v>0</v>
      </c>
      <c r="Y192" s="170">
        <f t="shared" si="37"/>
        <v>0</v>
      </c>
      <c r="Z192">
        <f t="shared" si="29"/>
        <v>0</v>
      </c>
      <c r="AA192">
        <f t="shared" si="30"/>
        <v>1</v>
      </c>
    </row>
    <row r="193" spans="1:27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38"/>
        <v>0</v>
      </c>
      <c r="E193" s="171">
        <f t="shared" si="33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/>
      <c r="K193" s="94"/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34"/>
        <v>0</v>
      </c>
      <c r="P193" s="94">
        <f t="shared" si="28"/>
        <v>0</v>
      </c>
      <c r="Q193" s="180">
        <f t="shared" si="35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36"/>
        <v>0</v>
      </c>
      <c r="V193" s="169">
        <f>P193*IFERROR(VLOOKUP(A193,[1]Tørstofindhold!A$2:B$25,2,FALSE),0)</f>
        <v>0</v>
      </c>
      <c r="W193">
        <f>IF(E193=År1,Q193,SUM(P193,Q193))*IFERROR(VLOOKUP(A193,[1]Tørstofindhold!A$2:B$25,2,FALSE),0)</f>
        <v>0</v>
      </c>
      <c r="X193">
        <f>K193*IFERROR(VLOOKUP(A193,[1]Tørstofindhold!A$2:B$25,2,FALSE),0)</f>
        <v>0</v>
      </c>
      <c r="Y193" s="170">
        <f t="shared" si="37"/>
        <v>0</v>
      </c>
      <c r="Z193">
        <f t="shared" si="29"/>
        <v>0</v>
      </c>
      <c r="AA193">
        <f t="shared" si="30"/>
        <v>0</v>
      </c>
    </row>
    <row r="194" spans="1:27" x14ac:dyDescent="0.25">
      <c r="A194" s="171" t="s">
        <v>119</v>
      </c>
      <c r="B194" s="171" t="s">
        <v>224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38"/>
        <v>0</v>
      </c>
      <c r="E194" s="171">
        <f t="shared" si="33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/>
      <c r="K194" s="94"/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34"/>
        <v>0</v>
      </c>
      <c r="P194" s="94">
        <f t="shared" ca="1" si="28"/>
        <v>0</v>
      </c>
      <c r="Q194" s="180">
        <f t="shared" ca="1" si="35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36"/>
        <v>9.8790337317585379</v>
      </c>
      <c r="V194" s="169">
        <f ca="1">P194*IFERROR(VLOOKUP(A194,[1]Tørstofindhold!A$2:B$25,2,FALSE),0)</f>
        <v>0</v>
      </c>
      <c r="W194">
        <f ca="1">IF(E194=År1,Q194,SUM(P194,Q194))*IFERROR(VLOOKUP(A194,[1]Tørstofindhold!A$2:B$25,2,FALSE),0)</f>
        <v>337115.41074636247</v>
      </c>
      <c r="X194">
        <f>K194*IFERROR(VLOOKUP(A194,[1]Tørstofindhold!A$2:B$25,2,FALSE),0)</f>
        <v>0</v>
      </c>
      <c r="Y194" s="170">
        <f t="shared" ca="1" si="37"/>
        <v>337115.41074636247</v>
      </c>
      <c r="Z194">
        <f t="shared" ca="1" si="29"/>
        <v>0</v>
      </c>
      <c r="AA194">
        <f t="shared" ca="1" si="30"/>
        <v>0</v>
      </c>
    </row>
    <row r="195" spans="1:27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38"/>
        <v>0</v>
      </c>
      <c r="E195" s="171">
        <f t="shared" si="33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/>
      <c r="K195" s="94"/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34"/>
        <v>0</v>
      </c>
      <c r="P195" s="94">
        <f t="shared" si="28"/>
        <v>0</v>
      </c>
      <c r="Q195" s="180">
        <f t="shared" si="35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36"/>
        <v>0</v>
      </c>
      <c r="V195" s="169">
        <f>P195*IFERROR(VLOOKUP(A195,[1]Tørstofindhold!A$2:B$25,2,FALSE),0)</f>
        <v>0</v>
      </c>
      <c r="W195">
        <f>IF(E195=År1,Q195,SUM(P195,Q195))*IFERROR(VLOOKUP(A195,[1]Tørstofindhold!A$2:B$25,2,FALSE),0)</f>
        <v>0</v>
      </c>
      <c r="X195">
        <f>K195*IFERROR(VLOOKUP(A195,[1]Tørstofindhold!A$2:B$25,2,FALSE),0)</f>
        <v>0</v>
      </c>
      <c r="Y195" s="170">
        <f t="shared" si="37"/>
        <v>0</v>
      </c>
      <c r="Z195">
        <f t="shared" ca="1" si="29"/>
        <v>0</v>
      </c>
      <c r="AA195">
        <f t="shared" ca="1" si="30"/>
        <v>0</v>
      </c>
    </row>
    <row r="196" spans="1:27" x14ac:dyDescent="0.25">
      <c r="A196" s="171" t="str">
        <f t="shared" ref="A196:A227" si="39">A148</f>
        <v>Æg</v>
      </c>
      <c r="B196" s="171" t="str">
        <f t="shared" ref="B196:B227" si="4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38"/>
        <v>1</v>
      </c>
      <c r="E196" s="171">
        <f t="shared" ref="E196:E243" si="4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11522.620478108267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/>
      <c r="K196" s="94"/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34"/>
        <v>11522.620478108267</v>
      </c>
      <c r="P196" s="94">
        <f t="shared" ref="P196:P259" si="4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35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36"/>
        <v>0</v>
      </c>
      <c r="V196" s="169">
        <f>P196*IFERROR(VLOOKUP(A196,[1]Tørstofindhold!A$2:B$25,2,FALSE),0)</f>
        <v>0</v>
      </c>
      <c r="W196">
        <f>IF(E196=År1,Q196,SUM(P196,Q196))*IFERROR(VLOOKUP(A196,[1]Tørstofindhold!A$2:B$25,2,FALSE),0)</f>
        <v>0</v>
      </c>
      <c r="X196">
        <f>K196*IFERROR(VLOOKUP(A196,[1]Tørstofindhold!A$2:B$25,2,FALSE),0)</f>
        <v>0</v>
      </c>
      <c r="Y196" s="170">
        <f t="shared" si="37"/>
        <v>0</v>
      </c>
      <c r="Z196">
        <f t="shared" ref="Z196:Z259" si="43">IF(SUMIFS($O$4:$O$291,$A$4:$A$291,A196,$E$4:$E$291,E196)&lt;0,1,0)</f>
        <v>0</v>
      </c>
      <c r="AA196">
        <f t="shared" ref="AA196:AA259" si="44">IF(SUMIFS($O$4:$O$291,$A$4:$A$291,A196,$E$4:$E$291,E196)&gt;0,1,0)</f>
        <v>1</v>
      </c>
    </row>
    <row r="197" spans="1:27" x14ac:dyDescent="0.25">
      <c r="A197" s="171" t="str">
        <f t="shared" si="39"/>
        <v>Bælgsæd</v>
      </c>
      <c r="B197" s="171" t="str">
        <f t="shared" si="4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38"/>
        <v>1</v>
      </c>
      <c r="E197" s="171">
        <f t="shared" si="4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151127.91698478759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5130.0675922754817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/>
      <c r="K197" s="94"/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34"/>
        <v>145997.84939251211</v>
      </c>
      <c r="P197" s="94">
        <f t="shared" si="42"/>
        <v>0</v>
      </c>
      <c r="Q197" s="180">
        <f t="shared" si="35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36"/>
        <v>0</v>
      </c>
      <c r="V197" s="169">
        <f>P197*IFERROR(VLOOKUP(A197,[1]Tørstofindhold!A$2:B$25,2,FALSE),0)</f>
        <v>0</v>
      </c>
      <c r="W197">
        <f>IF(E197=År1,Q197,SUM(P197,Q197))*IFERROR(VLOOKUP(A197,[1]Tørstofindhold!A$2:B$25,2,FALSE),0)</f>
        <v>0</v>
      </c>
      <c r="X197">
        <f>K197*IFERROR(VLOOKUP(A197,[1]Tørstofindhold!A$2:B$25,2,FALSE),0)</f>
        <v>0</v>
      </c>
      <c r="Y197" s="170">
        <f t="shared" si="37"/>
        <v>0</v>
      </c>
      <c r="Z197">
        <f t="shared" si="43"/>
        <v>0</v>
      </c>
      <c r="AA197">
        <f t="shared" si="44"/>
        <v>1</v>
      </c>
    </row>
    <row r="198" spans="1:27" x14ac:dyDescent="0.25">
      <c r="A198" s="171" t="str">
        <f t="shared" si="39"/>
        <v>Bioaffald</v>
      </c>
      <c r="B198" s="171" t="str">
        <f t="shared" si="4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38"/>
        <v>0</v>
      </c>
      <c r="E198" s="171">
        <f t="shared" si="4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/>
      <c r="K198" s="94"/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34"/>
        <v>0</v>
      </c>
      <c r="P198" s="94">
        <f t="shared" ca="1" si="42"/>
        <v>0</v>
      </c>
      <c r="Q198" s="180">
        <f t="shared" ca="1" si="35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>IFERROR(VLOOKUP(A198,[1]Biogasudbytte!$A$2:$B$18,2,FALSE)*[1]Energiindhold!$C$10,0)*K198*IFERROR(VLOOKUP(A198,Biogasanlæg!$F$3:$G$8,2,FALSE),1)</f>
        <v>0</v>
      </c>
      <c r="U198" s="170">
        <f t="shared" ca="1" si="36"/>
        <v>3.0154675860307889</v>
      </c>
      <c r="V198" s="169">
        <f ca="1">P198*IFERROR(VLOOKUP(A198,[1]Tørstofindhold!A$2:B$25,2,FALSE),0)</f>
        <v>0</v>
      </c>
      <c r="W198">
        <f ca="1">IF(E198=År1,Q198,SUM(P198,Q198))*IFERROR(VLOOKUP(A198,[1]Tørstofindhold!A$2:B$25,2,FALSE),0)</f>
        <v>47295.568812341364</v>
      </c>
      <c r="X198">
        <f>K198*IFERROR(VLOOKUP(A198,[1]Tørstofindhold!A$2:B$25,2,FALSE),0)</f>
        <v>0</v>
      </c>
      <c r="Y198" s="170">
        <f t="shared" ca="1" si="37"/>
        <v>47295.568812341364</v>
      </c>
      <c r="Z198">
        <f t="shared" ca="1" si="43"/>
        <v>0</v>
      </c>
      <c r="AA198">
        <f t="shared" ca="1" si="44"/>
        <v>0</v>
      </c>
    </row>
    <row r="199" spans="1:27" x14ac:dyDescent="0.25">
      <c r="A199" s="171" t="str">
        <f t="shared" si="39"/>
        <v>Biogas</v>
      </c>
      <c r="B199" s="171" t="str">
        <f t="shared" si="4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38"/>
        <v>0</v>
      </c>
      <c r="E199" s="171">
        <f t="shared" si="4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46024614.763335347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/>
      <c r="K199" s="94"/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46024614.763335347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34"/>
        <v>0</v>
      </c>
      <c r="P199" s="94">
        <f t="shared" ca="1" si="42"/>
        <v>0</v>
      </c>
      <c r="Q199" s="180">
        <f t="shared" ca="1" si="35"/>
        <v>46024614.763335347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36"/>
        <v>0</v>
      </c>
      <c r="V199" s="169">
        <f ca="1">P199*IFERROR(VLOOKUP(A199,[1]Tørstofindhold!A$2:B$25,2,FALSE),0)</f>
        <v>0</v>
      </c>
      <c r="W199">
        <f ca="1">IF(E199=År1,Q199,SUM(P199,Q199))*IFERROR(VLOOKUP(A199,[1]Tørstofindhold!A$2:B$25,2,FALSE),0)</f>
        <v>0</v>
      </c>
      <c r="X199">
        <f>K199*IFERROR(VLOOKUP(A199,[1]Tørstofindhold!A$2:B$25,2,FALSE),0)</f>
        <v>0</v>
      </c>
      <c r="Y199" s="170">
        <f t="shared" ca="1" si="37"/>
        <v>0</v>
      </c>
      <c r="Z199">
        <f t="shared" ca="1" si="43"/>
        <v>0</v>
      </c>
      <c r="AA199">
        <f t="shared" ca="1" si="44"/>
        <v>0</v>
      </c>
    </row>
    <row r="200" spans="1:27" x14ac:dyDescent="0.25">
      <c r="A200" s="171" t="str">
        <f t="shared" si="39"/>
        <v>Biogasgylle</v>
      </c>
      <c r="B200" s="171" t="str">
        <f t="shared" si="4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38"/>
        <v>0</v>
      </c>
      <c r="E200" s="171">
        <f t="shared" si="4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2336197.3879103642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/>
      <c r="K200" s="94"/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1833172.5263920096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34"/>
        <v>503024.86151835462</v>
      </c>
      <c r="P200" s="94">
        <f t="shared" si="42"/>
        <v>0</v>
      </c>
      <c r="Q200" s="180">
        <f t="shared" si="35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36"/>
        <v>0</v>
      </c>
      <c r="V200" s="169">
        <f>P200*IFERROR(VLOOKUP(A200,[1]Tørstofindhold!A$2:B$25,2,FALSE),0)</f>
        <v>0</v>
      </c>
      <c r="W200">
        <f>IF(E200=År1,Q200,SUM(P200,Q200))*IFERROR(VLOOKUP(A200,[1]Tørstofindhold!A$2:B$25,2,FALSE),0)</f>
        <v>0</v>
      </c>
      <c r="X200">
        <f>K200*IFERROR(VLOOKUP(A200,[1]Tørstofindhold!A$2:B$25,2,FALSE),0)</f>
        <v>0</v>
      </c>
      <c r="Y200" s="170">
        <f t="shared" si="37"/>
        <v>0</v>
      </c>
      <c r="Z200">
        <f t="shared" ca="1" si="43"/>
        <v>0</v>
      </c>
      <c r="AA200">
        <f t="shared" ca="1" si="44"/>
        <v>1</v>
      </c>
    </row>
    <row r="201" spans="1:27" x14ac:dyDescent="0.25">
      <c r="A201" s="171" t="str">
        <f t="shared" si="39"/>
        <v>Brun saft</v>
      </c>
      <c r="B201" s="171" t="str">
        <f t="shared" si="4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38"/>
        <v>0</v>
      </c>
      <c r="E201" s="171">
        <f t="shared" si="4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1872632.3158058459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/>
      <c r="K201" s="94"/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34"/>
        <v>1872632.3158058459</v>
      </c>
      <c r="P201" s="94">
        <f t="shared" si="42"/>
        <v>1872632.3158058459</v>
      </c>
      <c r="Q201" s="180">
        <f t="shared" si="35"/>
        <v>0</v>
      </c>
      <c r="R201">
        <f>IFERROR(VLOOKUP(A201,[1]Energiindhold!$A$2:$C$11,3,FALSE),IFERROR(VLOOKUP(A201,[1]Biogasudbytte!$A$2:$B$18,2,FALSE)*[1]Energiindhold!$C$10,0))*P201</f>
        <v>1.0637039878967427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1.0637039878967427</v>
      </c>
      <c r="T201">
        <f>IFERROR(VLOOKUP(A201,[1]Biogasudbytte!$A$2:$B$18,2,FALSE)*[1]Energiindhold!$C$10,0)*K201*IFERROR(VLOOKUP(A201,Biogasanlæg!$F$3:$G$8,2,FALSE),1)</f>
        <v>0</v>
      </c>
      <c r="U201" s="170">
        <f t="shared" si="36"/>
        <v>1.0637039878967427</v>
      </c>
      <c r="V201" s="169">
        <f>P201*IFERROR(VLOOKUP(A201,[1]Tørstofindhold!A$2:B$25,2,FALSE),0)</f>
        <v>80080.101475325049</v>
      </c>
      <c r="W201">
        <f>IF(E201=År1,Q201,SUM(P201,Q201))*IFERROR(VLOOKUP(A201,[1]Tørstofindhold!A$2:B$25,2,FALSE),0)</f>
        <v>80080.101475325049</v>
      </c>
      <c r="X201">
        <f>K201*IFERROR(VLOOKUP(A201,[1]Tørstofindhold!A$2:B$25,2,FALSE),0)</f>
        <v>0</v>
      </c>
      <c r="Y201" s="170">
        <f t="shared" si="37"/>
        <v>80080.101475325049</v>
      </c>
      <c r="Z201">
        <f t="shared" si="43"/>
        <v>0</v>
      </c>
      <c r="AA201">
        <f t="shared" si="44"/>
        <v>1</v>
      </c>
    </row>
    <row r="202" spans="1:27" x14ac:dyDescent="0.25">
      <c r="A202" s="171" t="str">
        <f t="shared" si="39"/>
        <v>Dybstrøelse</v>
      </c>
      <c r="B202" s="171" t="str">
        <f t="shared" si="4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38"/>
        <v>0</v>
      </c>
      <c r="E202" s="171">
        <f t="shared" si="4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348347.71555677708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/>
      <c r="K202" s="94"/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32968.623079480683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34"/>
        <v>315379.09247729642</v>
      </c>
      <c r="P202" s="94">
        <f t="shared" si="42"/>
        <v>315379.09247729642</v>
      </c>
      <c r="Q202" s="180">
        <f t="shared" si="35"/>
        <v>0</v>
      </c>
      <c r="R202">
        <f>IFERROR(VLOOKUP(A202,[1]Energiindhold!$A$2:$C$11,3,FALSE),IFERROR(VLOOKUP(A202,[1]Biogasudbytte!$A$2:$B$18,2,FALSE)*[1]Energiindhold!$C$10,0))*P202</f>
        <v>0.67932656519609647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0.67932656519609647</v>
      </c>
      <c r="T202">
        <f>IFERROR(VLOOKUP(A202,[1]Biogasudbytte!$A$2:$B$18,2,FALSE)*[1]Energiindhold!$C$10,0)*K202*IFERROR(VLOOKUP(A202,Biogasanlæg!$F$3:$G$8,2,FALSE),1)</f>
        <v>0</v>
      </c>
      <c r="U202" s="170">
        <f t="shared" si="36"/>
        <v>0.67932656519609647</v>
      </c>
      <c r="V202" s="169">
        <f>P202*IFERROR(VLOOKUP(A202,[1]Tørstofindhold!A$2:B$25,2,FALSE),0)</f>
        <v>94613.727743188923</v>
      </c>
      <c r="W202">
        <f>IF(E202=År1,Q202,SUM(P202,Q202))*IFERROR(VLOOKUP(A202,[1]Tørstofindhold!A$2:B$25,2,FALSE),0)</f>
        <v>94613.727743188923</v>
      </c>
      <c r="X202">
        <f>K202*IFERROR(VLOOKUP(A202,[1]Tørstofindhold!A$2:B$25,2,FALSE),0)</f>
        <v>0</v>
      </c>
      <c r="Y202" s="170">
        <f t="shared" si="37"/>
        <v>94613.727743188923</v>
      </c>
      <c r="Z202">
        <f t="shared" si="43"/>
        <v>0</v>
      </c>
      <c r="AA202">
        <f t="shared" si="44"/>
        <v>1</v>
      </c>
    </row>
    <row r="203" spans="1:27" x14ac:dyDescent="0.25">
      <c r="A203" s="171" t="str">
        <f t="shared" si="39"/>
        <v>Fiberfraktion</v>
      </c>
      <c r="B203" s="171" t="str">
        <f t="shared" si="4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38"/>
        <v>0</v>
      </c>
      <c r="E203" s="171">
        <f t="shared" si="4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1318966.377240648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0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/>
      <c r="K203" s="94"/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34"/>
        <v>1318966.377240648</v>
      </c>
      <c r="P203" s="94">
        <f t="shared" si="42"/>
        <v>0</v>
      </c>
      <c r="Q203" s="180">
        <f t="shared" si="35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36"/>
        <v>0</v>
      </c>
      <c r="V203" s="169">
        <f>P203*IFERROR(VLOOKUP(A203,[1]Tørstofindhold!A$2:B$25,2,FALSE),0)</f>
        <v>0</v>
      </c>
      <c r="W203">
        <f>IF(E203=År1,Q203,SUM(P203,Q203))*IFERROR(VLOOKUP(A203,[1]Tørstofindhold!A$2:B$25,2,FALSE),0)</f>
        <v>0</v>
      </c>
      <c r="X203">
        <f>K203*IFERROR(VLOOKUP(A203,[1]Tørstofindhold!A$2:B$25,2,FALSE),0)</f>
        <v>0</v>
      </c>
      <c r="Y203" s="170">
        <f t="shared" si="37"/>
        <v>0</v>
      </c>
      <c r="Z203">
        <f t="shared" si="43"/>
        <v>0</v>
      </c>
      <c r="AA203">
        <f t="shared" si="44"/>
        <v>1</v>
      </c>
    </row>
    <row r="204" spans="1:27" x14ac:dyDescent="0.25">
      <c r="A204" s="171" t="str">
        <f t="shared" si="39"/>
        <v>Fjerkrægylle</v>
      </c>
      <c r="B204" s="171" t="str">
        <f t="shared" si="4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38"/>
        <v>0</v>
      </c>
      <c r="E204" s="171">
        <f t="shared" si="4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678.5291555114477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/>
      <c r="K204" s="94"/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169.63228887786195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34"/>
        <v>508.89686663358577</v>
      </c>
      <c r="P204" s="94">
        <f t="shared" si="42"/>
        <v>508.89686663358577</v>
      </c>
      <c r="Q204" s="180">
        <f t="shared" si="35"/>
        <v>0</v>
      </c>
      <c r="R204">
        <f>IFERROR(VLOOKUP(A204,[1]Energiindhold!$A$2:$C$11,3,FALSE),IFERROR(VLOOKUP(A204,[1]Biogasudbytte!$A$2:$B$18,2,FALSE)*[1]Energiindhold!$C$10,0))*P204</f>
        <v>2.3932910740910907E-4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2.3932910740910907E-4</v>
      </c>
      <c r="T204">
        <f>IFERROR(VLOOKUP(A204,[1]Biogasudbytte!$A$2:$B$18,2,FALSE)*[1]Energiindhold!$C$10,0)*K204*IFERROR(VLOOKUP(A204,Biogasanlæg!$F$3:$G$8,2,FALSE),1)</f>
        <v>0</v>
      </c>
      <c r="U204" s="170">
        <f t="shared" si="36"/>
        <v>2.3932910740910907E-4</v>
      </c>
      <c r="V204" s="169">
        <f>P204*IFERROR(VLOOKUP(A204,[1]Tørstofindhold!A$2:B$25,2,FALSE),0)</f>
        <v>32.060502597915907</v>
      </c>
      <c r="W204">
        <f>IF(E204=År1,Q204,SUM(P204,Q204))*IFERROR(VLOOKUP(A204,[1]Tørstofindhold!A$2:B$25,2,FALSE),0)</f>
        <v>32.060502597915907</v>
      </c>
      <c r="X204">
        <f>K204*IFERROR(VLOOKUP(A204,[1]Tørstofindhold!A$2:B$25,2,FALSE),0)</f>
        <v>0</v>
      </c>
      <c r="Y204" s="170">
        <f t="shared" si="37"/>
        <v>32.060502597915907</v>
      </c>
      <c r="Z204">
        <f t="shared" si="43"/>
        <v>0</v>
      </c>
      <c r="AA204">
        <f t="shared" si="44"/>
        <v>1</v>
      </c>
    </row>
    <row r="205" spans="1:27" x14ac:dyDescent="0.25">
      <c r="A205" s="171" t="str">
        <f t="shared" si="39"/>
        <v>Fjerkrækød</v>
      </c>
      <c r="B205" s="171" t="str">
        <f t="shared" si="4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38"/>
        <v>1</v>
      </c>
      <c r="E205" s="171">
        <f t="shared" si="4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8276.4182574830029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/>
      <c r="K205" s="94"/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34"/>
        <v>8276.4182574830029</v>
      </c>
      <c r="P205" s="94">
        <f t="shared" si="42"/>
        <v>0</v>
      </c>
      <c r="Q205" s="180">
        <f t="shared" si="35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36"/>
        <v>0</v>
      </c>
      <c r="V205" s="169">
        <f>P205*IFERROR(VLOOKUP(A205,[1]Tørstofindhold!A$2:B$25,2,FALSE),0)</f>
        <v>0</v>
      </c>
      <c r="W205">
        <f>IF(E205=År1,Q205,SUM(P205,Q205))*IFERROR(VLOOKUP(A205,[1]Tørstofindhold!A$2:B$25,2,FALSE),0)</f>
        <v>0</v>
      </c>
      <c r="X205">
        <f>K205*IFERROR(VLOOKUP(A205,[1]Tørstofindhold!A$2:B$25,2,FALSE),0)</f>
        <v>0</v>
      </c>
      <c r="Y205" s="170">
        <f t="shared" si="37"/>
        <v>0</v>
      </c>
      <c r="Z205">
        <f t="shared" si="43"/>
        <v>0</v>
      </c>
      <c r="AA205">
        <f t="shared" si="44"/>
        <v>1</v>
      </c>
    </row>
    <row r="206" spans="1:27" x14ac:dyDescent="0.25">
      <c r="A206" s="171" t="str">
        <f t="shared" si="39"/>
        <v>Frø</v>
      </c>
      <c r="B206" s="171" t="str">
        <f t="shared" si="4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38"/>
        <v>0</v>
      </c>
      <c r="E206" s="171">
        <f t="shared" si="4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219235.46948095749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/>
      <c r="K206" s="94"/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34"/>
        <v>219235.46948095749</v>
      </c>
      <c r="P206" s="94">
        <f t="shared" si="42"/>
        <v>0</v>
      </c>
      <c r="Q206" s="180">
        <f t="shared" si="35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36"/>
        <v>0</v>
      </c>
      <c r="V206" s="169">
        <f>P206*IFERROR(VLOOKUP(A206,[1]Tørstofindhold!A$2:B$25,2,FALSE),0)</f>
        <v>0</v>
      </c>
      <c r="W206">
        <f>IF(E206=År1,Q206,SUM(P206,Q206))*IFERROR(VLOOKUP(A206,[1]Tørstofindhold!A$2:B$25,2,FALSE),0)</f>
        <v>0</v>
      </c>
      <c r="X206">
        <f>K206*IFERROR(VLOOKUP(A206,[1]Tørstofindhold!A$2:B$25,2,FALSE),0)</f>
        <v>0</v>
      </c>
      <c r="Y206" s="170">
        <f t="shared" si="37"/>
        <v>0</v>
      </c>
      <c r="Z206">
        <f t="shared" si="43"/>
        <v>0</v>
      </c>
      <c r="AA206">
        <f t="shared" si="44"/>
        <v>1</v>
      </c>
    </row>
    <row r="207" spans="1:27" x14ac:dyDescent="0.25">
      <c r="A207" s="171" t="str">
        <f t="shared" si="39"/>
        <v>Frugt</v>
      </c>
      <c r="B207" s="171" t="str">
        <f t="shared" si="4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38"/>
        <v>1</v>
      </c>
      <c r="E207" s="171">
        <f t="shared" si="4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136756.20304356876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/>
      <c r="K207" s="94"/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34"/>
        <v>136756.20304356876</v>
      </c>
      <c r="P207" s="94">
        <f t="shared" si="42"/>
        <v>0</v>
      </c>
      <c r="Q207" s="180">
        <f t="shared" si="35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36"/>
        <v>0</v>
      </c>
      <c r="V207" s="169">
        <f>P207*IFERROR(VLOOKUP(A207,[1]Tørstofindhold!A$2:B$25,2,FALSE),0)</f>
        <v>0</v>
      </c>
      <c r="W207">
        <f>IF(E207=År1,Q207,SUM(P207,Q207))*IFERROR(VLOOKUP(A207,[1]Tørstofindhold!A$2:B$25,2,FALSE),0)</f>
        <v>0</v>
      </c>
      <c r="X207">
        <f>K207*IFERROR(VLOOKUP(A207,[1]Tørstofindhold!A$2:B$25,2,FALSE),0)</f>
        <v>0</v>
      </c>
      <c r="Y207" s="170">
        <f t="shared" si="37"/>
        <v>0</v>
      </c>
      <c r="Z207">
        <f t="shared" si="43"/>
        <v>0</v>
      </c>
      <c r="AA207">
        <f t="shared" si="44"/>
        <v>1</v>
      </c>
    </row>
    <row r="208" spans="1:27" x14ac:dyDescent="0.25">
      <c r="A208" s="171" t="str">
        <f t="shared" si="39"/>
        <v>Glycerin</v>
      </c>
      <c r="B208" s="171" t="str">
        <f t="shared" si="4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38"/>
        <v>0</v>
      </c>
      <c r="E208" s="171">
        <f t="shared" si="4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/>
      <c r="K208" s="94"/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34"/>
        <v>0</v>
      </c>
      <c r="P208" s="94">
        <f t="shared" si="42"/>
        <v>0</v>
      </c>
      <c r="Q208" s="180">
        <f t="shared" si="35"/>
        <v>0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</v>
      </c>
      <c r="T208">
        <f>IFERROR(VLOOKUP(A208,[1]Biogasudbytte!$A$2:$B$18,2,FALSE)*[1]Energiindhold!$C$10,0)*K208*IFERROR(VLOOKUP(A208,Biogasanlæg!$F$3:$G$8,2,FALSE),1)</f>
        <v>0</v>
      </c>
      <c r="U208" s="170">
        <f t="shared" si="36"/>
        <v>0</v>
      </c>
      <c r="V208" s="169">
        <f>P208*IFERROR(VLOOKUP(A208,[1]Tørstofindhold!A$2:B$25,2,FALSE),0)</f>
        <v>0</v>
      </c>
      <c r="W208">
        <f>IF(E208=År1,Q208,SUM(P208,Q208))*IFERROR(VLOOKUP(A208,[1]Tørstofindhold!A$2:B$25,2,FALSE),0)</f>
        <v>0</v>
      </c>
      <c r="X208">
        <f>K208*IFERROR(VLOOKUP(A208,[1]Tørstofindhold!A$2:B$25,2,FALSE),0)</f>
        <v>0</v>
      </c>
      <c r="Y208" s="170">
        <f t="shared" si="37"/>
        <v>0</v>
      </c>
      <c r="Z208">
        <f t="shared" si="43"/>
        <v>0</v>
      </c>
      <c r="AA208">
        <f t="shared" si="44"/>
        <v>0</v>
      </c>
    </row>
    <row r="209" spans="1:27" x14ac:dyDescent="0.25">
      <c r="A209" s="171" t="str">
        <f t="shared" si="39"/>
        <v>Græs</v>
      </c>
      <c r="B209" s="171" t="str">
        <f t="shared" si="4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38"/>
        <v>0</v>
      </c>
      <c r="E209" s="171">
        <f t="shared" si="4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6205031.1249834606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973359.07469549077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/>
      <c r="K209" s="94"/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3832239.5048490944</v>
      </c>
      <c r="O209" s="179">
        <f t="shared" si="34"/>
        <v>1399432.5454388754</v>
      </c>
      <c r="P209" s="94">
        <f t="shared" si="42"/>
        <v>0</v>
      </c>
      <c r="Q209" s="180">
        <f t="shared" si="35"/>
        <v>0</v>
      </c>
      <c r="R209">
        <f>IFERROR(VLOOKUP(A209,[1]Energiindhold!$A$2:$C$11,3,FALSE),IFERROR(VLOOKUP(A209,[1]Biogasudbytte!$A$2:$B$18,2,FALSE)*[1]Energiindhold!$C$10,0))*P209</f>
        <v>0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0</v>
      </c>
      <c r="T209">
        <f>IFERROR(VLOOKUP(A209,[1]Biogasudbytte!$A$2:$B$18,2,FALSE)*[1]Energiindhold!$C$10,0)*K209*IFERROR(VLOOKUP(A209,Biogasanlæg!$F$3:$G$8,2,FALSE),1)</f>
        <v>0</v>
      </c>
      <c r="U209" s="170">
        <f t="shared" si="36"/>
        <v>0</v>
      </c>
      <c r="V209" s="169">
        <f>P209*IFERROR(VLOOKUP(A209,[1]Tørstofindhold!A$2:B$25,2,FALSE),0)</f>
        <v>0</v>
      </c>
      <c r="W209">
        <f>IF(E209=År1,Q209,SUM(P209,Q209))*IFERROR(VLOOKUP(A209,[1]Tørstofindhold!A$2:B$25,2,FALSE),0)</f>
        <v>0</v>
      </c>
      <c r="X209">
        <f>K209*IFERROR(VLOOKUP(A209,[1]Tørstofindhold!A$2:B$25,2,FALSE),0)</f>
        <v>0</v>
      </c>
      <c r="Y209" s="170">
        <f t="shared" si="37"/>
        <v>0</v>
      </c>
      <c r="Z209">
        <f t="shared" si="43"/>
        <v>1</v>
      </c>
      <c r="AA209">
        <f t="shared" si="44"/>
        <v>0</v>
      </c>
    </row>
    <row r="210" spans="1:27" x14ac:dyDescent="0.25">
      <c r="A210" s="171" t="str">
        <f t="shared" si="39"/>
        <v>Græsprotein</v>
      </c>
      <c r="B210" s="171" t="str">
        <f t="shared" si="4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38"/>
        <v>0</v>
      </c>
      <c r="E210" s="171">
        <f t="shared" si="4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640640.81180260039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640640.81180260039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/>
      <c r="K210" s="94"/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34"/>
        <v>0</v>
      </c>
      <c r="P210" s="94">
        <f t="shared" si="42"/>
        <v>0</v>
      </c>
      <c r="Q210" s="180">
        <f t="shared" si="35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36"/>
        <v>0</v>
      </c>
      <c r="V210" s="169">
        <f>P210*IFERROR(VLOOKUP(A210,[1]Tørstofindhold!A$2:B$25,2,FALSE),0)</f>
        <v>0</v>
      </c>
      <c r="W210">
        <f>IF(E210=År1,Q210,SUM(P210,Q210))*IFERROR(VLOOKUP(A210,[1]Tørstofindhold!A$2:B$25,2,FALSE),0)</f>
        <v>0</v>
      </c>
      <c r="X210">
        <f>K210*IFERROR(VLOOKUP(A210,[1]Tørstofindhold!A$2:B$25,2,FALSE),0)</f>
        <v>0</v>
      </c>
      <c r="Y210" s="170">
        <f t="shared" si="37"/>
        <v>0</v>
      </c>
      <c r="Z210">
        <f t="shared" si="43"/>
        <v>0</v>
      </c>
      <c r="AA210">
        <f t="shared" si="44"/>
        <v>0</v>
      </c>
    </row>
    <row r="211" spans="1:27" x14ac:dyDescent="0.25">
      <c r="A211" s="171" t="str">
        <f t="shared" si="39"/>
        <v>Grøntsager</v>
      </c>
      <c r="B211" s="171" t="str">
        <f t="shared" si="4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38"/>
        <v>1</v>
      </c>
      <c r="E211" s="171">
        <f t="shared" si="4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89283.287705397597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/>
      <c r="K211" s="94"/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34"/>
        <v>89283.287705397597</v>
      </c>
      <c r="P211" s="94">
        <f t="shared" si="42"/>
        <v>0</v>
      </c>
      <c r="Q211" s="180">
        <f t="shared" si="35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36"/>
        <v>0</v>
      </c>
      <c r="V211" s="169">
        <f>P211*IFERROR(VLOOKUP(A211,[1]Tørstofindhold!A$2:B$25,2,FALSE),0)</f>
        <v>0</v>
      </c>
      <c r="W211">
        <f>IF(E211=År1,Q211,SUM(P211,Q211))*IFERROR(VLOOKUP(A211,[1]Tørstofindhold!A$2:B$25,2,FALSE),0)</f>
        <v>0</v>
      </c>
      <c r="X211">
        <f>K211*IFERROR(VLOOKUP(A211,[1]Tørstofindhold!A$2:B$25,2,FALSE),0)</f>
        <v>0</v>
      </c>
      <c r="Y211" s="170">
        <f t="shared" si="37"/>
        <v>0</v>
      </c>
      <c r="Z211">
        <f t="shared" si="43"/>
        <v>0</v>
      </c>
      <c r="AA211">
        <f t="shared" si="44"/>
        <v>1</v>
      </c>
    </row>
    <row r="212" spans="1:27" x14ac:dyDescent="0.25">
      <c r="A212" s="171" t="str">
        <f t="shared" si="39"/>
        <v>Halm</v>
      </c>
      <c r="B212" s="171" t="str">
        <f t="shared" si="4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38"/>
        <v>0</v>
      </c>
      <c r="E212" s="171">
        <f t="shared" si="4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621799.3098622479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61489.560168524171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68051.447846356168</v>
      </c>
      <c r="J212" s="94"/>
      <c r="K212" s="94"/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492258.30184736766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34"/>
        <v>0</v>
      </c>
      <c r="P212" s="94">
        <f t="shared" si="42"/>
        <v>0</v>
      </c>
      <c r="Q212" s="180">
        <f t="shared" si="35"/>
        <v>492258.30184736766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5.087886476725541</v>
      </c>
      <c r="T212">
        <f>IFERROR(VLOOKUP(A212,[1]Biogasudbytte!$A$2:$B$18,2,FALSE)*[1]Energiindhold!$C$10,0)*K212*IFERROR(VLOOKUP(A212,Biogasanlæg!$F$3:$G$8,2,FALSE),1)</f>
        <v>0</v>
      </c>
      <c r="U212" s="170">
        <f t="shared" si="36"/>
        <v>5.087886476725541</v>
      </c>
      <c r="V212" s="169">
        <f>P212*IFERROR(VLOOKUP(A212,[1]Tørstofindhold!A$2:B$25,2,FALSE),0)</f>
        <v>0</v>
      </c>
      <c r="W212">
        <f>IF(E212=År1,Q212,SUM(P212,Q212))*IFERROR(VLOOKUP(A212,[1]Tørstofindhold!A$2:B$25,2,FALSE),0)</f>
        <v>418419.55657026253</v>
      </c>
      <c r="X212">
        <f>K212*IFERROR(VLOOKUP(A212,[1]Tørstofindhold!A$2:B$25,2,FALSE),0)</f>
        <v>0</v>
      </c>
      <c r="Y212" s="170">
        <f t="shared" si="37"/>
        <v>418419.55657026253</v>
      </c>
      <c r="Z212">
        <f t="shared" si="43"/>
        <v>0</v>
      </c>
      <c r="AA212">
        <f t="shared" si="44"/>
        <v>0</v>
      </c>
    </row>
    <row r="213" spans="1:27" x14ac:dyDescent="0.25">
      <c r="A213" s="171" t="str">
        <f t="shared" si="39"/>
        <v>Have/parkaffald</v>
      </c>
      <c r="B213" s="171" t="str">
        <f t="shared" si="4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38"/>
        <v>0</v>
      </c>
      <c r="E213" s="171">
        <f t="shared" si="4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/>
      <c r="K213" s="94"/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456074.89013160887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34"/>
        <v>0</v>
      </c>
      <c r="P213" s="94">
        <f t="shared" si="42"/>
        <v>0</v>
      </c>
      <c r="Q213" s="180">
        <f t="shared" si="35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8.1419495125715642</v>
      </c>
      <c r="T213">
        <f>IFERROR(VLOOKUP(A213,[1]Biogasudbytte!$A$2:$B$18,2,FALSE)*[1]Energiindhold!$C$10,0)*K213*IFERROR(VLOOKUP(A213,Biogasanlæg!$F$3:$G$8,2,FALSE),1)</f>
        <v>0</v>
      </c>
      <c r="U213" s="170">
        <f t="shared" si="36"/>
        <v>8.1419495125715642</v>
      </c>
      <c r="V213" s="169">
        <f>P213*IFERROR(VLOOKUP(A213,[1]Tørstofindhold!A$2:B$25,2,FALSE),0)</f>
        <v>0</v>
      </c>
      <c r="W213">
        <f>IF(E213=År1,Q213,SUM(P213,Q213))*IFERROR(VLOOKUP(A213,[1]Tørstofindhold!A$2:B$25,2,FALSE),0)</f>
        <v>136822.46703948267</v>
      </c>
      <c r="X213">
        <f>K213*IFERROR(VLOOKUP(A213,[1]Tørstofindhold!A$2:B$25,2,FALSE),0)</f>
        <v>0</v>
      </c>
      <c r="Y213" s="170">
        <f t="shared" si="37"/>
        <v>136822.46703948267</v>
      </c>
      <c r="Z213">
        <f t="shared" si="43"/>
        <v>0</v>
      </c>
      <c r="AA213">
        <f t="shared" si="44"/>
        <v>0</v>
      </c>
    </row>
    <row r="214" spans="1:27" x14ac:dyDescent="0.25">
      <c r="A214" s="171" t="str">
        <f t="shared" si="39"/>
        <v>Import af foder</v>
      </c>
      <c r="B214" s="171" t="str">
        <f t="shared" si="4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38"/>
        <v>1</v>
      </c>
      <c r="E214" s="171">
        <f t="shared" si="4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247769.39356957746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/>
      <c r="K214" s="94"/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34"/>
        <v>-247769.39356957746</v>
      </c>
      <c r="P214" s="94">
        <f t="shared" si="42"/>
        <v>0</v>
      </c>
      <c r="Q214" s="180">
        <f t="shared" si="35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36"/>
        <v>0</v>
      </c>
      <c r="V214" s="169">
        <f>P214*IFERROR(VLOOKUP(A214,[1]Tørstofindhold!A$2:B$25,2,FALSE),0)</f>
        <v>0</v>
      </c>
      <c r="W214">
        <f>IF(E214=År1,Q214,SUM(P214,Q214))*IFERROR(VLOOKUP(A214,[1]Tørstofindhold!A$2:B$25,2,FALSE),0)</f>
        <v>0</v>
      </c>
      <c r="X214">
        <f>K214*IFERROR(VLOOKUP(A214,[1]Tørstofindhold!A$2:B$25,2,FALSE),0)</f>
        <v>0</v>
      </c>
      <c r="Y214" s="170">
        <f t="shared" si="37"/>
        <v>0</v>
      </c>
      <c r="Z214">
        <f t="shared" si="43"/>
        <v>1</v>
      </c>
      <c r="AA214">
        <f t="shared" si="44"/>
        <v>0</v>
      </c>
    </row>
    <row r="215" spans="1:27" x14ac:dyDescent="0.25">
      <c r="A215" s="171" t="str">
        <f t="shared" si="39"/>
        <v>Industriaffald</v>
      </c>
      <c r="B215" s="171" t="str">
        <f t="shared" si="4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38"/>
        <v>0</v>
      </c>
      <c r="E215" s="171">
        <f t="shared" si="4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189662.94061352842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/>
      <c r="K215" s="94"/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34"/>
        <v>189662.94061352842</v>
      </c>
      <c r="P215" s="94">
        <f t="shared" si="42"/>
        <v>189662.94061352842</v>
      </c>
      <c r="Q215" s="180">
        <f t="shared" si="35"/>
        <v>0</v>
      </c>
      <c r="R215">
        <f>IFERROR(VLOOKUP(A215,[1]Energiindhold!$A$2:$C$11,3,FALSE),IFERROR(VLOOKUP(A215,[1]Biogasudbytte!$A$2:$B$18,2,FALSE)*[1]Energiindhold!$C$10,0))*P215</f>
        <v>0.82183417786069846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0.82183417786069846</v>
      </c>
      <c r="T215">
        <f>IFERROR(VLOOKUP(A215,[1]Biogasudbytte!$A$2:$B$18,2,FALSE)*[1]Energiindhold!$C$10,0)*K215*IFERROR(VLOOKUP(A215,Biogasanlæg!$F$3:$G$8,2,FALSE),1)</f>
        <v>0</v>
      </c>
      <c r="U215" s="170">
        <f t="shared" si="36"/>
        <v>0.82183417786069846</v>
      </c>
      <c r="V215" s="169">
        <f>P215*IFERROR(VLOOKUP(A215,[1]Tørstofindhold!A$2:B$25,2,FALSE),0)</f>
        <v>79658.435057681942</v>
      </c>
      <c r="W215">
        <f>IF(E215=År1,Q215,SUM(P215,Q215))*IFERROR(VLOOKUP(A215,[1]Tørstofindhold!A$2:B$25,2,FALSE),0)</f>
        <v>79658.435057681942</v>
      </c>
      <c r="X215">
        <f>K215*IFERROR(VLOOKUP(A215,[1]Tørstofindhold!A$2:B$25,2,FALSE),0)</f>
        <v>0</v>
      </c>
      <c r="Y215" s="170">
        <f t="shared" si="37"/>
        <v>79658.435057681942</v>
      </c>
      <c r="Z215">
        <f t="shared" si="43"/>
        <v>0</v>
      </c>
      <c r="AA215">
        <f t="shared" si="44"/>
        <v>1</v>
      </c>
    </row>
    <row r="216" spans="1:27" x14ac:dyDescent="0.25">
      <c r="A216" s="171" t="str">
        <f t="shared" si="39"/>
        <v>Juletræer</v>
      </c>
      <c r="B216" s="171" t="str">
        <f t="shared" si="4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38"/>
        <v>0</v>
      </c>
      <c r="E216" s="171">
        <f t="shared" si="4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187014.68622961262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/>
      <c r="K216" s="94"/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34"/>
        <v>187014.68622961262</v>
      </c>
      <c r="P216" s="94">
        <f t="shared" si="42"/>
        <v>0</v>
      </c>
      <c r="Q216" s="180">
        <f t="shared" si="35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36"/>
        <v>0</v>
      </c>
      <c r="V216" s="169">
        <f>P216*IFERROR(VLOOKUP(A216,[1]Tørstofindhold!A$2:B$25,2,FALSE),0)</f>
        <v>0</v>
      </c>
      <c r="W216">
        <f>IF(E216=År1,Q216,SUM(P216,Q216))*IFERROR(VLOOKUP(A216,[1]Tørstofindhold!A$2:B$25,2,FALSE),0)</f>
        <v>0</v>
      </c>
      <c r="X216">
        <f>K216*IFERROR(VLOOKUP(A216,[1]Tørstofindhold!A$2:B$25,2,FALSE),0)</f>
        <v>0</v>
      </c>
      <c r="Y216" s="170">
        <f t="shared" si="37"/>
        <v>0</v>
      </c>
      <c r="Z216">
        <f t="shared" si="43"/>
        <v>0</v>
      </c>
      <c r="AA216">
        <f t="shared" si="44"/>
        <v>1</v>
      </c>
    </row>
    <row r="217" spans="1:27" x14ac:dyDescent="0.25">
      <c r="A217" s="171" t="str">
        <f t="shared" si="39"/>
        <v>Kartofler</v>
      </c>
      <c r="B217" s="171" t="str">
        <f t="shared" si="4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38"/>
        <v>1</v>
      </c>
      <c r="E217" s="171">
        <f t="shared" si="4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689757.40845134575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/>
      <c r="K217" s="94"/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45">G217-SUM(H217:N217)</f>
        <v>689757.40845134575</v>
      </c>
      <c r="P217" s="94">
        <f t="shared" si="42"/>
        <v>0</v>
      </c>
      <c r="Q217" s="180">
        <f t="shared" ref="Q217:Q282" si="4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47">S217-T217</f>
        <v>0</v>
      </c>
      <c r="V217" s="169">
        <f>P217*IFERROR(VLOOKUP(A217,[1]Tørstofindhold!A$2:B$25,2,FALSE),0)</f>
        <v>0</v>
      </c>
      <c r="W217">
        <f>IF(E217=År1,Q217,SUM(P217,Q217))*IFERROR(VLOOKUP(A217,[1]Tørstofindhold!A$2:B$25,2,FALSE),0)</f>
        <v>0</v>
      </c>
      <c r="X217">
        <f>K217*IFERROR(VLOOKUP(A217,[1]Tørstofindhold!A$2:B$25,2,FALSE),0)</f>
        <v>0</v>
      </c>
      <c r="Y217" s="170">
        <f t="shared" ref="Y217:Y282" si="48">W217-X217</f>
        <v>0</v>
      </c>
      <c r="Z217">
        <f t="shared" si="43"/>
        <v>0</v>
      </c>
      <c r="AA217">
        <f t="shared" si="44"/>
        <v>1</v>
      </c>
    </row>
    <row r="218" spans="1:27" x14ac:dyDescent="0.25">
      <c r="A218" s="171" t="str">
        <f t="shared" si="39"/>
        <v>Korn</v>
      </c>
      <c r="B218" s="171" t="str">
        <f t="shared" si="4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38"/>
        <v>1</v>
      </c>
      <c r="E218" s="171">
        <f t="shared" si="4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1320594.9697580421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343178.29580461275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/>
      <c r="K218" s="94"/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977416.67395342933</v>
      </c>
      <c r="P218" s="94">
        <f t="shared" si="42"/>
        <v>977416.67395342933</v>
      </c>
      <c r="Q218" s="180">
        <f t="shared" si="46"/>
        <v>0</v>
      </c>
      <c r="R218">
        <f>IFERROR(VLOOKUP(A218,[1]Energiindhold!$A$2:$C$11,3,FALSE),IFERROR(VLOOKUP(A218,[1]Biogasudbytte!$A$2:$B$18,2,FALSE)*[1]Energiindhold!$C$10,0))*P218</f>
        <v>3.3475152699561428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3.3475152699561428</v>
      </c>
      <c r="T218">
        <f>IFERROR(VLOOKUP(A218,[1]Biogasudbytte!$A$2:$B$18,2,FALSE)*[1]Energiindhold!$C$10,0)*K218*IFERROR(VLOOKUP(A218,Biogasanlæg!$F$3:$G$8,2,FALSE),1)</f>
        <v>0</v>
      </c>
      <c r="U218" s="170">
        <f t="shared" si="47"/>
        <v>3.3475152699561428</v>
      </c>
      <c r="V218" s="169">
        <f>P218*IFERROR(VLOOKUP(A218,[1]Tørstofindhold!A$2:B$25,2,FALSE),0)</f>
        <v>302999.16892556311</v>
      </c>
      <c r="W218">
        <f>IF(E218=År1,Q218,SUM(P218,Q218))*IFERROR(VLOOKUP(A218,[1]Tørstofindhold!A$2:B$25,2,FALSE),0)</f>
        <v>302999.16892556311</v>
      </c>
      <c r="X218">
        <f>K218*IFERROR(VLOOKUP(A218,[1]Tørstofindhold!A$2:B$25,2,FALSE),0)</f>
        <v>0</v>
      </c>
      <c r="Y218" s="170">
        <f t="shared" si="48"/>
        <v>302999.16892556311</v>
      </c>
      <c r="Z218">
        <f t="shared" si="43"/>
        <v>0</v>
      </c>
      <c r="AA218">
        <f t="shared" si="44"/>
        <v>1</v>
      </c>
    </row>
    <row r="219" spans="1:27" x14ac:dyDescent="0.25">
      <c r="A219" s="171" t="str">
        <f t="shared" si="39"/>
        <v>Kunstgødning</v>
      </c>
      <c r="B219" s="171" t="str">
        <f t="shared" si="4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38"/>
        <v>0</v>
      </c>
      <c r="E219" s="171">
        <f t="shared" si="4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/>
      <c r="K219" s="94"/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378703.95707755227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45"/>
        <v>-378703.95707755227</v>
      </c>
      <c r="P219" s="94">
        <f t="shared" si="42"/>
        <v>0</v>
      </c>
      <c r="Q219" s="180">
        <f t="shared" si="4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47"/>
        <v>0</v>
      </c>
      <c r="V219" s="169">
        <f>P219*IFERROR(VLOOKUP(A219,[1]Tørstofindhold!A$2:B$25,2,FALSE),0)</f>
        <v>0</v>
      </c>
      <c r="W219">
        <f>IF(E219=År1,Q219,SUM(P219,Q219))*IFERROR(VLOOKUP(A219,[1]Tørstofindhold!A$2:B$25,2,FALSE),0)</f>
        <v>0</v>
      </c>
      <c r="X219">
        <f>K219*IFERROR(VLOOKUP(A219,[1]Tørstofindhold!A$2:B$25,2,FALSE),0)</f>
        <v>0</v>
      </c>
      <c r="Y219" s="170">
        <f t="shared" si="48"/>
        <v>0</v>
      </c>
      <c r="Z219">
        <f t="shared" ca="1" si="43"/>
        <v>1</v>
      </c>
      <c r="AA219">
        <f t="shared" ca="1" si="44"/>
        <v>0</v>
      </c>
    </row>
    <row r="220" spans="1:27" x14ac:dyDescent="0.25">
      <c r="A220" s="171" t="str">
        <f t="shared" si="39"/>
        <v>Kvæggylle</v>
      </c>
      <c r="B220" s="171" t="str">
        <f t="shared" si="4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38"/>
        <v>0</v>
      </c>
      <c r="E220" s="171">
        <f t="shared" si="4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369812.22772399604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/>
      <c r="K220" s="94"/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92453.05693099901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45"/>
        <v>277359.170792997</v>
      </c>
      <c r="P220" s="94">
        <f t="shared" si="42"/>
        <v>277359.170792997</v>
      </c>
      <c r="Q220" s="180">
        <f t="shared" si="46"/>
        <v>0</v>
      </c>
      <c r="R220">
        <f>IFERROR(VLOOKUP(A220,[1]Energiindhold!$A$2:$C$11,3,FALSE),IFERROR(VLOOKUP(A220,[1]Biogasudbytte!$A$2:$B$18,2,FALSE)*[1]Energiindhold!$C$10,0))*P220</f>
        <v>0.14039643866370716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0.14039643866370716</v>
      </c>
      <c r="T220">
        <f>IFERROR(VLOOKUP(A220,[1]Biogasudbytte!$A$2:$B$18,2,FALSE)*[1]Energiindhold!$C$10,0)*K220*IFERROR(VLOOKUP(A220,Biogasanlæg!$F$3:$G$8,2,FALSE),1)</f>
        <v>0</v>
      </c>
      <c r="U220" s="170">
        <f t="shared" si="47"/>
        <v>0.14039643866370716</v>
      </c>
      <c r="V220" s="169">
        <f>P220*IFERROR(VLOOKUP(A220,[1]Tørstofindhold!A$2:B$25,2,FALSE),0)</f>
        <v>21079.296980267773</v>
      </c>
      <c r="W220">
        <f>IF(E220=År1,Q220,SUM(P220,Q220))*IFERROR(VLOOKUP(A220,[1]Tørstofindhold!A$2:B$25,2,FALSE),0)</f>
        <v>21079.296980267773</v>
      </c>
      <c r="X220">
        <f>K220*IFERROR(VLOOKUP(A220,[1]Tørstofindhold!A$2:B$25,2,FALSE),0)</f>
        <v>0</v>
      </c>
      <c r="Y220" s="170">
        <f t="shared" si="48"/>
        <v>21079.296980267773</v>
      </c>
      <c r="Z220">
        <f t="shared" si="43"/>
        <v>0</v>
      </c>
      <c r="AA220">
        <f t="shared" si="44"/>
        <v>1</v>
      </c>
    </row>
    <row r="221" spans="1:27" x14ac:dyDescent="0.25">
      <c r="A221" s="171" t="str">
        <f t="shared" si="39"/>
        <v>Mælk til foder</v>
      </c>
      <c r="B221" s="171" t="str">
        <f t="shared" si="4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38"/>
        <v>0</v>
      </c>
      <c r="E221" s="171">
        <f t="shared" si="4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43261.516357794091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77778.444140950844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/>
      <c r="K221" s="94"/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45"/>
        <v>-34516.927783156752</v>
      </c>
      <c r="P221" s="94">
        <f t="shared" si="42"/>
        <v>0</v>
      </c>
      <c r="Q221" s="180">
        <f t="shared" si="4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47"/>
        <v>0</v>
      </c>
      <c r="V221" s="169">
        <f>P221*IFERROR(VLOOKUP(A221,[1]Tørstofindhold!A$2:B$25,2,FALSE),0)</f>
        <v>0</v>
      </c>
      <c r="W221">
        <f>IF(E221=År1,Q221,SUM(P221,Q221))*IFERROR(VLOOKUP(A221,[1]Tørstofindhold!A$2:B$25,2,FALSE),0)</f>
        <v>0</v>
      </c>
      <c r="X221">
        <f>K221*IFERROR(VLOOKUP(A221,[1]Tørstofindhold!A$2:B$25,2,FALSE),0)</f>
        <v>0</v>
      </c>
      <c r="Y221" s="170">
        <f t="shared" si="48"/>
        <v>0</v>
      </c>
      <c r="Z221">
        <f t="shared" si="43"/>
        <v>1</v>
      </c>
      <c r="AA221">
        <f t="shared" si="44"/>
        <v>0</v>
      </c>
    </row>
    <row r="222" spans="1:27" x14ac:dyDescent="0.25">
      <c r="A222" s="171" t="str">
        <f t="shared" si="39"/>
        <v>Majs</v>
      </c>
      <c r="B222" s="171" t="str">
        <f t="shared" si="4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38"/>
        <v>1</v>
      </c>
      <c r="E222" s="171">
        <f t="shared" si="4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1159957.6294650177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449536.54854955332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/>
      <c r="K222" s="94"/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45"/>
        <v>710421.08091546432</v>
      </c>
      <c r="P222" s="94">
        <f t="shared" si="42"/>
        <v>710421.08091546432</v>
      </c>
      <c r="Q222" s="180">
        <f t="shared" si="46"/>
        <v>0</v>
      </c>
      <c r="R222">
        <f>IFERROR(VLOOKUP(A222,[1]Energiindhold!$A$2:$C$11,3,FALSE),IFERROR(VLOOKUP(A222,[1]Biogasudbytte!$A$2:$B$18,2,FALSE)*[1]Energiindhold!$C$10,0))*P222</f>
        <v>2.5504116804865173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2.5504116804865173</v>
      </c>
      <c r="T222">
        <f>IFERROR(VLOOKUP(A222,[1]Biogasudbytte!$A$2:$B$18,2,FALSE)*[1]Energiindhold!$C$10,0)*K222*IFERROR(VLOOKUP(A222,Biogasanlæg!$F$3:$G$8,2,FALSE),1)</f>
        <v>0</v>
      </c>
      <c r="U222" s="170">
        <f t="shared" si="47"/>
        <v>2.5504116804865173</v>
      </c>
      <c r="V222" s="169">
        <f>P222*IFERROR(VLOOKUP(A222,[1]Tørstofindhold!A$2:B$25,2,FALSE),0)</f>
        <v>213126.32427463928</v>
      </c>
      <c r="W222">
        <f>IF(E222=År1,Q222,SUM(P222,Q222))*IFERROR(VLOOKUP(A222,[1]Tørstofindhold!A$2:B$25,2,FALSE),0)</f>
        <v>213126.32427463928</v>
      </c>
      <c r="X222">
        <f>K222*IFERROR(VLOOKUP(A222,[1]Tørstofindhold!A$2:B$25,2,FALSE),0)</f>
        <v>0</v>
      </c>
      <c r="Y222" s="170">
        <f t="shared" si="48"/>
        <v>213126.32427463928</v>
      </c>
      <c r="Z222">
        <f t="shared" si="43"/>
        <v>0</v>
      </c>
      <c r="AA222">
        <f t="shared" si="44"/>
        <v>1</v>
      </c>
    </row>
    <row r="223" spans="1:27" x14ac:dyDescent="0.25">
      <c r="A223" s="171" t="str">
        <f t="shared" si="39"/>
        <v>Mejeriprodukter</v>
      </c>
      <c r="B223" s="171" t="str">
        <f t="shared" si="4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38"/>
        <v>1</v>
      </c>
      <c r="E223" s="171">
        <f t="shared" si="4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83472.274304605322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/>
      <c r="K223" s="94"/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45"/>
        <v>83472.274304605322</v>
      </c>
      <c r="P223" s="94">
        <f t="shared" si="42"/>
        <v>0</v>
      </c>
      <c r="Q223" s="180">
        <f t="shared" si="4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47"/>
        <v>0</v>
      </c>
      <c r="V223" s="169">
        <f>P223*IFERROR(VLOOKUP(A223,[1]Tørstofindhold!A$2:B$25,2,FALSE),0)</f>
        <v>0</v>
      </c>
      <c r="W223">
        <f>IF(E223=År1,Q223,SUM(P223,Q223))*IFERROR(VLOOKUP(A223,[1]Tørstofindhold!A$2:B$25,2,FALSE),0)</f>
        <v>0</v>
      </c>
      <c r="X223">
        <f>K223*IFERROR(VLOOKUP(A223,[1]Tørstofindhold!A$2:B$25,2,FALSE),0)</f>
        <v>0</v>
      </c>
      <c r="Y223" s="170">
        <f t="shared" si="48"/>
        <v>0</v>
      </c>
      <c r="Z223">
        <f t="shared" si="43"/>
        <v>0</v>
      </c>
      <c r="AA223">
        <f t="shared" si="44"/>
        <v>1</v>
      </c>
    </row>
    <row r="224" spans="1:27" x14ac:dyDescent="0.25">
      <c r="A224" s="171" t="str">
        <f t="shared" si="39"/>
        <v>Muslinger</v>
      </c>
      <c r="B224" s="171" t="str">
        <f t="shared" si="4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38"/>
        <v>1</v>
      </c>
      <c r="E224" s="171">
        <f t="shared" si="4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/>
      <c r="K224" s="94"/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45"/>
        <v>1.1976865502381491</v>
      </c>
      <c r="P224" s="94">
        <f t="shared" si="42"/>
        <v>1.1976865502381491</v>
      </c>
      <c r="Q224" s="180">
        <f t="shared" si="4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47"/>
        <v>1.0749236788387388E-6</v>
      </c>
      <c r="V224" s="169">
        <f>P224*IFERROR(VLOOKUP(A224,[1]Tørstofindhold!A$2:B$25,2,FALSE),0)</f>
        <v>0.17965298253572234</v>
      </c>
      <c r="W224">
        <f>IF(E224=År1,Q224,SUM(P224,Q224))*IFERROR(VLOOKUP(A224,[1]Tørstofindhold!A$2:B$25,2,FALSE),0)</f>
        <v>0.17965298253572234</v>
      </c>
      <c r="X224">
        <f>K224*IFERROR(VLOOKUP(A224,[1]Tørstofindhold!A$2:B$25,2,FALSE),0)</f>
        <v>0</v>
      </c>
      <c r="Y224" s="170">
        <f t="shared" si="48"/>
        <v>0.17965298253572234</v>
      </c>
      <c r="Z224">
        <f t="shared" si="43"/>
        <v>0</v>
      </c>
      <c r="AA224">
        <f t="shared" si="44"/>
        <v>1</v>
      </c>
    </row>
    <row r="225" spans="1:27" x14ac:dyDescent="0.25">
      <c r="A225" s="171" t="str">
        <f t="shared" si="39"/>
        <v>Oksekød</v>
      </c>
      <c r="B225" s="171" t="str">
        <f t="shared" si="4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38"/>
        <v>1</v>
      </c>
      <c r="E225" s="171">
        <f t="shared" si="4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4776.5896909844023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/>
      <c r="K225" s="94"/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45"/>
        <v>4776.5896909844023</v>
      </c>
      <c r="P225" s="94">
        <f t="shared" si="42"/>
        <v>0</v>
      </c>
      <c r="Q225" s="180">
        <f t="shared" si="4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47"/>
        <v>0</v>
      </c>
      <c r="V225" s="169">
        <f>P225*IFERROR(VLOOKUP(A225,[1]Tørstofindhold!A$2:B$25,2,FALSE),0)</f>
        <v>0</v>
      </c>
      <c r="W225">
        <f>IF(E225=År1,Q225,SUM(P225,Q225))*IFERROR(VLOOKUP(A225,[1]Tørstofindhold!A$2:B$25,2,FALSE),0)</f>
        <v>0</v>
      </c>
      <c r="X225">
        <f>K225*IFERROR(VLOOKUP(A225,[1]Tørstofindhold!A$2:B$25,2,FALSE),0)</f>
        <v>0</v>
      </c>
      <c r="Y225" s="170">
        <f t="shared" si="48"/>
        <v>0</v>
      </c>
      <c r="Z225">
        <f t="shared" si="43"/>
        <v>0</v>
      </c>
      <c r="AA225">
        <f t="shared" si="44"/>
        <v>1</v>
      </c>
    </row>
    <row r="226" spans="1:27" x14ac:dyDescent="0.25">
      <c r="A226" s="171" t="str">
        <f t="shared" si="39"/>
        <v>Øvrige</v>
      </c>
      <c r="B226" s="171" t="str">
        <f t="shared" si="4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38"/>
        <v>1</v>
      </c>
      <c r="E226" s="171">
        <f t="shared" si="4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283776.5909190129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/>
      <c r="K226" s="94"/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45"/>
        <v>283776.5909190129</v>
      </c>
      <c r="P226" s="94">
        <f t="shared" si="42"/>
        <v>0</v>
      </c>
      <c r="Q226" s="180">
        <f t="shared" si="4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47"/>
        <v>0</v>
      </c>
      <c r="V226" s="169">
        <f>P226*IFERROR(VLOOKUP(A226,[1]Tørstofindhold!A$2:B$25,2,FALSE),0)</f>
        <v>0</v>
      </c>
      <c r="W226">
        <f>IF(E226=År1,Q226,SUM(P226,Q226))*IFERROR(VLOOKUP(A226,[1]Tørstofindhold!A$2:B$25,2,FALSE),0)</f>
        <v>0</v>
      </c>
      <c r="X226">
        <f>K226*IFERROR(VLOOKUP(A226,[1]Tørstofindhold!A$2:B$25,2,FALSE),0)</f>
        <v>0</v>
      </c>
      <c r="Y226" s="170">
        <f t="shared" si="48"/>
        <v>0</v>
      </c>
      <c r="Z226">
        <f t="shared" si="43"/>
        <v>0</v>
      </c>
      <c r="AA226">
        <f t="shared" si="44"/>
        <v>1</v>
      </c>
    </row>
    <row r="227" spans="1:27" x14ac:dyDescent="0.25">
      <c r="A227" s="171" t="str">
        <f t="shared" si="39"/>
        <v>Pil &amp; poppel</v>
      </c>
      <c r="B227" s="171" t="str">
        <f t="shared" si="4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38"/>
        <v>0</v>
      </c>
      <c r="E227" s="171">
        <f t="shared" si="4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248146.38123349831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/>
      <c r="K227" s="94"/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248146.38123349831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45"/>
        <v>0</v>
      </c>
      <c r="P227" s="94">
        <f t="shared" si="42"/>
        <v>0</v>
      </c>
      <c r="Q227" s="180">
        <f t="shared" si="46"/>
        <v>248146.38123349831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4.5658934146963679</v>
      </c>
      <c r="T227">
        <f>IFERROR(VLOOKUP(A227,[1]Biogasudbytte!$A$2:$B$18,2,FALSE)*[1]Energiindhold!$C$10,0)*K227*IFERROR(VLOOKUP(A227,Biogasanlæg!$F$3:$G$8,2,FALSE),1)</f>
        <v>0</v>
      </c>
      <c r="U227" s="170">
        <f t="shared" si="47"/>
        <v>4.5658934146963679</v>
      </c>
      <c r="V227" s="169">
        <f>P227*IFERROR(VLOOKUP(A227,[1]Tørstofindhold!A$2:B$25,2,FALSE),0)</f>
        <v>0</v>
      </c>
      <c r="W227">
        <f>IF(E227=År1,Q227,SUM(P227,Q227))*IFERROR(VLOOKUP(A227,[1]Tørstofindhold!A$2:B$25,2,FALSE),0)</f>
        <v>102980.74821190181</v>
      </c>
      <c r="X227">
        <f>K227*IFERROR(VLOOKUP(A227,[1]Tørstofindhold!A$2:B$25,2,FALSE),0)</f>
        <v>0</v>
      </c>
      <c r="Y227" s="170">
        <f t="shared" si="48"/>
        <v>102980.74821190181</v>
      </c>
      <c r="Z227">
        <f t="shared" si="43"/>
        <v>0</v>
      </c>
      <c r="AA227">
        <f t="shared" si="44"/>
        <v>0</v>
      </c>
    </row>
    <row r="228" spans="1:27" x14ac:dyDescent="0.25">
      <c r="A228" s="171" t="str">
        <f>A180</f>
        <v>Pyrolysegas</v>
      </c>
      <c r="B228" s="171" t="str">
        <f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38"/>
        <v>0</v>
      </c>
      <c r="E228" s="171">
        <f t="shared" si="4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/>
      <c r="K228" s="94"/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>G228-SUM(H228:N228)</f>
        <v>0</v>
      </c>
      <c r="P228" s="94">
        <f t="shared" si="42"/>
        <v>0</v>
      </c>
      <c r="Q228" s="180">
        <f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>S228-T228</f>
        <v>0</v>
      </c>
      <c r="V228" s="169">
        <f>P228*IFERROR(VLOOKUP(A228,[1]Tørstofindhold!A$2:B$25,2,FALSE),0)</f>
        <v>0</v>
      </c>
      <c r="W228">
        <f>IF(E228=År1,Q228,SUM(P228,Q228))*IFERROR(VLOOKUP(A228,[1]Tørstofindhold!A$2:B$25,2,FALSE),0)</f>
        <v>0</v>
      </c>
      <c r="X228">
        <f>K228*IFERROR(VLOOKUP(A228,[1]Tørstofindhold!A$2:B$25,2,FALSE),0)</f>
        <v>0</v>
      </c>
      <c r="Y228" s="170">
        <f>W228-X228</f>
        <v>0</v>
      </c>
      <c r="Z228">
        <f t="shared" si="43"/>
        <v>0</v>
      </c>
      <c r="AA228">
        <f t="shared" si="44"/>
        <v>0</v>
      </c>
    </row>
    <row r="229" spans="1:27" x14ac:dyDescent="0.25">
      <c r="A229" s="171" t="str">
        <f>A181</f>
        <v>Pyrolyseolie</v>
      </c>
      <c r="B229" s="171" t="str">
        <f>IF(B181&lt;&gt;"",B181,"")</f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38"/>
        <v>0</v>
      </c>
      <c r="E229" s="171">
        <f t="shared" si="4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/>
      <c r="K229" s="94"/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>G229-SUM(H229:N229)</f>
        <v>0</v>
      </c>
      <c r="P229" s="94">
        <f t="shared" si="42"/>
        <v>0</v>
      </c>
      <c r="Q229" s="180">
        <f>SUM(K229,M229)</f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>S229-T229</f>
        <v>0</v>
      </c>
      <c r="V229" s="169">
        <f>P229*IFERROR(VLOOKUP(A229,[1]Tørstofindhold!A$2:B$25,2,FALSE),0)</f>
        <v>0</v>
      </c>
      <c r="W229">
        <f>IF(E229=År1,Q229,SUM(P229,Q229))*IFERROR(VLOOKUP(A229,[1]Tørstofindhold!A$2:B$25,2,FALSE),0)</f>
        <v>0</v>
      </c>
      <c r="X229">
        <f>K229*IFERROR(VLOOKUP(A229,[1]Tørstofindhold!A$2:B$25,2,FALSE),0)</f>
        <v>0</v>
      </c>
      <c r="Y229" s="170">
        <f>W229-X229</f>
        <v>0</v>
      </c>
      <c r="Z229">
        <f t="shared" si="43"/>
        <v>0</v>
      </c>
      <c r="AA229">
        <f t="shared" si="44"/>
        <v>0</v>
      </c>
    </row>
    <row r="230" spans="1:27" x14ac:dyDescent="0.25">
      <c r="A230" s="171" t="str">
        <f t="shared" ref="A230:A275" si="49">A182</f>
        <v>Råmælk</v>
      </c>
      <c r="B230" s="171" t="str">
        <f t="shared" ref="B230:B275" si="5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38"/>
        <v>0</v>
      </c>
      <c r="E230" s="171">
        <f t="shared" si="4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129983.37503835837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/>
      <c r="K230" s="94"/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45"/>
        <v>129983.37503835837</v>
      </c>
      <c r="P230" s="94">
        <f t="shared" si="42"/>
        <v>0</v>
      </c>
      <c r="Q230" s="180">
        <f t="shared" si="4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47"/>
        <v>0</v>
      </c>
      <c r="V230" s="169">
        <f>P230*IFERROR(VLOOKUP(A230,[1]Tørstofindhold!A$2:B$25,2,FALSE),0)</f>
        <v>0</v>
      </c>
      <c r="W230">
        <f>IF(E230=År1,Q230,SUM(P230,Q230))*IFERROR(VLOOKUP(A230,[1]Tørstofindhold!A$2:B$25,2,FALSE),0)</f>
        <v>0</v>
      </c>
      <c r="X230">
        <f>K230*IFERROR(VLOOKUP(A230,[1]Tørstofindhold!A$2:B$25,2,FALSE),0)</f>
        <v>0</v>
      </c>
      <c r="Y230" s="170">
        <f t="shared" si="48"/>
        <v>0</v>
      </c>
      <c r="Z230">
        <f t="shared" si="43"/>
        <v>0</v>
      </c>
      <c r="AA230">
        <f t="shared" si="44"/>
        <v>1</v>
      </c>
    </row>
    <row r="231" spans="1:27" x14ac:dyDescent="0.25">
      <c r="A231" s="171" t="str">
        <f t="shared" si="49"/>
        <v>Raps</v>
      </c>
      <c r="B231" s="171" t="str">
        <f t="shared" si="5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38"/>
        <v>0</v>
      </c>
      <c r="E231" s="171">
        <f t="shared" si="4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204963.98280254862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/>
      <c r="K231" s="94"/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204963.98280254862</v>
      </c>
      <c r="O231" s="179">
        <f t="shared" si="45"/>
        <v>0</v>
      </c>
      <c r="P231" s="94">
        <f t="shared" si="42"/>
        <v>0</v>
      </c>
      <c r="Q231" s="180">
        <f t="shared" si="4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47"/>
        <v>0</v>
      </c>
      <c r="V231" s="169">
        <f>P231*IFERROR(VLOOKUP(A231,[1]Tørstofindhold!A$2:B$25,2,FALSE),0)</f>
        <v>0</v>
      </c>
      <c r="W231">
        <f>IF(E231=År1,Q231,SUM(P231,Q231))*IFERROR(VLOOKUP(A231,[1]Tørstofindhold!A$2:B$25,2,FALSE),0)</f>
        <v>0</v>
      </c>
      <c r="X231">
        <f>K231*IFERROR(VLOOKUP(A231,[1]Tørstofindhold!A$2:B$25,2,FALSE),0)</f>
        <v>0</v>
      </c>
      <c r="Y231" s="170">
        <f t="shared" si="48"/>
        <v>0</v>
      </c>
      <c r="Z231">
        <f t="shared" si="43"/>
        <v>0</v>
      </c>
      <c r="AA231">
        <f t="shared" si="44"/>
        <v>0</v>
      </c>
    </row>
    <row r="232" spans="1:27" x14ac:dyDescent="0.25">
      <c r="A232" s="171" t="str">
        <f t="shared" si="49"/>
        <v>Rapskage</v>
      </c>
      <c r="B232" s="171" t="str">
        <f t="shared" si="5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38"/>
        <v>0</v>
      </c>
      <c r="E232" s="171">
        <f t="shared" si="4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102481.99140127431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17028.97436880333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/>
      <c r="K232" s="94"/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45"/>
        <v>85453.017032470976</v>
      </c>
      <c r="P232" s="94">
        <f t="shared" si="42"/>
        <v>0</v>
      </c>
      <c r="Q232" s="180">
        <f t="shared" si="4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47"/>
        <v>0</v>
      </c>
      <c r="V232" s="169">
        <f>P232*IFERROR(VLOOKUP(A232,[1]Tørstofindhold!A$2:B$25,2,FALSE),0)</f>
        <v>0</v>
      </c>
      <c r="W232">
        <f>IF(E232=År1,Q232,SUM(P232,Q232))*IFERROR(VLOOKUP(A232,[1]Tørstofindhold!A$2:B$25,2,FALSE),0)</f>
        <v>0</v>
      </c>
      <c r="X232">
        <f>K232*IFERROR(VLOOKUP(A232,[1]Tørstofindhold!A$2:B$25,2,FALSE),0)</f>
        <v>0</v>
      </c>
      <c r="Y232" s="170">
        <f t="shared" si="48"/>
        <v>0</v>
      </c>
      <c r="Z232">
        <f t="shared" si="43"/>
        <v>0</v>
      </c>
      <c r="AA232">
        <f t="shared" si="44"/>
        <v>1</v>
      </c>
    </row>
    <row r="233" spans="1:27" x14ac:dyDescent="0.25">
      <c r="A233" s="171" t="str">
        <f t="shared" si="49"/>
        <v>Rapsolie</v>
      </c>
      <c r="B233" s="171" t="str">
        <f t="shared" si="5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38"/>
        <v>1</v>
      </c>
      <c r="E233" s="171">
        <f t="shared" si="4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65588.474496815557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/>
      <c r="K233" s="94"/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65588.474496815557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45"/>
        <v>0</v>
      </c>
      <c r="P233" s="94">
        <f t="shared" si="42"/>
        <v>0</v>
      </c>
      <c r="Q233" s="180">
        <f t="shared" si="46"/>
        <v>65588.474496815557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2.2955966073885441</v>
      </c>
      <c r="T233">
        <f>IFERROR(VLOOKUP(A233,[1]Biogasudbytte!$A$2:$B$18,2,FALSE)*[1]Energiindhold!$C$10,0)*K233*IFERROR(VLOOKUP(A233,Biogasanlæg!$F$3:$G$8,2,FALSE),1)</f>
        <v>0</v>
      </c>
      <c r="U233" s="170">
        <f t="shared" si="47"/>
        <v>2.2955966073885441</v>
      </c>
      <c r="V233" s="169">
        <f>P233*IFERROR(VLOOKUP(A233,[1]Tørstofindhold!A$2:B$25,2,FALSE),0)</f>
        <v>0</v>
      </c>
      <c r="W233">
        <f>IF(E233=År1,Q233,SUM(P233,Q233))*IFERROR(VLOOKUP(A233,[1]Tørstofindhold!A$2:B$25,2,FALSE),0)</f>
        <v>0</v>
      </c>
      <c r="X233">
        <f>K233*IFERROR(VLOOKUP(A233,[1]Tørstofindhold!A$2:B$25,2,FALSE),0)</f>
        <v>0</v>
      </c>
      <c r="Y233" s="170">
        <f t="shared" si="48"/>
        <v>0</v>
      </c>
      <c r="Z233">
        <f t="shared" si="43"/>
        <v>0</v>
      </c>
      <c r="AA233">
        <f t="shared" si="44"/>
        <v>0</v>
      </c>
    </row>
    <row r="234" spans="1:27" x14ac:dyDescent="0.25">
      <c r="A234" s="171" t="str">
        <f t="shared" si="49"/>
        <v>Roer</v>
      </c>
      <c r="B234" s="171" t="str">
        <f t="shared" si="5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38"/>
        <v>1</v>
      </c>
      <c r="E234" s="171">
        <f t="shared" si="4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818285.05408099853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656055.52752620552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/>
      <c r="K234" s="94"/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45"/>
        <v>162229.526554793</v>
      </c>
      <c r="P234" s="94">
        <f t="shared" si="42"/>
        <v>0</v>
      </c>
      <c r="Q234" s="180">
        <f t="shared" si="46"/>
        <v>0</v>
      </c>
      <c r="R234">
        <f>IFERROR(VLOOKUP(A234,[1]Energiindhold!$A$2:$C$11,3,FALSE),IFERROR(VLOOKUP(A234,[1]Biogasudbytte!$A$2:$B$18,2,FALSE)*[1]Energiindhold!$C$10,0))*P234</f>
        <v>0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0</v>
      </c>
      <c r="T234">
        <f>IFERROR(VLOOKUP(A234,[1]Biogasudbytte!$A$2:$B$18,2,FALSE)*[1]Energiindhold!$C$10,0)*K234*IFERROR(VLOOKUP(A234,Biogasanlæg!$F$3:$G$8,2,FALSE),1)</f>
        <v>0</v>
      </c>
      <c r="U234" s="170">
        <f t="shared" si="47"/>
        <v>0</v>
      </c>
      <c r="V234" s="169">
        <f>P234*IFERROR(VLOOKUP(A234,[1]Tørstofindhold!A$2:B$25,2,FALSE),0)</f>
        <v>0</v>
      </c>
      <c r="W234">
        <f>IF(E234=År1,Q234,SUM(P234,Q234))*IFERROR(VLOOKUP(A234,[1]Tørstofindhold!A$2:B$25,2,FALSE),0)</f>
        <v>0</v>
      </c>
      <c r="X234">
        <f>K234*IFERROR(VLOOKUP(A234,[1]Tørstofindhold!A$2:B$25,2,FALSE),0)</f>
        <v>0</v>
      </c>
      <c r="Y234" s="170">
        <f t="shared" si="48"/>
        <v>0</v>
      </c>
      <c r="Z234">
        <f t="shared" si="43"/>
        <v>1</v>
      </c>
      <c r="AA234">
        <f t="shared" si="44"/>
        <v>0</v>
      </c>
    </row>
    <row r="235" spans="1:27" x14ac:dyDescent="0.25">
      <c r="A235" s="171" t="str">
        <f t="shared" si="49"/>
        <v>Slagteriaffald til andet</v>
      </c>
      <c r="B235" s="171" t="str">
        <f t="shared" si="5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38"/>
        <v>0</v>
      </c>
      <c r="E235" s="171">
        <f t="shared" si="4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12481.530032817438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/>
      <c r="K235" s="94"/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45"/>
        <v>12481.530032817438</v>
      </c>
      <c r="P235" s="94">
        <f t="shared" si="42"/>
        <v>0</v>
      </c>
      <c r="Q235" s="180">
        <f t="shared" si="4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47"/>
        <v>0</v>
      </c>
      <c r="V235" s="169">
        <f>P235*IFERROR(VLOOKUP(A235,[1]Tørstofindhold!A$2:B$25,2,FALSE),0)</f>
        <v>0</v>
      </c>
      <c r="W235">
        <f>IF(E235=År1,Q235,SUM(P235,Q235))*IFERROR(VLOOKUP(A235,[1]Tørstofindhold!A$2:B$25,2,FALSE),0)</f>
        <v>0</v>
      </c>
      <c r="X235">
        <f>K235*IFERROR(VLOOKUP(A235,[1]Tørstofindhold!A$2:B$25,2,FALSE),0)</f>
        <v>0</v>
      </c>
      <c r="Y235" s="170">
        <f t="shared" si="48"/>
        <v>0</v>
      </c>
      <c r="Z235">
        <f t="shared" si="43"/>
        <v>0</v>
      </c>
      <c r="AA235">
        <f t="shared" si="44"/>
        <v>1</v>
      </c>
    </row>
    <row r="236" spans="1:27" x14ac:dyDescent="0.25">
      <c r="A236" s="171" t="str">
        <f t="shared" si="49"/>
        <v>Slagteriaffald til foder</v>
      </c>
      <c r="B236" s="171" t="str">
        <f t="shared" si="5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38"/>
        <v>0</v>
      </c>
      <c r="E236" s="171">
        <f t="shared" si="4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9770.0912219432048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3515.9993902993874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/>
      <c r="K236" s="94"/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45"/>
        <v>6254.0918316438174</v>
      </c>
      <c r="P236" s="94">
        <f t="shared" si="42"/>
        <v>0</v>
      </c>
      <c r="Q236" s="180">
        <f t="shared" si="4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47"/>
        <v>0</v>
      </c>
      <c r="V236" s="169">
        <f>P236*IFERROR(VLOOKUP(A236,[1]Tørstofindhold!A$2:B$25,2,FALSE),0)</f>
        <v>0</v>
      </c>
      <c r="W236">
        <f>IF(E236=År1,Q236,SUM(P236,Q236))*IFERROR(VLOOKUP(A236,[1]Tørstofindhold!A$2:B$25,2,FALSE),0)</f>
        <v>0</v>
      </c>
      <c r="X236">
        <f>K236*IFERROR(VLOOKUP(A236,[1]Tørstofindhold!A$2:B$25,2,FALSE),0)</f>
        <v>0</v>
      </c>
      <c r="Y236" s="170">
        <f t="shared" si="48"/>
        <v>0</v>
      </c>
      <c r="Z236">
        <f t="shared" si="43"/>
        <v>0</v>
      </c>
      <c r="AA236">
        <f t="shared" si="44"/>
        <v>1</v>
      </c>
    </row>
    <row r="237" spans="1:27" x14ac:dyDescent="0.25">
      <c r="A237" s="171" t="str">
        <f t="shared" si="49"/>
        <v>Spildevandsslam</v>
      </c>
      <c r="B237" s="171" t="str">
        <f t="shared" si="5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38"/>
        <v>0</v>
      </c>
      <c r="E237" s="171">
        <f t="shared" si="4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3338649.6476717573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/>
      <c r="K237" s="94"/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45"/>
        <v>3338649.6476717573</v>
      </c>
      <c r="P237" s="94">
        <f t="shared" si="42"/>
        <v>3338649.6476717573</v>
      </c>
      <c r="Q237" s="180">
        <f t="shared" si="46"/>
        <v>0</v>
      </c>
      <c r="R237">
        <f>IFERROR(VLOOKUP(A237,[1]Energiindhold!$A$2:$C$11,3,FALSE),IFERROR(VLOOKUP(A237,[1]Biogasudbytte!$A$2:$B$18,2,FALSE)*[1]Energiindhold!$C$10,0))*P237</f>
        <v>1.6660195606846839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1.6660195606846839</v>
      </c>
      <c r="T237">
        <f>IFERROR(VLOOKUP(A237,[1]Biogasudbytte!$A$2:$B$18,2,FALSE)*[1]Energiindhold!$C$10,0)*K237*IFERROR(VLOOKUP(A237,Biogasanlæg!$F$3:$G$8,2,FALSE),1)</f>
        <v>0</v>
      </c>
      <c r="U237" s="170">
        <f t="shared" si="47"/>
        <v>1.6660195606846839</v>
      </c>
      <c r="V237" s="169">
        <f>P237*IFERROR(VLOOKUP(A237,[1]Tørstofindhold!A$2:B$25,2,FALSE),0)</f>
        <v>200318.97886030542</v>
      </c>
      <c r="W237">
        <f>IF(E237=År1,Q237,SUM(P237,Q237))*IFERROR(VLOOKUP(A237,[1]Tørstofindhold!A$2:B$25,2,FALSE),0)</f>
        <v>200318.97886030542</v>
      </c>
      <c r="X237">
        <f>K237*IFERROR(VLOOKUP(A237,[1]Tørstofindhold!A$2:B$25,2,FALSE),0)</f>
        <v>0</v>
      </c>
      <c r="Y237" s="170">
        <f t="shared" si="48"/>
        <v>200318.97886030542</v>
      </c>
      <c r="Z237">
        <f t="shared" si="43"/>
        <v>0</v>
      </c>
      <c r="AA237">
        <f t="shared" si="44"/>
        <v>1</v>
      </c>
    </row>
    <row r="238" spans="1:27" x14ac:dyDescent="0.25">
      <c r="A238" s="171" t="str">
        <f t="shared" si="49"/>
        <v>Svinegylle</v>
      </c>
      <c r="B238" s="171" t="str">
        <f t="shared" si="5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38"/>
        <v>0</v>
      </c>
      <c r="E238" s="171">
        <f t="shared" si="4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981294.25906442513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/>
      <c r="K238" s="94"/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245323.56476610628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45"/>
        <v>735970.69429831882</v>
      </c>
      <c r="P238" s="94">
        <f t="shared" si="42"/>
        <v>735970.69429831882</v>
      </c>
      <c r="Q238" s="180">
        <f t="shared" si="46"/>
        <v>0</v>
      </c>
      <c r="R238">
        <f>IFERROR(VLOOKUP(A238,[1]Energiindhold!$A$2:$C$11,3,FALSE),IFERROR(VLOOKUP(A238,[1]Biogasudbytte!$A$2:$B$18,2,FALSE)*[1]Energiindhold!$C$10,0))*P238</f>
        <v>0.31705617510371581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0.31705617510371581</v>
      </c>
      <c r="T238">
        <f>IFERROR(VLOOKUP(A238,[1]Biogasudbytte!$A$2:$B$18,2,FALSE)*[1]Energiindhold!$C$10,0)*K238*IFERROR(VLOOKUP(A238,Biogasanlæg!$F$3:$G$8,2,FALSE),1)</f>
        <v>0</v>
      </c>
      <c r="U238" s="170">
        <f t="shared" si="47"/>
        <v>0.31705617510371581</v>
      </c>
      <c r="V238" s="169">
        <f>P238*IFERROR(VLOOKUP(A238,[1]Tørstofindhold!A$2:B$25,2,FALSE),0)</f>
        <v>36798.534714915942</v>
      </c>
      <c r="W238">
        <f>IF(E238=År1,Q238,SUM(P238,Q238))*IFERROR(VLOOKUP(A238,[1]Tørstofindhold!A$2:B$25,2,FALSE),0)</f>
        <v>36798.534714915942</v>
      </c>
      <c r="X238">
        <f>K238*IFERROR(VLOOKUP(A238,[1]Tørstofindhold!A$2:B$25,2,FALSE),0)</f>
        <v>0</v>
      </c>
      <c r="Y238" s="170">
        <f t="shared" si="48"/>
        <v>36798.534714915942</v>
      </c>
      <c r="Z238">
        <f t="shared" si="43"/>
        <v>0</v>
      </c>
      <c r="AA238">
        <f t="shared" si="44"/>
        <v>1</v>
      </c>
    </row>
    <row r="239" spans="1:27" x14ac:dyDescent="0.25">
      <c r="A239" s="171" t="str">
        <f t="shared" si="49"/>
        <v>Svinekød</v>
      </c>
      <c r="B239" s="171" t="str">
        <f t="shared" si="5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38"/>
        <v>1</v>
      </c>
      <c r="E239" s="171">
        <f t="shared" si="4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106121.19758440506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/>
      <c r="K239" s="94"/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45"/>
        <v>106121.19758440506</v>
      </c>
      <c r="P239" s="94">
        <f t="shared" si="42"/>
        <v>0</v>
      </c>
      <c r="Q239" s="180">
        <f t="shared" si="4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47"/>
        <v>0</v>
      </c>
      <c r="V239" s="169">
        <f>P239*IFERROR(VLOOKUP(A239,[1]Tørstofindhold!A$2:B$25,2,FALSE),0)</f>
        <v>0</v>
      </c>
      <c r="W239">
        <f>IF(E239=År1,Q239,SUM(P239,Q239))*IFERROR(VLOOKUP(A239,[1]Tørstofindhold!A$2:B$25,2,FALSE),0)</f>
        <v>0</v>
      </c>
      <c r="X239">
        <f>K239*IFERROR(VLOOKUP(A239,[1]Tørstofindhold!A$2:B$25,2,FALSE),0)</f>
        <v>0</v>
      </c>
      <c r="Y239" s="170">
        <f t="shared" si="48"/>
        <v>0</v>
      </c>
      <c r="Z239">
        <f t="shared" si="43"/>
        <v>0</v>
      </c>
      <c r="AA239">
        <f t="shared" si="44"/>
        <v>1</v>
      </c>
    </row>
    <row r="240" spans="1:27" x14ac:dyDescent="0.25">
      <c r="A240" s="171" t="str">
        <f t="shared" si="49"/>
        <v>Tang</v>
      </c>
      <c r="B240" s="171" t="str">
        <f t="shared" si="5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38"/>
        <v>1</v>
      </c>
      <c r="E240" s="171">
        <f t="shared" si="4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/>
      <c r="K240" s="94"/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45"/>
        <v>0</v>
      </c>
      <c r="P240" s="94">
        <f t="shared" si="42"/>
        <v>0</v>
      </c>
      <c r="Q240" s="180">
        <f t="shared" si="4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47"/>
        <v>0</v>
      </c>
      <c r="V240" s="169">
        <f>P240*IFERROR(VLOOKUP(A240,[1]Tørstofindhold!A$2:B$25,2,FALSE),0)</f>
        <v>0</v>
      </c>
      <c r="W240">
        <f>IF(E240=År1,Q240,SUM(P240,Q240))*IFERROR(VLOOKUP(A240,[1]Tørstofindhold!A$2:B$25,2,FALSE),0)</f>
        <v>0</v>
      </c>
      <c r="X240">
        <f>K240*IFERROR(VLOOKUP(A240,[1]Tørstofindhold!A$2:B$25,2,FALSE),0)</f>
        <v>0</v>
      </c>
      <c r="Y240" s="170">
        <f t="shared" si="48"/>
        <v>0</v>
      </c>
      <c r="Z240">
        <f t="shared" si="43"/>
        <v>0</v>
      </c>
      <c r="AA240">
        <f t="shared" si="44"/>
        <v>1</v>
      </c>
    </row>
    <row r="241" spans="1:27" x14ac:dyDescent="0.25">
      <c r="A241" s="171" t="str">
        <f t="shared" si="49"/>
        <v>Total til biogas</v>
      </c>
      <c r="B241" s="171" t="str">
        <f t="shared" si="5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38"/>
        <v>0</v>
      </c>
      <c r="E241" s="171">
        <f t="shared" si="4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/>
      <c r="K241" s="94"/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45"/>
        <v>0</v>
      </c>
      <c r="P241" s="94">
        <f t="shared" si="42"/>
        <v>0</v>
      </c>
      <c r="Q241" s="180">
        <f t="shared" si="4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47"/>
        <v>0</v>
      </c>
      <c r="V241" s="169">
        <f>P241*IFERROR(VLOOKUP(A241,[1]Tørstofindhold!A$2:B$25,2,FALSE),0)</f>
        <v>0</v>
      </c>
      <c r="W241">
        <f>IF(E241=År1,Q241,SUM(P241,Q241))*IFERROR(VLOOKUP(A241,[1]Tørstofindhold!A$2:B$25,2,FALSE),0)</f>
        <v>0</v>
      </c>
      <c r="X241">
        <f>K241*IFERROR(VLOOKUP(A241,[1]Tørstofindhold!A$2:B$25,2,FALSE),0)</f>
        <v>0</v>
      </c>
      <c r="Y241" s="170">
        <f t="shared" si="48"/>
        <v>0</v>
      </c>
      <c r="Z241">
        <f t="shared" si="43"/>
        <v>0</v>
      </c>
      <c r="AA241">
        <f t="shared" si="44"/>
        <v>0</v>
      </c>
    </row>
    <row r="242" spans="1:27" x14ac:dyDescent="0.25">
      <c r="A242" s="171" t="str">
        <f t="shared" si="49"/>
        <v>Træ til energi</v>
      </c>
      <c r="B242" s="171" t="str">
        <f t="shared" si="5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38"/>
        <v>0</v>
      </c>
      <c r="E242" s="171">
        <f t="shared" si="4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647094.30995983595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/>
      <c r="K242" s="94"/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647094.30995983595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45"/>
        <v>0</v>
      </c>
      <c r="P242" s="94">
        <f t="shared" ca="1" si="42"/>
        <v>0</v>
      </c>
      <c r="Q242" s="180">
        <f t="shared" ca="1" si="46"/>
        <v>647094.30995983595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9.3787059667025439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47"/>
        <v>9.3787059667025439</v>
      </c>
      <c r="V242" s="169">
        <f ca="1">P242*IFERROR(VLOOKUP(A242,[1]Tørstofindhold!A$2:B$25,2,FALSE),0)</f>
        <v>0</v>
      </c>
      <c r="W242">
        <f ca="1">IF(E242=År1,Q242,SUM(P242,Q242))*IFERROR(VLOOKUP(A242,[1]Tørstofindhold!A$2:B$25,2,FALSE),0)</f>
        <v>320042.06080096884</v>
      </c>
      <c r="X242">
        <f>K242*IFERROR(VLOOKUP(A242,[1]Tørstofindhold!A$2:B$25,2,FALSE),0)</f>
        <v>0</v>
      </c>
      <c r="Y242" s="170">
        <f t="shared" ca="1" si="48"/>
        <v>320042.06080096884</v>
      </c>
      <c r="Z242">
        <f t="shared" ca="1" si="43"/>
        <v>0</v>
      </c>
      <c r="AA242">
        <f t="shared" ca="1" si="44"/>
        <v>0</v>
      </c>
    </row>
    <row r="243" spans="1:27" x14ac:dyDescent="0.25">
      <c r="A243" s="171" t="str">
        <f t="shared" si="49"/>
        <v>Træmaterialer</v>
      </c>
      <c r="B243" s="171" t="str">
        <f t="shared" si="5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38"/>
        <v>0</v>
      </c>
      <c r="E243" s="171">
        <f t="shared" si="4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178637.08828513199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/>
      <c r="K243" s="94"/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178637.08828513199</v>
      </c>
      <c r="O243" s="179">
        <f t="shared" ca="1" si="45"/>
        <v>0</v>
      </c>
      <c r="P243" s="94">
        <f t="shared" si="42"/>
        <v>0</v>
      </c>
      <c r="Q243" s="180">
        <f t="shared" si="4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47"/>
        <v>0</v>
      </c>
      <c r="V243" s="169">
        <f>P243*IFERROR(VLOOKUP(A243,[1]Tørstofindhold!A$2:B$25,2,FALSE),0)</f>
        <v>0</v>
      </c>
      <c r="W243">
        <f>IF(E243=År1,Q243,SUM(P243,Q243))*IFERROR(VLOOKUP(A243,[1]Tørstofindhold!A$2:B$25,2,FALSE),0)</f>
        <v>0</v>
      </c>
      <c r="X243">
        <f>K243*IFERROR(VLOOKUP(A243,[1]Tørstofindhold!A$2:B$25,2,FALSE),0)</f>
        <v>0</v>
      </c>
      <c r="Y243" s="170">
        <f t="shared" si="48"/>
        <v>0</v>
      </c>
      <c r="Z243">
        <f t="shared" ca="1" si="43"/>
        <v>0</v>
      </c>
      <c r="AA243">
        <f t="shared" ca="1" si="44"/>
        <v>0</v>
      </c>
    </row>
    <row r="244" spans="1:27" x14ac:dyDescent="0.25">
      <c r="A244" s="171" t="str">
        <f t="shared" si="49"/>
        <v>Æg</v>
      </c>
      <c r="B244" s="171" t="str">
        <f t="shared" si="5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38"/>
        <v>1</v>
      </c>
      <c r="E244" s="171">
        <f t="shared" ref="E244:E282" si="5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3268.9483710154163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/>
      <c r="K244" s="94"/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45"/>
        <v>3268.9483710154163</v>
      </c>
      <c r="P244" s="94">
        <f t="shared" si="42"/>
        <v>0</v>
      </c>
      <c r="Q244" s="180">
        <f t="shared" si="4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47"/>
        <v>0</v>
      </c>
      <c r="V244" s="169">
        <f>P244*IFERROR(VLOOKUP(A244,[1]Tørstofindhold!A$2:B$25,2,FALSE),0)</f>
        <v>0</v>
      </c>
      <c r="W244">
        <f>IF(E244=År1,Q244,SUM(P244,Q244))*IFERROR(VLOOKUP(A244,[1]Tørstofindhold!A$2:B$25,2,FALSE),0)</f>
        <v>0</v>
      </c>
      <c r="X244">
        <f>K244*IFERROR(VLOOKUP(A244,[1]Tørstofindhold!A$2:B$25,2,FALSE),0)</f>
        <v>0</v>
      </c>
      <c r="Y244" s="170">
        <f t="shared" si="48"/>
        <v>0</v>
      </c>
      <c r="Z244">
        <f t="shared" si="43"/>
        <v>0</v>
      </c>
      <c r="AA244">
        <f t="shared" si="44"/>
        <v>1</v>
      </c>
    </row>
    <row r="245" spans="1:27" x14ac:dyDescent="0.25">
      <c r="A245" s="171" t="str">
        <f t="shared" si="49"/>
        <v>Bælgsæd</v>
      </c>
      <c r="B245" s="171" t="str">
        <f t="shared" si="5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52">D197</f>
        <v>1</v>
      </c>
      <c r="E245" s="171">
        <f t="shared" si="5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269129.08878493914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724.66280069904622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/>
      <c r="K245" s="94"/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45"/>
        <v>268404.42598424008</v>
      </c>
      <c r="P245" s="94">
        <f t="shared" si="42"/>
        <v>0</v>
      </c>
      <c r="Q245" s="180">
        <f t="shared" si="4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47"/>
        <v>0</v>
      </c>
      <c r="V245" s="169">
        <f>P245*IFERROR(VLOOKUP(A245,[1]Tørstofindhold!A$2:B$25,2,FALSE),0)</f>
        <v>0</v>
      </c>
      <c r="W245">
        <f>IF(E245=År1,Q245,SUM(P245,Q245))*IFERROR(VLOOKUP(A245,[1]Tørstofindhold!A$2:B$25,2,FALSE),0)</f>
        <v>0</v>
      </c>
      <c r="X245">
        <f>K245*IFERROR(VLOOKUP(A245,[1]Tørstofindhold!A$2:B$25,2,FALSE),0)</f>
        <v>0</v>
      </c>
      <c r="Y245" s="170">
        <f t="shared" si="48"/>
        <v>0</v>
      </c>
      <c r="Z245">
        <f t="shared" si="43"/>
        <v>0</v>
      </c>
      <c r="AA245">
        <f t="shared" si="44"/>
        <v>1</v>
      </c>
    </row>
    <row r="246" spans="1:27" x14ac:dyDescent="0.25">
      <c r="A246" s="171" t="str">
        <f t="shared" si="49"/>
        <v>Bioaffald</v>
      </c>
      <c r="B246" s="171" t="str">
        <f t="shared" si="5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52"/>
        <v>0</v>
      </c>
      <c r="E246" s="171">
        <f t="shared" si="5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/>
      <c r="K246" s="94"/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45"/>
        <v>0</v>
      </c>
      <c r="P246" s="94">
        <f t="shared" ca="1" si="42"/>
        <v>0</v>
      </c>
      <c r="Q246" s="180">
        <f t="shared" ca="1" si="4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>IFERROR(VLOOKUP(A246,[1]Biogasudbytte!$A$2:$B$18,2,FALSE)*[1]Energiindhold!$C$10,0)*K246*IFERROR(VLOOKUP(A246,Biogasanlæg!$F$3:$G$8,2,FALSE),1)</f>
        <v>0</v>
      </c>
      <c r="U246" s="170">
        <f t="shared" ca="1" si="47"/>
        <v>3.0758069229876184</v>
      </c>
      <c r="V246" s="169">
        <f ca="1">P246*IFERROR(VLOOKUP(A246,[1]Tørstofindhold!A$2:B$25,2,FALSE),0)</f>
        <v>0</v>
      </c>
      <c r="W246">
        <f ca="1">IF(E246=År1,Q246,SUM(P246,Q246))*IFERROR(VLOOKUP(A246,[1]Tørstofindhold!A$2:B$25,2,FALSE),0)</f>
        <v>48241.9504867301</v>
      </c>
      <c r="X246">
        <f>K246*IFERROR(VLOOKUP(A246,[1]Tørstofindhold!A$2:B$25,2,FALSE),0)</f>
        <v>0</v>
      </c>
      <c r="Y246" s="170">
        <f t="shared" ca="1" si="48"/>
        <v>48241.9504867301</v>
      </c>
      <c r="Z246">
        <f t="shared" ca="1" si="43"/>
        <v>0</v>
      </c>
      <c r="AA246">
        <f t="shared" ca="1" si="44"/>
        <v>0</v>
      </c>
    </row>
    <row r="247" spans="1:27" x14ac:dyDescent="0.25">
      <c r="A247" s="171" t="str">
        <f t="shared" si="49"/>
        <v>Biogas</v>
      </c>
      <c r="B247" s="171" t="str">
        <f t="shared" si="5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52"/>
        <v>0</v>
      </c>
      <c r="E247" s="171">
        <f t="shared" si="5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22893348.20380079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/>
      <c r="K247" s="94"/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22893348.20380079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45"/>
        <v>0</v>
      </c>
      <c r="P247" s="94">
        <f t="shared" ca="1" si="42"/>
        <v>0</v>
      </c>
      <c r="Q247" s="180">
        <f t="shared" ca="1" si="46"/>
        <v>22893348.20380079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47"/>
        <v>0</v>
      </c>
      <c r="V247" s="169">
        <f ca="1">P247*IFERROR(VLOOKUP(A247,[1]Tørstofindhold!A$2:B$25,2,FALSE),0)</f>
        <v>0</v>
      </c>
      <c r="W247">
        <f ca="1">IF(E247=År1,Q247,SUM(P247,Q247))*IFERROR(VLOOKUP(A247,[1]Tørstofindhold!A$2:B$25,2,FALSE),0)</f>
        <v>0</v>
      </c>
      <c r="X247">
        <f>K247*IFERROR(VLOOKUP(A247,[1]Tørstofindhold!A$2:B$25,2,FALSE),0)</f>
        <v>0</v>
      </c>
      <c r="Y247" s="170">
        <f t="shared" ca="1" si="48"/>
        <v>0</v>
      </c>
      <c r="Z247">
        <f t="shared" ca="1" si="43"/>
        <v>0</v>
      </c>
      <c r="AA247">
        <f t="shared" ca="1" si="44"/>
        <v>0</v>
      </c>
    </row>
    <row r="248" spans="1:27" x14ac:dyDescent="0.25">
      <c r="A248" s="171" t="str">
        <f t="shared" si="49"/>
        <v>Biogasgylle</v>
      </c>
      <c r="B248" s="171" t="str">
        <f t="shared" si="5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52"/>
        <v>0</v>
      </c>
      <c r="E248" s="171">
        <f t="shared" si="5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1289522.3825958653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/>
      <c r="K248" s="94"/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31751.943156603487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45"/>
        <v>1257770.4394392618</v>
      </c>
      <c r="P248" s="94">
        <f t="shared" si="42"/>
        <v>0</v>
      </c>
      <c r="Q248" s="180">
        <f t="shared" si="4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47"/>
        <v>0</v>
      </c>
      <c r="V248" s="169">
        <f>P248*IFERROR(VLOOKUP(A248,[1]Tørstofindhold!A$2:B$25,2,FALSE),0)</f>
        <v>0</v>
      </c>
      <c r="W248">
        <f>IF(E248=År1,Q248,SUM(P248,Q248))*IFERROR(VLOOKUP(A248,[1]Tørstofindhold!A$2:B$25,2,FALSE),0)</f>
        <v>0</v>
      </c>
      <c r="X248">
        <f>K248*IFERROR(VLOOKUP(A248,[1]Tørstofindhold!A$2:B$25,2,FALSE),0)</f>
        <v>0</v>
      </c>
      <c r="Y248" s="170">
        <f t="shared" si="48"/>
        <v>0</v>
      </c>
      <c r="Z248">
        <f t="shared" ca="1" si="43"/>
        <v>0</v>
      </c>
      <c r="AA248">
        <f t="shared" ca="1" si="44"/>
        <v>1</v>
      </c>
    </row>
    <row r="249" spans="1:27" x14ac:dyDescent="0.25">
      <c r="A249" s="171" t="str">
        <f t="shared" si="49"/>
        <v>Brun saft</v>
      </c>
      <c r="B249" s="171" t="str">
        <f t="shared" si="5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52"/>
        <v>0</v>
      </c>
      <c r="E249" s="171">
        <f t="shared" si="5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745477.26501226774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/>
      <c r="K249" s="94"/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45"/>
        <v>745477.26501226774</v>
      </c>
      <c r="P249" s="94">
        <f t="shared" si="42"/>
        <v>745477.26501226774</v>
      </c>
      <c r="Q249" s="180">
        <f t="shared" si="46"/>
        <v>0</v>
      </c>
      <c r="R249">
        <f>IFERROR(VLOOKUP(A249,[1]Energiindhold!$A$2:$C$11,3,FALSE),IFERROR(VLOOKUP(A249,[1]Biogasudbytte!$A$2:$B$18,2,FALSE)*[1]Energiindhold!$C$10,0))*P249</f>
        <v>0.42345052629227442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0.42345052629227442</v>
      </c>
      <c r="T249">
        <f>IFERROR(VLOOKUP(A249,[1]Biogasudbytte!$A$2:$B$18,2,FALSE)*[1]Energiindhold!$C$10,0)*K249*IFERROR(VLOOKUP(A249,Biogasanlæg!$F$3:$G$8,2,FALSE),1)</f>
        <v>0</v>
      </c>
      <c r="U249" s="170">
        <f t="shared" si="47"/>
        <v>0.42345052629227442</v>
      </c>
      <c r="V249" s="169">
        <f>P249*IFERROR(VLOOKUP(A249,[1]Tørstofindhold!A$2:B$25,2,FALSE),0)</f>
        <v>31879.133199749631</v>
      </c>
      <c r="W249">
        <f>IF(E249=År1,Q249,SUM(P249,Q249))*IFERROR(VLOOKUP(A249,[1]Tørstofindhold!A$2:B$25,2,FALSE),0)</f>
        <v>31879.133199749631</v>
      </c>
      <c r="X249">
        <f>K249*IFERROR(VLOOKUP(A249,[1]Tørstofindhold!A$2:B$25,2,FALSE),0)</f>
        <v>0</v>
      </c>
      <c r="Y249" s="170">
        <f t="shared" si="48"/>
        <v>31879.133199749631</v>
      </c>
      <c r="Z249">
        <f t="shared" si="43"/>
        <v>0</v>
      </c>
      <c r="AA249">
        <f t="shared" si="44"/>
        <v>1</v>
      </c>
    </row>
    <row r="250" spans="1:27" x14ac:dyDescent="0.25">
      <c r="A250" s="171" t="str">
        <f t="shared" si="49"/>
        <v>Dybstrøelse</v>
      </c>
      <c r="B250" s="171" t="str">
        <f t="shared" si="5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52"/>
        <v>0</v>
      </c>
      <c r="E250" s="171">
        <f t="shared" si="5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81826.264655313833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/>
      <c r="K250" s="94"/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3097.7085905225945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45"/>
        <v>78728.556064791235</v>
      </c>
      <c r="P250" s="94">
        <f t="shared" si="42"/>
        <v>78728.556064791235</v>
      </c>
      <c r="Q250" s="180">
        <f t="shared" si="46"/>
        <v>0</v>
      </c>
      <c r="R250">
        <f>IFERROR(VLOOKUP(A250,[1]Energiindhold!$A$2:$C$11,3,FALSE),IFERROR(VLOOKUP(A250,[1]Biogasudbytte!$A$2:$B$18,2,FALSE)*[1]Energiindhold!$C$10,0))*P250</f>
        <v>0.16958130976356031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0.16958130976356031</v>
      </c>
      <c r="T250">
        <f>IFERROR(VLOOKUP(A250,[1]Biogasudbytte!$A$2:$B$18,2,FALSE)*[1]Energiindhold!$C$10,0)*K250*IFERROR(VLOOKUP(A250,Biogasanlæg!$F$3:$G$8,2,FALSE),1)</f>
        <v>0</v>
      </c>
      <c r="U250" s="170">
        <f t="shared" si="47"/>
        <v>0.16958130976356031</v>
      </c>
      <c r="V250" s="169">
        <f>P250*IFERROR(VLOOKUP(A250,[1]Tørstofindhold!A$2:B$25,2,FALSE),0)</f>
        <v>23618.566819437368</v>
      </c>
      <c r="W250">
        <f>IF(E250=År1,Q250,SUM(P250,Q250))*IFERROR(VLOOKUP(A250,[1]Tørstofindhold!A$2:B$25,2,FALSE),0)</f>
        <v>23618.566819437368</v>
      </c>
      <c r="X250">
        <f>K250*IFERROR(VLOOKUP(A250,[1]Tørstofindhold!A$2:B$25,2,FALSE),0)</f>
        <v>0</v>
      </c>
      <c r="Y250" s="170">
        <f t="shared" si="48"/>
        <v>23618.566819437368</v>
      </c>
      <c r="Z250">
        <f t="shared" si="43"/>
        <v>0</v>
      </c>
      <c r="AA250">
        <f t="shared" si="44"/>
        <v>1</v>
      </c>
    </row>
    <row r="251" spans="1:27" x14ac:dyDescent="0.25">
      <c r="A251" s="171" t="str">
        <f t="shared" si="49"/>
        <v>Fiberfraktion</v>
      </c>
      <c r="B251" s="171" t="str">
        <f t="shared" si="5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52"/>
        <v>0</v>
      </c>
      <c r="E251" s="171">
        <f t="shared" si="5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525068.07623117056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0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/>
      <c r="K251" s="94"/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45"/>
        <v>525068.07623117056</v>
      </c>
      <c r="P251" s="94">
        <f t="shared" si="42"/>
        <v>0</v>
      </c>
      <c r="Q251" s="180">
        <f t="shared" si="4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47"/>
        <v>0</v>
      </c>
      <c r="V251" s="169">
        <f>P251*IFERROR(VLOOKUP(A251,[1]Tørstofindhold!A$2:B$25,2,FALSE),0)</f>
        <v>0</v>
      </c>
      <c r="W251">
        <f>IF(E251=År1,Q251,SUM(P251,Q251))*IFERROR(VLOOKUP(A251,[1]Tørstofindhold!A$2:B$25,2,FALSE),0)</f>
        <v>0</v>
      </c>
      <c r="X251">
        <f>K251*IFERROR(VLOOKUP(A251,[1]Tørstofindhold!A$2:B$25,2,FALSE),0)</f>
        <v>0</v>
      </c>
      <c r="Y251" s="170">
        <f t="shared" si="48"/>
        <v>0</v>
      </c>
      <c r="Z251">
        <f t="shared" si="43"/>
        <v>0</v>
      </c>
      <c r="AA251">
        <f t="shared" si="44"/>
        <v>1</v>
      </c>
    </row>
    <row r="252" spans="1:27" x14ac:dyDescent="0.25">
      <c r="A252" s="171" t="str">
        <f t="shared" si="49"/>
        <v>Fjerkrægylle</v>
      </c>
      <c r="B252" s="171" t="str">
        <f t="shared" si="5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52"/>
        <v>0</v>
      </c>
      <c r="E252" s="171">
        <f t="shared" si="5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471.55151143904124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/>
      <c r="K252" s="94"/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47.155151143904114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45"/>
        <v>424.39636029513713</v>
      </c>
      <c r="P252" s="94">
        <f t="shared" si="42"/>
        <v>424.39636029513713</v>
      </c>
      <c r="Q252" s="180">
        <f t="shared" si="46"/>
        <v>0</v>
      </c>
      <c r="R252">
        <f>IFERROR(VLOOKUP(A252,[1]Energiindhold!$A$2:$C$11,3,FALSE),IFERROR(VLOOKUP(A252,[1]Biogasudbytte!$A$2:$B$18,2,FALSE)*[1]Energiindhold!$C$10,0))*P252</f>
        <v>1.9958936428320006E-4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1.9958936428320006E-4</v>
      </c>
      <c r="T252">
        <f>IFERROR(VLOOKUP(A252,[1]Biogasudbytte!$A$2:$B$18,2,FALSE)*[1]Energiindhold!$C$10,0)*K252*IFERROR(VLOOKUP(A252,Biogasanlæg!$F$3:$G$8,2,FALSE),1)</f>
        <v>0</v>
      </c>
      <c r="U252" s="170">
        <f t="shared" si="47"/>
        <v>1.9958936428320006E-4</v>
      </c>
      <c r="V252" s="169">
        <f>P252*IFERROR(VLOOKUP(A252,[1]Tørstofindhold!A$2:B$25,2,FALSE),0)</f>
        <v>26.736970698593641</v>
      </c>
      <c r="W252">
        <f>IF(E252=År1,Q252,SUM(P252,Q252))*IFERROR(VLOOKUP(A252,[1]Tørstofindhold!A$2:B$25,2,FALSE),0)</f>
        <v>26.736970698593641</v>
      </c>
      <c r="X252">
        <f>K252*IFERROR(VLOOKUP(A252,[1]Tørstofindhold!A$2:B$25,2,FALSE),0)</f>
        <v>0</v>
      </c>
      <c r="Y252" s="170">
        <f t="shared" si="48"/>
        <v>26.736970698593641</v>
      </c>
      <c r="Z252">
        <f t="shared" si="43"/>
        <v>0</v>
      </c>
      <c r="AA252">
        <f t="shared" si="44"/>
        <v>1</v>
      </c>
    </row>
    <row r="253" spans="1:27" x14ac:dyDescent="0.25">
      <c r="A253" s="171" t="str">
        <f t="shared" si="49"/>
        <v>Fjerkrækød</v>
      </c>
      <c r="B253" s="171" t="str">
        <f t="shared" si="5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52"/>
        <v>1</v>
      </c>
      <c r="E253" s="171">
        <f t="shared" si="5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503.71416194271836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/>
      <c r="K253" s="94"/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45"/>
        <v>503.71416194271836</v>
      </c>
      <c r="P253" s="94">
        <f t="shared" si="42"/>
        <v>0</v>
      </c>
      <c r="Q253" s="180">
        <f t="shared" si="4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47"/>
        <v>0</v>
      </c>
      <c r="V253" s="169">
        <f>P253*IFERROR(VLOOKUP(A253,[1]Tørstofindhold!A$2:B$25,2,FALSE),0)</f>
        <v>0</v>
      </c>
      <c r="W253">
        <f>IF(E253=År1,Q253,SUM(P253,Q253))*IFERROR(VLOOKUP(A253,[1]Tørstofindhold!A$2:B$25,2,FALSE),0)</f>
        <v>0</v>
      </c>
      <c r="X253">
        <f>K253*IFERROR(VLOOKUP(A253,[1]Tørstofindhold!A$2:B$25,2,FALSE),0)</f>
        <v>0</v>
      </c>
      <c r="Y253" s="170">
        <f t="shared" si="48"/>
        <v>0</v>
      </c>
      <c r="Z253">
        <f t="shared" si="43"/>
        <v>0</v>
      </c>
      <c r="AA253">
        <f t="shared" si="44"/>
        <v>1</v>
      </c>
    </row>
    <row r="254" spans="1:27" x14ac:dyDescent="0.25">
      <c r="A254" s="171" t="str">
        <f t="shared" si="49"/>
        <v>Frø</v>
      </c>
      <c r="B254" s="171" t="str">
        <f t="shared" si="5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52"/>
        <v>0</v>
      </c>
      <c r="E254" s="171">
        <f t="shared" si="5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25270.403131175186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/>
      <c r="K254" s="94"/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45"/>
        <v>25270.403131175186</v>
      </c>
      <c r="P254" s="94">
        <f t="shared" si="42"/>
        <v>0</v>
      </c>
      <c r="Q254" s="180">
        <f t="shared" si="4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47"/>
        <v>0</v>
      </c>
      <c r="V254" s="169">
        <f>P254*IFERROR(VLOOKUP(A254,[1]Tørstofindhold!A$2:B$25,2,FALSE),0)</f>
        <v>0</v>
      </c>
      <c r="W254">
        <f>IF(E254=År1,Q254,SUM(P254,Q254))*IFERROR(VLOOKUP(A254,[1]Tørstofindhold!A$2:B$25,2,FALSE),0)</f>
        <v>0</v>
      </c>
      <c r="X254">
        <f>K254*IFERROR(VLOOKUP(A254,[1]Tørstofindhold!A$2:B$25,2,FALSE),0)</f>
        <v>0</v>
      </c>
      <c r="Y254" s="170">
        <f t="shared" si="48"/>
        <v>0</v>
      </c>
      <c r="Z254">
        <f t="shared" si="43"/>
        <v>0</v>
      </c>
      <c r="AA254">
        <f t="shared" si="44"/>
        <v>1</v>
      </c>
    </row>
    <row r="255" spans="1:27" x14ac:dyDescent="0.25">
      <c r="A255" s="171" t="str">
        <f t="shared" si="49"/>
        <v>Frugt</v>
      </c>
      <c r="B255" s="171" t="str">
        <f t="shared" si="5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52"/>
        <v>1</v>
      </c>
      <c r="E255" s="171">
        <f t="shared" si="5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311625.91983903368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/>
      <c r="K255" s="94"/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45"/>
        <v>311625.91983903368</v>
      </c>
      <c r="P255" s="94">
        <f t="shared" si="42"/>
        <v>0</v>
      </c>
      <c r="Q255" s="180">
        <f t="shared" si="4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47"/>
        <v>0</v>
      </c>
      <c r="V255" s="169">
        <f>P255*IFERROR(VLOOKUP(A255,[1]Tørstofindhold!A$2:B$25,2,FALSE),0)</f>
        <v>0</v>
      </c>
      <c r="W255">
        <f>IF(E255=År1,Q255,SUM(P255,Q255))*IFERROR(VLOOKUP(A255,[1]Tørstofindhold!A$2:B$25,2,FALSE),0)</f>
        <v>0</v>
      </c>
      <c r="X255">
        <f>K255*IFERROR(VLOOKUP(A255,[1]Tørstofindhold!A$2:B$25,2,FALSE),0)</f>
        <v>0</v>
      </c>
      <c r="Y255" s="170">
        <f t="shared" si="48"/>
        <v>0</v>
      </c>
      <c r="Z255">
        <f t="shared" si="43"/>
        <v>0</v>
      </c>
      <c r="AA255">
        <f t="shared" si="44"/>
        <v>1</v>
      </c>
    </row>
    <row r="256" spans="1:27" x14ac:dyDescent="0.25">
      <c r="A256" s="171" t="str">
        <f t="shared" si="49"/>
        <v>Glycerin</v>
      </c>
      <c r="B256" s="171" t="str">
        <f t="shared" si="5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52"/>
        <v>0</v>
      </c>
      <c r="E256" s="171">
        <f t="shared" si="5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/>
      <c r="K256" s="94"/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45"/>
        <v>0</v>
      </c>
      <c r="P256" s="94">
        <f t="shared" si="42"/>
        <v>0</v>
      </c>
      <c r="Q256" s="180">
        <f t="shared" si="46"/>
        <v>0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</v>
      </c>
      <c r="T256">
        <f>IFERROR(VLOOKUP(A256,[1]Biogasudbytte!$A$2:$B$18,2,FALSE)*[1]Energiindhold!$C$10,0)*K256*IFERROR(VLOOKUP(A256,Biogasanlæg!$F$3:$G$8,2,FALSE),1)</f>
        <v>0</v>
      </c>
      <c r="U256" s="170">
        <f t="shared" si="47"/>
        <v>0</v>
      </c>
      <c r="V256" s="169">
        <f>P256*IFERROR(VLOOKUP(A256,[1]Tørstofindhold!A$2:B$25,2,FALSE),0)</f>
        <v>0</v>
      </c>
      <c r="W256">
        <f>IF(E256=År1,Q256,SUM(P256,Q256))*IFERROR(VLOOKUP(A256,[1]Tørstofindhold!A$2:B$25,2,FALSE),0)</f>
        <v>0</v>
      </c>
      <c r="X256">
        <f>K256*IFERROR(VLOOKUP(A256,[1]Tørstofindhold!A$2:B$25,2,FALSE),0)</f>
        <v>0</v>
      </c>
      <c r="Y256" s="170">
        <f t="shared" si="48"/>
        <v>0</v>
      </c>
      <c r="Z256">
        <f t="shared" si="43"/>
        <v>0</v>
      </c>
      <c r="AA256">
        <f t="shared" si="44"/>
        <v>0</v>
      </c>
    </row>
    <row r="257" spans="1:27" x14ac:dyDescent="0.25">
      <c r="A257" s="171" t="str">
        <f t="shared" si="49"/>
        <v>Græs</v>
      </c>
      <c r="B257" s="171" t="str">
        <f t="shared" si="5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52"/>
        <v>0</v>
      </c>
      <c r="E257" s="171">
        <f t="shared" si="5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11411284.658335894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137494.70167152316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/>
      <c r="K257" s="94"/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1525578.4068414355</v>
      </c>
      <c r="O257" s="179">
        <f t="shared" si="45"/>
        <v>9748211.5498229358</v>
      </c>
      <c r="P257" s="94">
        <f t="shared" si="42"/>
        <v>9748211.5498229358</v>
      </c>
      <c r="Q257" s="180">
        <f t="shared" si="46"/>
        <v>0</v>
      </c>
      <c r="R257">
        <f>IFERROR(VLOOKUP(A257,[1]Energiindhold!$A$2:$C$11,3,FALSE),IFERROR(VLOOKUP(A257,[1]Biogasudbytte!$A$2:$B$18,2,FALSE)*[1]Energiindhold!$C$10,0))*P257</f>
        <v>17.935490725230476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17.935490725230476</v>
      </c>
      <c r="T257">
        <f>IFERROR(VLOOKUP(A257,[1]Biogasudbytte!$A$2:$B$18,2,FALSE)*[1]Energiindhold!$C$10,0)*K257*IFERROR(VLOOKUP(A257,Biogasanlæg!$F$3:$G$8,2,FALSE),1)</f>
        <v>0</v>
      </c>
      <c r="U257" s="170">
        <f t="shared" si="47"/>
        <v>17.935490725230476</v>
      </c>
      <c r="V257" s="169">
        <f>P257*IFERROR(VLOOKUP(A257,[1]Tørstofindhold!A$2:B$25,2,FALSE),0)</f>
        <v>2729499.2339504221</v>
      </c>
      <c r="W257">
        <f>IF(E257=År1,Q257,SUM(P257,Q257))*IFERROR(VLOOKUP(A257,[1]Tørstofindhold!A$2:B$25,2,FALSE),0)</f>
        <v>2729499.2339504221</v>
      </c>
      <c r="X257">
        <f>K257*IFERROR(VLOOKUP(A257,[1]Tørstofindhold!A$2:B$25,2,FALSE),0)</f>
        <v>0</v>
      </c>
      <c r="Y257" s="170">
        <f t="shared" si="48"/>
        <v>2729499.2339504221</v>
      </c>
      <c r="Z257">
        <f t="shared" si="43"/>
        <v>0</v>
      </c>
      <c r="AA257">
        <f t="shared" si="44"/>
        <v>1</v>
      </c>
    </row>
    <row r="258" spans="1:27" x14ac:dyDescent="0.25">
      <c r="A258" s="171" t="str">
        <f t="shared" si="49"/>
        <v>Græsprotein</v>
      </c>
      <c r="B258" s="171" t="str">
        <f t="shared" si="5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52"/>
        <v>0</v>
      </c>
      <c r="E258" s="171">
        <f t="shared" si="5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255033.06559799708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255033.06559799711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/>
      <c r="K258" s="94"/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45"/>
        <v>0</v>
      </c>
      <c r="P258" s="94">
        <f t="shared" si="42"/>
        <v>0</v>
      </c>
      <c r="Q258" s="180">
        <f t="shared" si="4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47"/>
        <v>0</v>
      </c>
      <c r="V258" s="169">
        <f>P258*IFERROR(VLOOKUP(A258,[1]Tørstofindhold!A$2:B$25,2,FALSE),0)</f>
        <v>0</v>
      </c>
      <c r="W258">
        <f>IF(E258=År1,Q258,SUM(P258,Q258))*IFERROR(VLOOKUP(A258,[1]Tørstofindhold!A$2:B$25,2,FALSE),0)</f>
        <v>0</v>
      </c>
      <c r="X258">
        <f>K258*IFERROR(VLOOKUP(A258,[1]Tørstofindhold!A$2:B$25,2,FALSE),0)</f>
        <v>0</v>
      </c>
      <c r="Y258" s="170">
        <f t="shared" si="48"/>
        <v>0</v>
      </c>
      <c r="Z258">
        <f t="shared" si="43"/>
        <v>0</v>
      </c>
      <c r="AA258">
        <f t="shared" si="44"/>
        <v>0</v>
      </c>
    </row>
    <row r="259" spans="1:27" x14ac:dyDescent="0.25">
      <c r="A259" s="171" t="str">
        <f t="shared" si="49"/>
        <v>Grøntsager</v>
      </c>
      <c r="B259" s="171" t="str">
        <f t="shared" si="5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52"/>
        <v>1</v>
      </c>
      <c r="E259" s="171">
        <f t="shared" si="5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121386.43640273569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/>
      <c r="K259" s="94"/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45"/>
        <v>121386.43640273569</v>
      </c>
      <c r="P259" s="94">
        <f t="shared" si="42"/>
        <v>0</v>
      </c>
      <c r="Q259" s="180">
        <f t="shared" si="4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47"/>
        <v>0</v>
      </c>
      <c r="V259" s="169">
        <f>P259*IFERROR(VLOOKUP(A259,[1]Tørstofindhold!A$2:B$25,2,FALSE),0)</f>
        <v>0</v>
      </c>
      <c r="W259">
        <f>IF(E259=År1,Q259,SUM(P259,Q259))*IFERROR(VLOOKUP(A259,[1]Tørstofindhold!A$2:B$25,2,FALSE),0)</f>
        <v>0</v>
      </c>
      <c r="X259">
        <f>K259*IFERROR(VLOOKUP(A259,[1]Tørstofindhold!A$2:B$25,2,FALSE),0)</f>
        <v>0</v>
      </c>
      <c r="Y259" s="170">
        <f t="shared" si="48"/>
        <v>0</v>
      </c>
      <c r="Z259">
        <f t="shared" si="43"/>
        <v>0</v>
      </c>
      <c r="AA259">
        <f t="shared" si="44"/>
        <v>1</v>
      </c>
    </row>
    <row r="260" spans="1:27" x14ac:dyDescent="0.25">
      <c r="A260" s="171" t="str">
        <f t="shared" si="49"/>
        <v>Halm</v>
      </c>
      <c r="B260" s="171" t="str">
        <f t="shared" si="5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52"/>
        <v>0</v>
      </c>
      <c r="E260" s="171">
        <f t="shared" si="5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284106.47368035599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8685.8888472677336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9665.8931514547894</v>
      </c>
      <c r="J260" s="94"/>
      <c r="K260" s="94"/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265754.69168163347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45"/>
        <v>0</v>
      </c>
      <c r="P260" s="94">
        <f t="shared" ref="P260:P275" si="5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46"/>
        <v>265754.69168163347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2.746789026937726</v>
      </c>
      <c r="T260">
        <f>IFERROR(VLOOKUP(A260,[1]Biogasudbytte!$A$2:$B$18,2,FALSE)*[1]Energiindhold!$C$10,0)*K260*IFERROR(VLOOKUP(A260,Biogasanlæg!$F$3:$G$8,2,FALSE),1)</f>
        <v>0</v>
      </c>
      <c r="U260" s="170">
        <f t="shared" si="47"/>
        <v>2.746789026937726</v>
      </c>
      <c r="V260" s="169">
        <f>P260*IFERROR(VLOOKUP(A260,[1]Tørstofindhold!A$2:B$25,2,FALSE),0)</f>
        <v>0</v>
      </c>
      <c r="W260">
        <f>IF(E260=År1,Q260,SUM(P260,Q260))*IFERROR(VLOOKUP(A260,[1]Tørstofindhold!A$2:B$25,2,FALSE),0)</f>
        <v>225891.48792938844</v>
      </c>
      <c r="X260">
        <f>K260*IFERROR(VLOOKUP(A260,[1]Tørstofindhold!A$2:B$25,2,FALSE),0)</f>
        <v>0</v>
      </c>
      <c r="Y260" s="170">
        <f t="shared" si="48"/>
        <v>225891.48792938844</v>
      </c>
      <c r="Z260">
        <f t="shared" ref="Z260:Z275" si="54">IF(SUMIFS($O$4:$O$291,$A$4:$A$291,A260,$E$4:$E$291,E260)&lt;0,1,0)</f>
        <v>0</v>
      </c>
      <c r="AA260">
        <f t="shared" ref="AA260:AA275" si="55">IF(SUMIFS($O$4:$O$291,$A$4:$A$291,A260,$E$4:$E$291,E260)&gt;0,1,0)</f>
        <v>0</v>
      </c>
    </row>
    <row r="261" spans="1:27" x14ac:dyDescent="0.25">
      <c r="A261" s="171" t="str">
        <f t="shared" si="49"/>
        <v>Have/parkaffald</v>
      </c>
      <c r="B261" s="171" t="str">
        <f t="shared" si="5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52"/>
        <v>0</v>
      </c>
      <c r="E261" s="171">
        <f t="shared" si="5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/>
      <c r="K261" s="94"/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457927.02496060182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45"/>
        <v>0</v>
      </c>
      <c r="P261" s="94">
        <f t="shared" si="53"/>
        <v>0</v>
      </c>
      <c r="Q261" s="180">
        <f t="shared" si="4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8.1750142319727654</v>
      </c>
      <c r="T261">
        <f>IFERROR(VLOOKUP(A261,[1]Biogasudbytte!$A$2:$B$18,2,FALSE)*[1]Energiindhold!$C$10,0)*K261*IFERROR(VLOOKUP(A261,Biogasanlæg!$F$3:$G$8,2,FALSE),1)</f>
        <v>0</v>
      </c>
      <c r="U261" s="170">
        <f t="shared" si="47"/>
        <v>8.1750142319727654</v>
      </c>
      <c r="V261" s="169">
        <f>P261*IFERROR(VLOOKUP(A261,[1]Tørstofindhold!A$2:B$25,2,FALSE),0)</f>
        <v>0</v>
      </c>
      <c r="W261">
        <f>IF(E261=År1,Q261,SUM(P261,Q261))*IFERROR(VLOOKUP(A261,[1]Tørstofindhold!A$2:B$25,2,FALSE),0)</f>
        <v>137378.10748818054</v>
      </c>
      <c r="X261">
        <f>K261*IFERROR(VLOOKUP(A261,[1]Tørstofindhold!A$2:B$25,2,FALSE),0)</f>
        <v>0</v>
      </c>
      <c r="Y261" s="170">
        <f t="shared" si="48"/>
        <v>137378.10748818054</v>
      </c>
      <c r="Z261">
        <f t="shared" si="54"/>
        <v>0</v>
      </c>
      <c r="AA261">
        <f t="shared" si="55"/>
        <v>0</v>
      </c>
    </row>
    <row r="262" spans="1:27" x14ac:dyDescent="0.25">
      <c r="A262" s="171" t="str">
        <f t="shared" si="49"/>
        <v>Import af foder</v>
      </c>
      <c r="B262" s="171" t="str">
        <f t="shared" si="5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52"/>
        <v>1</v>
      </c>
      <c r="E262" s="171">
        <f t="shared" si="5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0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/>
      <c r="K262" s="94"/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45"/>
        <v>0</v>
      </c>
      <c r="P262" s="94">
        <f t="shared" si="53"/>
        <v>0</v>
      </c>
      <c r="Q262" s="180">
        <f t="shared" si="4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47"/>
        <v>0</v>
      </c>
      <c r="V262" s="169">
        <f>P262*IFERROR(VLOOKUP(A262,[1]Tørstofindhold!A$2:B$25,2,FALSE),0)</f>
        <v>0</v>
      </c>
      <c r="W262">
        <f>IF(E262=År1,Q262,SUM(P262,Q262))*IFERROR(VLOOKUP(A262,[1]Tørstofindhold!A$2:B$25,2,FALSE),0)</f>
        <v>0</v>
      </c>
      <c r="X262">
        <f>K262*IFERROR(VLOOKUP(A262,[1]Tørstofindhold!A$2:B$25,2,FALSE),0)</f>
        <v>0</v>
      </c>
      <c r="Y262" s="170">
        <f t="shared" si="48"/>
        <v>0</v>
      </c>
      <c r="Z262">
        <f t="shared" si="54"/>
        <v>0</v>
      </c>
      <c r="AA262">
        <f t="shared" si="55"/>
        <v>0</v>
      </c>
    </row>
    <row r="263" spans="1:27" x14ac:dyDescent="0.25">
      <c r="A263" s="171" t="str">
        <f t="shared" si="49"/>
        <v>Industriaffald</v>
      </c>
      <c r="B263" s="171" t="str">
        <f t="shared" si="5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52"/>
        <v>0</v>
      </c>
      <c r="E263" s="171">
        <f t="shared" si="5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168748.58777288889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/>
      <c r="K263" s="94"/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45"/>
        <v>168748.58777288889</v>
      </c>
      <c r="P263" s="94">
        <f t="shared" si="53"/>
        <v>168748.58777288889</v>
      </c>
      <c r="Q263" s="180">
        <f t="shared" si="46"/>
        <v>0</v>
      </c>
      <c r="R263">
        <f>IFERROR(VLOOKUP(A263,[1]Energiindhold!$A$2:$C$11,3,FALSE),IFERROR(VLOOKUP(A263,[1]Biogasudbytte!$A$2:$B$18,2,FALSE)*[1]Energiindhold!$C$10,0))*P263</f>
        <v>0.73120956813633808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0.73120956813633808</v>
      </c>
      <c r="T263">
        <f>IFERROR(VLOOKUP(A263,[1]Biogasudbytte!$A$2:$B$18,2,FALSE)*[1]Energiindhold!$C$10,0)*K263*IFERROR(VLOOKUP(A263,Biogasanlæg!$F$3:$G$8,2,FALSE),1)</f>
        <v>0</v>
      </c>
      <c r="U263" s="170">
        <f t="shared" si="47"/>
        <v>0.73120956813633808</v>
      </c>
      <c r="V263" s="169">
        <f>P263*IFERROR(VLOOKUP(A263,[1]Tørstofindhold!A$2:B$25,2,FALSE),0)</f>
        <v>70874.406864613324</v>
      </c>
      <c r="W263">
        <f>IF(E263=År1,Q263,SUM(P263,Q263))*IFERROR(VLOOKUP(A263,[1]Tørstofindhold!A$2:B$25,2,FALSE),0)</f>
        <v>70874.406864613324</v>
      </c>
      <c r="X263">
        <f>K263*IFERROR(VLOOKUP(A263,[1]Tørstofindhold!A$2:B$25,2,FALSE),0)</f>
        <v>0</v>
      </c>
      <c r="Y263" s="170">
        <f t="shared" si="48"/>
        <v>70874.406864613324</v>
      </c>
      <c r="Z263">
        <f t="shared" si="54"/>
        <v>0</v>
      </c>
      <c r="AA263">
        <f t="shared" si="55"/>
        <v>1</v>
      </c>
    </row>
    <row r="264" spans="1:27" x14ac:dyDescent="0.25">
      <c r="A264" s="171" t="str">
        <f t="shared" si="49"/>
        <v>Juletræer</v>
      </c>
      <c r="B264" s="171" t="str">
        <f t="shared" si="5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52"/>
        <v>0</v>
      </c>
      <c r="E264" s="171">
        <f t="shared" si="5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155582.5126734412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/>
      <c r="K264" s="94"/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45"/>
        <v>155582.5126734412</v>
      </c>
      <c r="P264" s="94">
        <f t="shared" si="53"/>
        <v>0</v>
      </c>
      <c r="Q264" s="180">
        <f t="shared" si="4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47"/>
        <v>0</v>
      </c>
      <c r="V264" s="169">
        <f>P264*IFERROR(VLOOKUP(A264,[1]Tørstofindhold!A$2:B$25,2,FALSE),0)</f>
        <v>0</v>
      </c>
      <c r="W264">
        <f>IF(E264=År1,Q264,SUM(P264,Q264))*IFERROR(VLOOKUP(A264,[1]Tørstofindhold!A$2:B$25,2,FALSE),0)</f>
        <v>0</v>
      </c>
      <c r="X264">
        <f>K264*IFERROR(VLOOKUP(A264,[1]Tørstofindhold!A$2:B$25,2,FALSE),0)</f>
        <v>0</v>
      </c>
      <c r="Y264" s="170">
        <f t="shared" si="48"/>
        <v>0</v>
      </c>
      <c r="Z264">
        <f t="shared" si="54"/>
        <v>0</v>
      </c>
      <c r="AA264">
        <f t="shared" si="55"/>
        <v>1</v>
      </c>
    </row>
    <row r="265" spans="1:27" x14ac:dyDescent="0.25">
      <c r="A265" s="171" t="str">
        <f t="shared" si="49"/>
        <v>Kartofler</v>
      </c>
      <c r="B265" s="171" t="str">
        <f t="shared" si="5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52"/>
        <v>1</v>
      </c>
      <c r="E265" s="171">
        <f t="shared" si="5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940152.02486146183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/>
      <c r="K265" s="94"/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45"/>
        <v>940152.02486146183</v>
      </c>
      <c r="P265" s="94">
        <f t="shared" si="53"/>
        <v>0</v>
      </c>
      <c r="Q265" s="180">
        <f t="shared" si="4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47"/>
        <v>0</v>
      </c>
      <c r="V265" s="169">
        <f>P265*IFERROR(VLOOKUP(A265,[1]Tørstofindhold!A$2:B$25,2,FALSE),0)</f>
        <v>0</v>
      </c>
      <c r="W265">
        <f>IF(E265=År1,Q265,SUM(P265,Q265))*IFERROR(VLOOKUP(A265,[1]Tørstofindhold!A$2:B$25,2,FALSE),0)</f>
        <v>0</v>
      </c>
      <c r="X265">
        <f>K265*IFERROR(VLOOKUP(A265,[1]Tørstofindhold!A$2:B$25,2,FALSE),0)</f>
        <v>0</v>
      </c>
      <c r="Y265" s="170">
        <f t="shared" si="48"/>
        <v>0</v>
      </c>
      <c r="Z265">
        <f t="shared" si="54"/>
        <v>0</v>
      </c>
      <c r="AA265">
        <f t="shared" si="55"/>
        <v>1</v>
      </c>
    </row>
    <row r="266" spans="1:27" x14ac:dyDescent="0.25">
      <c r="A266" s="171" t="str">
        <f t="shared" si="49"/>
        <v>Korn</v>
      </c>
      <c r="B266" s="171" t="str">
        <f t="shared" si="5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52"/>
        <v>1</v>
      </c>
      <c r="E266" s="171">
        <f t="shared" si="5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175478.49244816136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16515.993687659306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/>
      <c r="K266" s="94"/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45"/>
        <v>158962.49876050206</v>
      </c>
      <c r="P266" s="94">
        <f t="shared" si="53"/>
        <v>158962.49876050206</v>
      </c>
      <c r="Q266" s="180">
        <f t="shared" si="46"/>
        <v>0</v>
      </c>
      <c r="R266">
        <f>IFERROR(VLOOKUP(A266,[1]Energiindhold!$A$2:$C$11,3,FALSE),IFERROR(VLOOKUP(A266,[1]Biogasudbytte!$A$2:$B$18,2,FALSE)*[1]Energiindhold!$C$10,0))*P266</f>
        <v>0.54442430350489313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0.54442430350489313</v>
      </c>
      <c r="T266">
        <f>IFERROR(VLOOKUP(A266,[1]Biogasudbytte!$A$2:$B$18,2,FALSE)*[1]Energiindhold!$C$10,0)*K266*IFERROR(VLOOKUP(A266,Biogasanlæg!$F$3:$G$8,2,FALSE),1)</f>
        <v>0</v>
      </c>
      <c r="U266" s="170">
        <f t="shared" si="47"/>
        <v>0.54442430350489313</v>
      </c>
      <c r="V266" s="169">
        <f>P266*IFERROR(VLOOKUP(A266,[1]Tørstofindhold!A$2:B$25,2,FALSE),0)</f>
        <v>49278.374615755638</v>
      </c>
      <c r="W266">
        <f>IF(E266=År1,Q266,SUM(P266,Q266))*IFERROR(VLOOKUP(A266,[1]Tørstofindhold!A$2:B$25,2,FALSE),0)</f>
        <v>49278.374615755638</v>
      </c>
      <c r="X266">
        <f>K266*IFERROR(VLOOKUP(A266,[1]Tørstofindhold!A$2:B$25,2,FALSE),0)</f>
        <v>0</v>
      </c>
      <c r="Y266" s="170">
        <f t="shared" si="48"/>
        <v>49278.374615755638</v>
      </c>
      <c r="Z266">
        <f t="shared" si="54"/>
        <v>0</v>
      </c>
      <c r="AA266">
        <f t="shared" si="55"/>
        <v>1</v>
      </c>
    </row>
    <row r="267" spans="1:27" x14ac:dyDescent="0.25">
      <c r="A267" s="171" t="str">
        <f t="shared" si="49"/>
        <v>Kunstgødning</v>
      </c>
      <c r="B267" s="171" t="str">
        <f t="shared" si="5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52"/>
        <v>0</v>
      </c>
      <c r="E267" s="171">
        <f t="shared" si="5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/>
      <c r="K267" s="94"/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390323.36216618225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45"/>
        <v>-390323.36216618225</v>
      </c>
      <c r="P267" s="94">
        <f t="shared" si="53"/>
        <v>0</v>
      </c>
      <c r="Q267" s="180">
        <f t="shared" si="4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47"/>
        <v>0</v>
      </c>
      <c r="V267" s="169">
        <f>P267*IFERROR(VLOOKUP(A267,[1]Tørstofindhold!A$2:B$25,2,FALSE),0)</f>
        <v>0</v>
      </c>
      <c r="W267">
        <f>IF(E267=År1,Q267,SUM(P267,Q267))*IFERROR(VLOOKUP(A267,[1]Tørstofindhold!A$2:B$25,2,FALSE),0)</f>
        <v>0</v>
      </c>
      <c r="X267">
        <f>K267*IFERROR(VLOOKUP(A267,[1]Tørstofindhold!A$2:B$25,2,FALSE),0)</f>
        <v>0</v>
      </c>
      <c r="Y267" s="170">
        <f t="shared" si="48"/>
        <v>0</v>
      </c>
      <c r="Z267">
        <f t="shared" ca="1" si="54"/>
        <v>1</v>
      </c>
      <c r="AA267">
        <f t="shared" ca="1" si="55"/>
        <v>0</v>
      </c>
    </row>
    <row r="268" spans="1:27" x14ac:dyDescent="0.25">
      <c r="A268" s="171" t="str">
        <f t="shared" si="49"/>
        <v>Kvæggylle</v>
      </c>
      <c r="B268" s="171" t="str">
        <f t="shared" si="5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52"/>
        <v>0</v>
      </c>
      <c r="E268" s="171">
        <f t="shared" si="5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4885.9701831397151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/>
      <c r="K268" s="94"/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488.59701831397138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45"/>
        <v>4397.3731648257435</v>
      </c>
      <c r="P268" s="94">
        <f t="shared" si="53"/>
        <v>4397.3731648257435</v>
      </c>
      <c r="Q268" s="180">
        <f t="shared" si="46"/>
        <v>0</v>
      </c>
      <c r="R268">
        <f>IFERROR(VLOOKUP(A268,[1]Energiindhold!$A$2:$C$11,3,FALSE),IFERROR(VLOOKUP(A268,[1]Biogasudbytte!$A$2:$B$18,2,FALSE)*[1]Energiindhold!$C$10,0))*P268</f>
        <v>2.2259063223031435E-3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2.2259063223031435E-3</v>
      </c>
      <c r="T268">
        <f>IFERROR(VLOOKUP(A268,[1]Biogasudbytte!$A$2:$B$18,2,FALSE)*[1]Energiindhold!$C$10,0)*K268*IFERROR(VLOOKUP(A268,Biogasanlæg!$F$3:$G$8,2,FALSE),1)</f>
        <v>0</v>
      </c>
      <c r="U268" s="170">
        <f t="shared" si="47"/>
        <v>2.2259063223031435E-3</v>
      </c>
      <c r="V268" s="169">
        <f>P268*IFERROR(VLOOKUP(A268,[1]Tørstofindhold!A$2:B$25,2,FALSE),0)</f>
        <v>334.20036052675653</v>
      </c>
      <c r="W268">
        <f>IF(E268=År1,Q268,SUM(P268,Q268))*IFERROR(VLOOKUP(A268,[1]Tørstofindhold!A$2:B$25,2,FALSE),0)</f>
        <v>334.20036052675653</v>
      </c>
      <c r="X268">
        <f>K268*IFERROR(VLOOKUP(A268,[1]Tørstofindhold!A$2:B$25,2,FALSE),0)</f>
        <v>0</v>
      </c>
      <c r="Y268" s="170">
        <f t="shared" si="48"/>
        <v>334.20036052675653</v>
      </c>
      <c r="Z268">
        <f t="shared" si="54"/>
        <v>0</v>
      </c>
      <c r="AA268">
        <f t="shared" si="55"/>
        <v>1</v>
      </c>
    </row>
    <row r="269" spans="1:27" x14ac:dyDescent="0.25">
      <c r="A269" s="171" t="str">
        <f t="shared" si="49"/>
        <v>Mælk til foder</v>
      </c>
      <c r="B269" s="171" t="str">
        <f t="shared" si="5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52"/>
        <v>0</v>
      </c>
      <c r="E269" s="171">
        <f t="shared" si="5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0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0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/>
      <c r="K269" s="94"/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45"/>
        <v>0</v>
      </c>
      <c r="P269" s="94">
        <f t="shared" si="53"/>
        <v>0</v>
      </c>
      <c r="Q269" s="180">
        <f t="shared" si="4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47"/>
        <v>0</v>
      </c>
      <c r="V269" s="169">
        <f>P269*IFERROR(VLOOKUP(A269,[1]Tørstofindhold!A$2:B$25,2,FALSE),0)</f>
        <v>0</v>
      </c>
      <c r="W269">
        <f>IF(E269=År1,Q269,SUM(P269,Q269))*IFERROR(VLOOKUP(A269,[1]Tørstofindhold!A$2:B$25,2,FALSE),0)</f>
        <v>0</v>
      </c>
      <c r="X269">
        <f>K269*IFERROR(VLOOKUP(A269,[1]Tørstofindhold!A$2:B$25,2,FALSE),0)</f>
        <v>0</v>
      </c>
      <c r="Y269" s="170">
        <f t="shared" si="48"/>
        <v>0</v>
      </c>
      <c r="Z269">
        <f t="shared" si="54"/>
        <v>0</v>
      </c>
      <c r="AA269">
        <f t="shared" si="55"/>
        <v>0</v>
      </c>
    </row>
    <row r="270" spans="1:27" x14ac:dyDescent="0.25">
      <c r="A270" s="171" t="str">
        <f t="shared" si="49"/>
        <v>Majs</v>
      </c>
      <c r="B270" s="171" t="str">
        <f t="shared" si="5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52"/>
        <v>1</v>
      </c>
      <c r="E270" s="171">
        <f t="shared" si="5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165265.0873457386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63394.503378227986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/>
      <c r="K270" s="94"/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45"/>
        <v>101870.58396751061</v>
      </c>
      <c r="P270" s="94">
        <f t="shared" si="53"/>
        <v>43926.582985718967</v>
      </c>
      <c r="Q270" s="180">
        <f t="shared" si="46"/>
        <v>0</v>
      </c>
      <c r="R270">
        <f>IFERROR(VLOOKUP(A270,[1]Energiindhold!$A$2:$C$11,3,FALSE),IFERROR(VLOOKUP(A270,[1]Biogasudbytte!$A$2:$B$18,2,FALSE)*[1]Energiindhold!$C$10,0))*P270</f>
        <v>0.15769643291873112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0.15769643291873112</v>
      </c>
      <c r="T270">
        <f>IFERROR(VLOOKUP(A270,[1]Biogasudbytte!$A$2:$B$18,2,FALSE)*[1]Energiindhold!$C$10,0)*K270*IFERROR(VLOOKUP(A270,Biogasanlæg!$F$3:$G$8,2,FALSE),1)</f>
        <v>0</v>
      </c>
      <c r="U270" s="170">
        <f t="shared" si="47"/>
        <v>0.15769643291873112</v>
      </c>
      <c r="V270" s="169">
        <f>P270*IFERROR(VLOOKUP(A270,[1]Tørstofindhold!A$2:B$25,2,FALSE),0)</f>
        <v>13177.97489571569</v>
      </c>
      <c r="W270">
        <f>IF(E270=År1,Q270,SUM(P270,Q270))*IFERROR(VLOOKUP(A270,[1]Tørstofindhold!A$2:B$25,2,FALSE),0)</f>
        <v>13177.97489571569</v>
      </c>
      <c r="X270">
        <f>K270*IFERROR(VLOOKUP(A270,[1]Tørstofindhold!A$2:B$25,2,FALSE),0)</f>
        <v>0</v>
      </c>
      <c r="Y270" s="170">
        <f t="shared" si="48"/>
        <v>13177.97489571569</v>
      </c>
      <c r="Z270">
        <f t="shared" si="54"/>
        <v>0</v>
      </c>
      <c r="AA270">
        <f t="shared" si="55"/>
        <v>1</v>
      </c>
    </row>
    <row r="271" spans="1:27" x14ac:dyDescent="0.25">
      <c r="A271" s="171" t="str">
        <f t="shared" si="49"/>
        <v>Mejeriprodukter</v>
      </c>
      <c r="B271" s="171" t="str">
        <f t="shared" si="5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52"/>
        <v>1</v>
      </c>
      <c r="E271" s="171">
        <f t="shared" si="5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0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/>
      <c r="K271" s="94"/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45"/>
        <v>0</v>
      </c>
      <c r="P271" s="94">
        <f t="shared" si="53"/>
        <v>0</v>
      </c>
      <c r="Q271" s="180">
        <f t="shared" si="4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47"/>
        <v>0</v>
      </c>
      <c r="V271" s="169">
        <f>P271*IFERROR(VLOOKUP(A271,[1]Tørstofindhold!A$2:B$25,2,FALSE),0)</f>
        <v>0</v>
      </c>
      <c r="W271">
        <f>IF(E271=År1,Q271,SUM(P271,Q271))*IFERROR(VLOOKUP(A271,[1]Tørstofindhold!A$2:B$25,2,FALSE),0)</f>
        <v>0</v>
      </c>
      <c r="X271">
        <f>K271*IFERROR(VLOOKUP(A271,[1]Tørstofindhold!A$2:B$25,2,FALSE),0)</f>
        <v>0</v>
      </c>
      <c r="Y271" s="170">
        <f t="shared" si="48"/>
        <v>0</v>
      </c>
      <c r="Z271">
        <f t="shared" si="54"/>
        <v>0</v>
      </c>
      <c r="AA271">
        <f t="shared" si="55"/>
        <v>0</v>
      </c>
    </row>
    <row r="272" spans="1:27" x14ac:dyDescent="0.25">
      <c r="A272" s="171" t="str">
        <f t="shared" si="49"/>
        <v>Muslinger</v>
      </c>
      <c r="B272" s="171" t="str">
        <f t="shared" si="5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52"/>
        <v>1</v>
      </c>
      <c r="E272" s="171">
        <f t="shared" si="5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/>
      <c r="K272" s="94"/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45"/>
        <v>1.1976865502381491</v>
      </c>
      <c r="P272" s="94">
        <f t="shared" si="53"/>
        <v>1.1976865502381491</v>
      </c>
      <c r="Q272" s="180">
        <f t="shared" si="4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47"/>
        <v>1.0749236788387388E-6</v>
      </c>
      <c r="V272" s="169">
        <f>P272*IFERROR(VLOOKUP(A272,[1]Tørstofindhold!A$2:B$25,2,FALSE),0)</f>
        <v>0.17965298253572234</v>
      </c>
      <c r="W272">
        <f>IF(E272=År1,Q272,SUM(P272,Q272))*IFERROR(VLOOKUP(A272,[1]Tørstofindhold!A$2:B$25,2,FALSE),0)</f>
        <v>0.17965298253572234</v>
      </c>
      <c r="X272">
        <f>K272*IFERROR(VLOOKUP(A272,[1]Tørstofindhold!A$2:B$25,2,FALSE),0)</f>
        <v>0</v>
      </c>
      <c r="Y272" s="170">
        <f t="shared" si="48"/>
        <v>0.17965298253572234</v>
      </c>
      <c r="Z272">
        <f t="shared" si="54"/>
        <v>0</v>
      </c>
      <c r="AA272">
        <f t="shared" si="55"/>
        <v>1</v>
      </c>
    </row>
    <row r="273" spans="1:27" x14ac:dyDescent="0.25">
      <c r="A273" s="171" t="str">
        <f t="shared" si="49"/>
        <v>Oksekød</v>
      </c>
      <c r="B273" s="171" t="str">
        <f t="shared" si="5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52"/>
        <v>1</v>
      </c>
      <c r="E273" s="171">
        <f t="shared" si="5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278.2619831544028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/>
      <c r="K273" s="94"/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45"/>
        <v>278.2619831544028</v>
      </c>
      <c r="P273" s="94">
        <f t="shared" si="53"/>
        <v>0</v>
      </c>
      <c r="Q273" s="180">
        <f t="shared" si="4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47"/>
        <v>0</v>
      </c>
      <c r="V273" s="169">
        <f>P273*IFERROR(VLOOKUP(A273,[1]Tørstofindhold!A$2:B$25,2,FALSE),0)</f>
        <v>0</v>
      </c>
      <c r="W273">
        <f>IF(E273=År1,Q273,SUM(P273,Q273))*IFERROR(VLOOKUP(A273,[1]Tørstofindhold!A$2:B$25,2,FALSE),0)</f>
        <v>0</v>
      </c>
      <c r="X273">
        <f>K273*IFERROR(VLOOKUP(A273,[1]Tørstofindhold!A$2:B$25,2,FALSE),0)</f>
        <v>0</v>
      </c>
      <c r="Y273" s="170">
        <f t="shared" si="48"/>
        <v>0</v>
      </c>
      <c r="Z273">
        <f t="shared" si="54"/>
        <v>0</v>
      </c>
      <c r="AA273">
        <f t="shared" si="55"/>
        <v>1</v>
      </c>
    </row>
    <row r="274" spans="1:27" x14ac:dyDescent="0.25">
      <c r="A274" s="171" t="str">
        <f t="shared" si="49"/>
        <v>Øvrige</v>
      </c>
      <c r="B274" s="171" t="str">
        <f t="shared" si="5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52"/>
        <v>1</v>
      </c>
      <c r="E274" s="171">
        <f t="shared" si="5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36484.853765615815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/>
      <c r="K274" s="94"/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45"/>
        <v>36484.853765615815</v>
      </c>
      <c r="P274" s="94">
        <f t="shared" si="53"/>
        <v>0</v>
      </c>
      <c r="Q274" s="180">
        <f t="shared" si="4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47"/>
        <v>0</v>
      </c>
      <c r="V274" s="169">
        <f>P274*IFERROR(VLOOKUP(A274,[1]Tørstofindhold!A$2:B$25,2,FALSE),0)</f>
        <v>0</v>
      </c>
      <c r="W274">
        <f>IF(E274=År1,Q274,SUM(P274,Q274))*IFERROR(VLOOKUP(A274,[1]Tørstofindhold!A$2:B$25,2,FALSE),0)</f>
        <v>0</v>
      </c>
      <c r="X274">
        <f>K274*IFERROR(VLOOKUP(A274,[1]Tørstofindhold!A$2:B$25,2,FALSE),0)</f>
        <v>0</v>
      </c>
      <c r="Y274" s="170">
        <f t="shared" si="48"/>
        <v>0</v>
      </c>
      <c r="Z274">
        <f t="shared" si="54"/>
        <v>0</v>
      </c>
      <c r="AA274">
        <f t="shared" si="55"/>
        <v>1</v>
      </c>
    </row>
    <row r="275" spans="1:27" x14ac:dyDescent="0.25">
      <c r="A275" s="171" t="str">
        <f t="shared" si="49"/>
        <v>Pil &amp; poppel</v>
      </c>
      <c r="B275" s="171" t="str">
        <f t="shared" si="5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52"/>
        <v>0</v>
      </c>
      <c r="E275" s="171">
        <f t="shared" si="5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529346.388560839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/>
      <c r="K275" s="94"/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529346.388560839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45"/>
        <v>0</v>
      </c>
      <c r="P275" s="94">
        <f t="shared" si="53"/>
        <v>0</v>
      </c>
      <c r="Q275" s="180">
        <f t="shared" si="46"/>
        <v>529346.388560839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9.7399735495194353</v>
      </c>
      <c r="T275">
        <f>IFERROR(VLOOKUP(A275,[1]Biogasudbytte!$A$2:$B$18,2,FALSE)*[1]Energiindhold!$C$10,0)*K275*IFERROR(VLOOKUP(A275,Biogasanlæg!$F$3:$G$8,2,FALSE),1)</f>
        <v>0</v>
      </c>
      <c r="U275" s="170">
        <f t="shared" si="47"/>
        <v>9.7399735495194353</v>
      </c>
      <c r="V275" s="169">
        <f>P275*IFERROR(VLOOKUP(A275,[1]Tørstofindhold!A$2:B$25,2,FALSE),0)</f>
        <v>0</v>
      </c>
      <c r="W275">
        <f>IF(E275=År1,Q275,SUM(P275,Q275))*IFERROR(VLOOKUP(A275,[1]Tørstofindhold!A$2:B$25,2,FALSE),0)</f>
        <v>219678.75125274819</v>
      </c>
      <c r="X275">
        <f>K275*IFERROR(VLOOKUP(A275,[1]Tørstofindhold!A$2:B$25,2,FALSE),0)</f>
        <v>0</v>
      </c>
      <c r="Y275" s="170">
        <f t="shared" si="48"/>
        <v>219678.75125274819</v>
      </c>
      <c r="Z275">
        <f t="shared" si="54"/>
        <v>0</v>
      </c>
      <c r="AA275">
        <f t="shared" si="55"/>
        <v>0</v>
      </c>
    </row>
    <row r="276" spans="1:27" x14ac:dyDescent="0.25">
      <c r="A276" s="171" t="str">
        <f>A228</f>
        <v>Pyrolysegas</v>
      </c>
      <c r="B276" s="171" t="str">
        <f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52"/>
        <v>0</v>
      </c>
      <c r="E276" s="171">
        <f t="shared" si="5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/>
      <c r="K276" s="94"/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>G276-SUM(H276:N276)</f>
        <v>0</v>
      </c>
      <c r="P276" s="94">
        <f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>S276-T276</f>
        <v>0</v>
      </c>
      <c r="V276" s="169">
        <f>P276*IFERROR(VLOOKUP(A276,[1]Tørstofindhold!A$2:B$25,2,FALSE),0)</f>
        <v>0</v>
      </c>
      <c r="W276">
        <f>IF(E276=År1,Q276,SUM(P276,Q276))*IFERROR(VLOOKUP(A276,[1]Tørstofindhold!A$2:B$25,2,FALSE),0)</f>
        <v>0</v>
      </c>
      <c r="X276">
        <f>K276*IFERROR(VLOOKUP(A276,[1]Tørstofindhold!A$2:B$25,2,FALSE),0)</f>
        <v>0</v>
      </c>
      <c r="Y276" s="170">
        <f>W276-X276</f>
        <v>0</v>
      </c>
      <c r="Z276">
        <f>IF(SUMIFS($O$4:$O$291,$A$4:$A$291,A276,$E$4:$E$291,E276)&lt;0,1,0)</f>
        <v>0</v>
      </c>
      <c r="AA276">
        <f>IF(SUMIFS($O$4:$O$291,$A$4:$A$291,A276,$E$4:$E$291,E276)&gt;0,1,0)</f>
        <v>0</v>
      </c>
    </row>
    <row r="277" spans="1:27" x14ac:dyDescent="0.25">
      <c r="A277" s="171" t="str">
        <f>A229</f>
        <v>Pyrolyseolie</v>
      </c>
      <c r="B277" s="171" t="str">
        <f>IF(B229&lt;&gt;"",B229,"")</f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52"/>
        <v>0</v>
      </c>
      <c r="E277" s="171">
        <f t="shared" si="5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/>
      <c r="K277" s="94"/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>G277-SUM(H277:N277)</f>
        <v>0</v>
      </c>
      <c r="P277" s="94">
        <f>IF(C277=1,IF(O277+IF(SUMIFS($O$4:$O$291,$A$4:$A$291,A277,$E$4:$E$291,E277,$F$4:$F$291,"&lt;&gt;"&amp;F277)&lt;0,SUMIFS($O$4:$O$291,$A$4:$A$291,A277,$E$4:$E$291,E277,$F$4:$F$291,"&lt;&gt;"&amp;F277),0)&gt;0,O277+IF(SUMIFS($O$4:$O$291,$A$4:$A$291,A277,$E$4:$E$291,E277,$F$4:$F$291,"&lt;&gt;"&amp;F277)&lt;0,SUMIFS($O$4:$O$291,$A$4:$A$291,A277,$E$4:$E$291,E277,$F$4:$F$291,"&lt;&gt;"&amp;F277),0),0),0)</f>
        <v>0</v>
      </c>
      <c r="Q277" s="180">
        <f>SUM(K277,M277)</f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>S277-T277</f>
        <v>0</v>
      </c>
      <c r="V277" s="169">
        <f>P277*IFERROR(VLOOKUP(A277,[1]Tørstofindhold!A$2:B$25,2,FALSE),0)</f>
        <v>0</v>
      </c>
      <c r="W277">
        <f>IF(E277=År1,Q277,SUM(P277,Q277))*IFERROR(VLOOKUP(A277,[1]Tørstofindhold!A$2:B$25,2,FALSE),0)</f>
        <v>0</v>
      </c>
      <c r="X277">
        <f>K277*IFERROR(VLOOKUP(A277,[1]Tørstofindhold!A$2:B$25,2,FALSE),0)</f>
        <v>0</v>
      </c>
      <c r="Y277" s="170">
        <f>W277-X277</f>
        <v>0</v>
      </c>
      <c r="Z277">
        <f>IF(SUMIFS($O$4:$O$291,$A$4:$A$291,A277,$E$4:$E$291,E277)&lt;0,1,0)</f>
        <v>0</v>
      </c>
      <c r="AA277">
        <f>IF(SUMIFS($O$4:$O$291,$A$4:$A$291,A277,$E$4:$E$291,E277)&gt;0,1,0)</f>
        <v>0</v>
      </c>
    </row>
    <row r="278" spans="1:27" x14ac:dyDescent="0.25">
      <c r="A278" s="171" t="str">
        <f t="shared" ref="A278:A291" si="56">A230</f>
        <v>Råmælk</v>
      </c>
      <c r="B278" s="171" t="str">
        <f t="shared" ref="B278:B291" si="5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52"/>
        <v>0</v>
      </c>
      <c r="E278" s="171">
        <f t="shared" si="5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0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/>
      <c r="K278" s="94"/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45"/>
        <v>0</v>
      </c>
      <c r="P278" s="94">
        <f t="shared" ref="P278:P291" si="5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4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47"/>
        <v>0</v>
      </c>
      <c r="V278" s="169">
        <f>P278*IFERROR(VLOOKUP(A278,[1]Tørstofindhold!A$2:B$25,2,FALSE),0)</f>
        <v>0</v>
      </c>
      <c r="W278">
        <f>IF(E278=År1,Q278,SUM(P278,Q278))*IFERROR(VLOOKUP(A278,[1]Tørstofindhold!A$2:B$25,2,FALSE),0)</f>
        <v>0</v>
      </c>
      <c r="X278">
        <f>K278*IFERROR(VLOOKUP(A278,[1]Tørstofindhold!A$2:B$25,2,FALSE),0)</f>
        <v>0</v>
      </c>
      <c r="Y278" s="170">
        <f t="shared" si="48"/>
        <v>0</v>
      </c>
      <c r="Z278">
        <f t="shared" ref="Z278:Z291" si="59">IF(SUMIFS($O$4:$O$291,$A$4:$A$291,A278,$E$4:$E$291,E278)&lt;0,1,0)</f>
        <v>0</v>
      </c>
      <c r="AA278">
        <f t="shared" ref="AA278:AA291" si="60">IF(SUMIFS($O$4:$O$291,$A$4:$A$291,A278,$E$4:$E$291,E278)&gt;0,1,0)</f>
        <v>0</v>
      </c>
    </row>
    <row r="279" spans="1:27" x14ac:dyDescent="0.25">
      <c r="A279" s="171" t="str">
        <f t="shared" si="56"/>
        <v>Raps</v>
      </c>
      <c r="B279" s="171" t="str">
        <f t="shared" si="5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52"/>
        <v>0</v>
      </c>
      <c r="E279" s="171">
        <f t="shared" si="5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267239.34351515555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/>
      <c r="K279" s="94"/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267239.34351515555</v>
      </c>
      <c r="O279" s="179">
        <f t="shared" si="45"/>
        <v>0</v>
      </c>
      <c r="P279" s="94">
        <f t="shared" si="58"/>
        <v>0</v>
      </c>
      <c r="Q279" s="180">
        <f t="shared" si="4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47"/>
        <v>0</v>
      </c>
      <c r="V279" s="169">
        <f>P279*IFERROR(VLOOKUP(A279,[1]Tørstofindhold!A$2:B$25,2,FALSE),0)</f>
        <v>0</v>
      </c>
      <c r="W279">
        <f>IF(E279=År1,Q279,SUM(P279,Q279))*IFERROR(VLOOKUP(A279,[1]Tørstofindhold!A$2:B$25,2,FALSE),0)</f>
        <v>0</v>
      </c>
      <c r="X279">
        <f>K279*IFERROR(VLOOKUP(A279,[1]Tørstofindhold!A$2:B$25,2,FALSE),0)</f>
        <v>0</v>
      </c>
      <c r="Y279" s="170">
        <f t="shared" si="48"/>
        <v>0</v>
      </c>
      <c r="Z279">
        <f t="shared" si="59"/>
        <v>0</v>
      </c>
      <c r="AA279">
        <f t="shared" si="60"/>
        <v>0</v>
      </c>
    </row>
    <row r="280" spans="1:27" x14ac:dyDescent="0.25">
      <c r="A280" s="171" t="str">
        <f t="shared" si="56"/>
        <v>Rapskage</v>
      </c>
      <c r="B280" s="171" t="str">
        <f t="shared" si="5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52"/>
        <v>0</v>
      </c>
      <c r="E280" s="171">
        <f t="shared" si="5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133619.67175757777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2405.4779078760002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/>
      <c r="K280" s="94"/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45"/>
        <v>131214.19384970178</v>
      </c>
      <c r="P280" s="94">
        <f t="shared" si="58"/>
        <v>0</v>
      </c>
      <c r="Q280" s="180">
        <f t="shared" si="4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47"/>
        <v>0</v>
      </c>
      <c r="V280" s="169">
        <f>P280*IFERROR(VLOOKUP(A280,[1]Tørstofindhold!A$2:B$25,2,FALSE),0)</f>
        <v>0</v>
      </c>
      <c r="W280">
        <f>IF(E280=År1,Q280,SUM(P280,Q280))*IFERROR(VLOOKUP(A280,[1]Tørstofindhold!A$2:B$25,2,FALSE),0)</f>
        <v>0</v>
      </c>
      <c r="X280">
        <f>K280*IFERROR(VLOOKUP(A280,[1]Tørstofindhold!A$2:B$25,2,FALSE),0)</f>
        <v>0</v>
      </c>
      <c r="Y280" s="170">
        <f t="shared" si="48"/>
        <v>0</v>
      </c>
      <c r="Z280">
        <f t="shared" si="59"/>
        <v>0</v>
      </c>
      <c r="AA280">
        <f t="shared" si="60"/>
        <v>1</v>
      </c>
    </row>
    <row r="281" spans="1:27" x14ac:dyDescent="0.25">
      <c r="A281" s="171" t="str">
        <f t="shared" si="56"/>
        <v>Rapsolie</v>
      </c>
      <c r="B281" s="171" t="str">
        <f t="shared" si="5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52"/>
        <v>1</v>
      </c>
      <c r="E281" s="171">
        <f t="shared" si="5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85516.589924849774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/>
      <c r="K281" s="94"/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85516.589924849774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45"/>
        <v>0</v>
      </c>
      <c r="P281" s="94">
        <f t="shared" si="58"/>
        <v>0</v>
      </c>
      <c r="Q281" s="180">
        <f t="shared" si="46"/>
        <v>85516.589924849774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2.9930806473697418</v>
      </c>
      <c r="T281">
        <f>IFERROR(VLOOKUP(A281,[1]Biogasudbytte!$A$2:$B$18,2,FALSE)*[1]Energiindhold!$C$10,0)*K281*IFERROR(VLOOKUP(A281,Biogasanlæg!$F$3:$G$8,2,FALSE),1)</f>
        <v>0</v>
      </c>
      <c r="U281" s="170">
        <f t="shared" si="47"/>
        <v>2.9930806473697418</v>
      </c>
      <c r="V281" s="169">
        <f>P281*IFERROR(VLOOKUP(A281,[1]Tørstofindhold!A$2:B$25,2,FALSE),0)</f>
        <v>0</v>
      </c>
      <c r="W281">
        <f>IF(E281=År1,Q281,SUM(P281,Q281))*IFERROR(VLOOKUP(A281,[1]Tørstofindhold!A$2:B$25,2,FALSE),0)</f>
        <v>0</v>
      </c>
      <c r="X281">
        <f>K281*IFERROR(VLOOKUP(A281,[1]Tørstofindhold!A$2:B$25,2,FALSE),0)</f>
        <v>0</v>
      </c>
      <c r="Y281" s="170">
        <f t="shared" si="48"/>
        <v>0</v>
      </c>
      <c r="Z281">
        <f t="shared" si="59"/>
        <v>0</v>
      </c>
      <c r="AA281">
        <f t="shared" si="60"/>
        <v>0</v>
      </c>
    </row>
    <row r="282" spans="1:27" x14ac:dyDescent="0.25">
      <c r="A282" s="171" t="str">
        <f t="shared" si="56"/>
        <v>Roer</v>
      </c>
      <c r="B282" s="171" t="str">
        <f t="shared" si="5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52"/>
        <v>1</v>
      </c>
      <c r="E282" s="171">
        <f t="shared" si="5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1106184.910345105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243986.22639057698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/>
      <c r="K282" s="94"/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45"/>
        <v>862198.68395452807</v>
      </c>
      <c r="P282" s="94">
        <f t="shared" si="58"/>
        <v>862198.68395452807</v>
      </c>
      <c r="Q282" s="180">
        <f t="shared" si="46"/>
        <v>0</v>
      </c>
      <c r="R282">
        <f>IFERROR(VLOOKUP(A282,[1]Energiindhold!$A$2:$C$11,3,FALSE),IFERROR(VLOOKUP(A282,[1]Biogasudbytte!$A$2:$B$18,2,FALSE)*[1]Energiindhold!$C$10,0))*P282</f>
        <v>2.3400417161999472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2.3400417161999472</v>
      </c>
      <c r="T282">
        <f>IFERROR(VLOOKUP(A282,[1]Biogasudbytte!$A$2:$B$18,2,FALSE)*[1]Energiindhold!$C$10,0)*K282*IFERROR(VLOOKUP(A282,Biogasanlæg!$F$3:$G$8,2,FALSE),1)</f>
        <v>0</v>
      </c>
      <c r="U282" s="170">
        <f t="shared" si="47"/>
        <v>2.3400417161999472</v>
      </c>
      <c r="V282" s="169">
        <f>P282*IFERROR(VLOOKUP(A282,[1]Tørstofindhold!A$2:B$25,2,FALSE),0)</f>
        <v>172439.73679090562</v>
      </c>
      <c r="W282">
        <f>IF(E282=År1,Q282,SUM(P282,Q282))*IFERROR(VLOOKUP(A282,[1]Tørstofindhold!A$2:B$25,2,FALSE),0)</f>
        <v>172439.73679090562</v>
      </c>
      <c r="X282">
        <f>K282*IFERROR(VLOOKUP(A282,[1]Tørstofindhold!A$2:B$25,2,FALSE),0)</f>
        <v>0</v>
      </c>
      <c r="Y282" s="170">
        <f t="shared" si="48"/>
        <v>172439.73679090562</v>
      </c>
      <c r="Z282">
        <f t="shared" si="59"/>
        <v>0</v>
      </c>
      <c r="AA282">
        <f t="shared" si="60"/>
        <v>1</v>
      </c>
    </row>
    <row r="283" spans="1:27" x14ac:dyDescent="0.25">
      <c r="A283" s="171" t="str">
        <f t="shared" si="56"/>
        <v>Slagteriaffald til andet</v>
      </c>
      <c r="B283" s="171" t="str">
        <f t="shared" si="5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52"/>
        <v>0</v>
      </c>
      <c r="E283" s="171">
        <f t="shared" ref="E283:E291" si="6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807.52489656472994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/>
      <c r="K283" s="94"/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62">G283-SUM(H283:N283)</f>
        <v>807.52489656472994</v>
      </c>
      <c r="P283" s="94">
        <f t="shared" si="58"/>
        <v>0</v>
      </c>
      <c r="Q283" s="180">
        <f t="shared" ref="Q283:Q291" si="6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64">S283-T283</f>
        <v>0</v>
      </c>
      <c r="V283" s="169">
        <f>P283*IFERROR(VLOOKUP(A283,[1]Tørstofindhold!A$2:B$25,2,FALSE),0)</f>
        <v>0</v>
      </c>
      <c r="W283">
        <f>IF(E283=År1,Q283,SUM(P283,Q283))*IFERROR(VLOOKUP(A283,[1]Tørstofindhold!A$2:B$25,2,FALSE),0)</f>
        <v>0</v>
      </c>
      <c r="X283">
        <f>K283*IFERROR(VLOOKUP(A283,[1]Tørstofindhold!A$2:B$25,2,FALSE),0)</f>
        <v>0</v>
      </c>
      <c r="Y283" s="170">
        <f t="shared" ref="Y283:Y291" si="65">W283-X283</f>
        <v>0</v>
      </c>
      <c r="Z283">
        <f t="shared" si="59"/>
        <v>0</v>
      </c>
      <c r="AA283">
        <f t="shared" si="60"/>
        <v>1</v>
      </c>
    </row>
    <row r="284" spans="1:27" x14ac:dyDescent="0.25">
      <c r="A284" s="171" t="str">
        <f t="shared" si="56"/>
        <v>Slagteriaffald til foder</v>
      </c>
      <c r="B284" s="171" t="str">
        <f t="shared" si="5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52"/>
        <v>0</v>
      </c>
      <c r="E284" s="171">
        <f t="shared" si="6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650.65285036970454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594.50530988460082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/>
      <c r="K284" s="94"/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62"/>
        <v>56.147540485103718</v>
      </c>
      <c r="P284" s="94">
        <f t="shared" si="58"/>
        <v>0</v>
      </c>
      <c r="Q284" s="180">
        <f t="shared" si="6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64"/>
        <v>0</v>
      </c>
      <c r="V284" s="169">
        <f>P284*IFERROR(VLOOKUP(A284,[1]Tørstofindhold!A$2:B$25,2,FALSE),0)</f>
        <v>0</v>
      </c>
      <c r="W284">
        <f>IF(E284=År1,Q284,SUM(P284,Q284))*IFERROR(VLOOKUP(A284,[1]Tørstofindhold!A$2:B$25,2,FALSE),0)</f>
        <v>0</v>
      </c>
      <c r="X284">
        <f>K284*IFERROR(VLOOKUP(A284,[1]Tørstofindhold!A$2:B$25,2,FALSE),0)</f>
        <v>0</v>
      </c>
      <c r="Y284" s="170">
        <f t="shared" si="65"/>
        <v>0</v>
      </c>
      <c r="Z284">
        <f t="shared" si="59"/>
        <v>0</v>
      </c>
      <c r="AA284">
        <f t="shared" si="60"/>
        <v>1</v>
      </c>
    </row>
    <row r="285" spans="1:27" x14ac:dyDescent="0.25">
      <c r="A285" s="171" t="str">
        <f t="shared" si="56"/>
        <v>Spildevandsslam</v>
      </c>
      <c r="B285" s="171" t="str">
        <f t="shared" si="5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52"/>
        <v>0</v>
      </c>
      <c r="E285" s="171">
        <f t="shared" si="6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3491788.2152479719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/>
      <c r="K285" s="94"/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62"/>
        <v>3491788.2152479719</v>
      </c>
      <c r="P285" s="94">
        <f t="shared" si="58"/>
        <v>3491788.2152479719</v>
      </c>
      <c r="Q285" s="180">
        <f t="shared" si="63"/>
        <v>0</v>
      </c>
      <c r="R285">
        <f>IFERROR(VLOOKUP(A285,[1]Energiindhold!$A$2:$C$11,3,FALSE),IFERROR(VLOOKUP(A285,[1]Biogasudbytte!$A$2:$B$18,2,FALSE)*[1]Energiindhold!$C$10,0))*P285</f>
        <v>1.7424372372908907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1.7424372372908907</v>
      </c>
      <c r="T285">
        <f>IFERROR(VLOOKUP(A285,[1]Biogasudbytte!$A$2:$B$18,2,FALSE)*[1]Energiindhold!$C$10,0)*K285*IFERROR(VLOOKUP(A285,Biogasanlæg!$F$3:$G$8,2,FALSE),1)</f>
        <v>0</v>
      </c>
      <c r="U285" s="170">
        <f t="shared" si="64"/>
        <v>1.7424372372908907</v>
      </c>
      <c r="V285" s="169">
        <f>P285*IFERROR(VLOOKUP(A285,[1]Tørstofindhold!A$2:B$25,2,FALSE),0)</f>
        <v>209507.29291487832</v>
      </c>
      <c r="W285">
        <f>IF(E285=År1,Q285,SUM(P285,Q285))*IFERROR(VLOOKUP(A285,[1]Tørstofindhold!A$2:B$25,2,FALSE),0)</f>
        <v>209507.29291487832</v>
      </c>
      <c r="X285">
        <f>K285*IFERROR(VLOOKUP(A285,[1]Tørstofindhold!A$2:B$25,2,FALSE),0)</f>
        <v>0</v>
      </c>
      <c r="Y285" s="170">
        <f t="shared" si="65"/>
        <v>209507.29291487832</v>
      </c>
      <c r="Z285">
        <f t="shared" si="59"/>
        <v>0</v>
      </c>
      <c r="AA285">
        <f t="shared" si="60"/>
        <v>1</v>
      </c>
    </row>
    <row r="286" spans="1:27" x14ac:dyDescent="0.25">
      <c r="A286" s="171" t="str">
        <f t="shared" si="56"/>
        <v>Svinegylle</v>
      </c>
      <c r="B286" s="171" t="str">
        <f t="shared" si="5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52"/>
        <v>0</v>
      </c>
      <c r="E286" s="171">
        <f t="shared" si="6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/>
      <c r="K286" s="94"/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62"/>
        <v>0</v>
      </c>
      <c r="P286" s="94">
        <f t="shared" si="58"/>
        <v>0</v>
      </c>
      <c r="Q286" s="180">
        <f t="shared" si="63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64"/>
        <v>0</v>
      </c>
      <c r="V286" s="169">
        <f>P286*IFERROR(VLOOKUP(A286,[1]Tørstofindhold!A$2:B$25,2,FALSE),0)</f>
        <v>0</v>
      </c>
      <c r="W286">
        <f>IF(E286=År1,Q286,SUM(P286,Q286))*IFERROR(VLOOKUP(A286,[1]Tørstofindhold!A$2:B$25,2,FALSE),0)</f>
        <v>0</v>
      </c>
      <c r="X286">
        <f>K286*IFERROR(VLOOKUP(A286,[1]Tørstofindhold!A$2:B$25,2,FALSE),0)</f>
        <v>0</v>
      </c>
      <c r="Y286" s="170">
        <f t="shared" si="65"/>
        <v>0</v>
      </c>
      <c r="Z286">
        <f t="shared" si="59"/>
        <v>0</v>
      </c>
      <c r="AA286">
        <f t="shared" si="60"/>
        <v>0</v>
      </c>
    </row>
    <row r="287" spans="1:27" x14ac:dyDescent="0.25">
      <c r="A287" s="171" t="str">
        <f t="shared" si="56"/>
        <v>Svinekød</v>
      </c>
      <c r="B287" s="171" t="str">
        <f t="shared" si="5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52"/>
        <v>1</v>
      </c>
      <c r="E287" s="171">
        <f t="shared" si="6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7095.888967518189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/>
      <c r="K287" s="94"/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62"/>
        <v>7095.888967518189</v>
      </c>
      <c r="P287" s="94">
        <f t="shared" si="58"/>
        <v>0</v>
      </c>
      <c r="Q287" s="180">
        <f t="shared" si="6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64"/>
        <v>0</v>
      </c>
      <c r="V287" s="169">
        <f>P287*IFERROR(VLOOKUP(A287,[1]Tørstofindhold!A$2:B$25,2,FALSE),0)</f>
        <v>0</v>
      </c>
      <c r="W287">
        <f>IF(E287=År1,Q287,SUM(P287,Q287))*IFERROR(VLOOKUP(A287,[1]Tørstofindhold!A$2:B$25,2,FALSE),0)</f>
        <v>0</v>
      </c>
      <c r="X287">
        <f>K287*IFERROR(VLOOKUP(A287,[1]Tørstofindhold!A$2:B$25,2,FALSE),0)</f>
        <v>0</v>
      </c>
      <c r="Y287" s="170">
        <f t="shared" si="65"/>
        <v>0</v>
      </c>
      <c r="Z287">
        <f t="shared" si="59"/>
        <v>0</v>
      </c>
      <c r="AA287">
        <f t="shared" si="60"/>
        <v>1</v>
      </c>
    </row>
    <row r="288" spans="1:27" x14ac:dyDescent="0.25">
      <c r="A288" s="171" t="str">
        <f t="shared" si="56"/>
        <v>Tang</v>
      </c>
      <c r="B288" s="171" t="str">
        <f t="shared" si="5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52"/>
        <v>1</v>
      </c>
      <c r="E288" s="171">
        <f t="shared" si="6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/>
      <c r="K288" s="94"/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62"/>
        <v>0</v>
      </c>
      <c r="P288" s="94">
        <f t="shared" si="58"/>
        <v>0</v>
      </c>
      <c r="Q288" s="180">
        <f t="shared" si="6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64"/>
        <v>0</v>
      </c>
      <c r="V288" s="169">
        <f>P288*IFERROR(VLOOKUP(A288,[1]Tørstofindhold!A$2:B$25,2,FALSE),0)</f>
        <v>0</v>
      </c>
      <c r="W288">
        <f>IF(E288=År1,Q288,SUM(P288,Q288))*IFERROR(VLOOKUP(A288,[1]Tørstofindhold!A$2:B$25,2,FALSE),0)</f>
        <v>0</v>
      </c>
      <c r="X288">
        <f>K288*IFERROR(VLOOKUP(A288,[1]Tørstofindhold!A$2:B$25,2,FALSE),0)</f>
        <v>0</v>
      </c>
      <c r="Y288" s="170">
        <f t="shared" si="65"/>
        <v>0</v>
      </c>
      <c r="Z288">
        <f t="shared" si="59"/>
        <v>0</v>
      </c>
      <c r="AA288">
        <f t="shared" si="60"/>
        <v>1</v>
      </c>
    </row>
    <row r="289" spans="1:27" x14ac:dyDescent="0.25">
      <c r="A289" s="171" t="str">
        <f t="shared" si="56"/>
        <v>Total til biogas</v>
      </c>
      <c r="B289" s="171" t="str">
        <f t="shared" si="5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52"/>
        <v>0</v>
      </c>
      <c r="E289" s="171">
        <f t="shared" si="6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/>
      <c r="K289" s="94"/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62"/>
        <v>0</v>
      </c>
      <c r="P289" s="94">
        <f t="shared" si="58"/>
        <v>0</v>
      </c>
      <c r="Q289" s="180">
        <f t="shared" si="6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64"/>
        <v>0</v>
      </c>
      <c r="V289" s="169">
        <f>P289*IFERROR(VLOOKUP(A289,[1]Tørstofindhold!A$2:B$25,2,FALSE),0)</f>
        <v>0</v>
      </c>
      <c r="W289">
        <f>IF(E289=År1,Q289,SUM(P289,Q289))*IFERROR(VLOOKUP(A289,[1]Tørstofindhold!A$2:B$25,2,FALSE),0)</f>
        <v>0</v>
      </c>
      <c r="X289">
        <f>K289*IFERROR(VLOOKUP(A289,[1]Tørstofindhold!A$2:B$25,2,FALSE),0)</f>
        <v>0</v>
      </c>
      <c r="Y289" s="170">
        <f t="shared" si="65"/>
        <v>0</v>
      </c>
      <c r="Z289">
        <f t="shared" si="59"/>
        <v>0</v>
      </c>
      <c r="AA289">
        <f t="shared" si="60"/>
        <v>0</v>
      </c>
    </row>
    <row r="290" spans="1:27" x14ac:dyDescent="0.25">
      <c r="A290" s="171" t="str">
        <f t="shared" si="56"/>
        <v>Træ til energi</v>
      </c>
      <c r="B290" s="171" t="str">
        <f t="shared" si="5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52"/>
        <v>0</v>
      </c>
      <c r="E290" s="171">
        <f t="shared" si="6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626992.95337647933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/>
      <c r="K290" s="94"/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626992.95337647933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62"/>
        <v>0</v>
      </c>
      <c r="P290" s="94">
        <f t="shared" ca="1" si="58"/>
        <v>0</v>
      </c>
      <c r="Q290" s="180">
        <f t="shared" ca="1" si="63"/>
        <v>626992.95337647933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9.0873655700626106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64"/>
        <v>9.0873655700626106</v>
      </c>
      <c r="V290" s="169">
        <f ca="1">P290*IFERROR(VLOOKUP(A290,[1]Tørstofindhold!A$2:B$25,2,FALSE),0)</f>
        <v>0</v>
      </c>
      <c r="W290">
        <f ca="1">IF(E290=År1,Q290,SUM(P290,Q290))*IFERROR(VLOOKUP(A290,[1]Tørstofindhold!A$2:B$25,2,FALSE),0)</f>
        <v>310100.26485745038</v>
      </c>
      <c r="X290">
        <f>K290*IFERROR(VLOOKUP(A290,[1]Tørstofindhold!A$2:B$25,2,FALSE),0)</f>
        <v>0</v>
      </c>
      <c r="Y290" s="170">
        <f t="shared" ca="1" si="65"/>
        <v>310100.26485745038</v>
      </c>
      <c r="Z290">
        <f t="shared" ca="1" si="59"/>
        <v>0</v>
      </c>
      <c r="AA290">
        <f t="shared" ca="1" si="60"/>
        <v>0</v>
      </c>
    </row>
    <row r="291" spans="1:27" ht="15.75" thickBot="1" x14ac:dyDescent="0.3">
      <c r="A291" s="171" t="str">
        <f t="shared" si="56"/>
        <v>Træmaterialer</v>
      </c>
      <c r="B291" s="171" t="str">
        <f t="shared" si="5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52"/>
        <v>0</v>
      </c>
      <c r="E291" s="171">
        <f t="shared" si="6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185714.85587464209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/>
      <c r="K291" s="94"/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185714.85587464209</v>
      </c>
      <c r="O291" s="181">
        <f t="shared" ca="1" si="62"/>
        <v>0</v>
      </c>
      <c r="P291" s="182">
        <f t="shared" si="58"/>
        <v>0</v>
      </c>
      <c r="Q291" s="183">
        <f t="shared" si="6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64"/>
        <v>0</v>
      </c>
      <c r="V291" s="172">
        <f>P291*IFERROR(VLOOKUP(A291,[1]Tørstofindhold!A$2:B$25,2,FALSE),0)</f>
        <v>0</v>
      </c>
      <c r="W291" s="173">
        <f>IF(E291=År1,Q291,SUM(P291,Q291))*IFERROR(VLOOKUP(A291,[1]Tørstofindhold!A$2:B$25,2,FALSE),0)</f>
        <v>0</v>
      </c>
      <c r="X291" s="173">
        <f>K291*IFERROR(VLOOKUP(A291,[1]Tørstofindhold!A$2:B$25,2,FALSE),0)</f>
        <v>0</v>
      </c>
      <c r="Y291" s="174">
        <f t="shared" si="65"/>
        <v>0</v>
      </c>
      <c r="Z291">
        <f t="shared" ca="1" si="59"/>
        <v>0</v>
      </c>
      <c r="AA291">
        <f t="shared" ca="1" si="60"/>
        <v>0</v>
      </c>
    </row>
  </sheetData>
  <autoFilter ref="A3:AA291" xr:uid="{E8FEB0F6-BC35-420D-A381-2F9B028DCC93}"/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 filterMode="1">
    <tabColor rgb="FFFF0000"/>
  </sheetPr>
  <dimension ref="A1:AI147"/>
  <sheetViews>
    <sheetView zoomScale="106" workbookViewId="0">
      <pane xSplit="6" ySplit="3" topLeftCell="AA4" activePane="bottomRight" state="frozen"/>
      <selection pane="topRight" activeCell="F1" sqref="F1"/>
      <selection pane="bottomLeft" activeCell="A3" sqref="A3"/>
      <selection pane="bottomRight" activeCell="AI30" sqref="AI30:AI42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1" width="10.7109375" bestFit="1" customWidth="1"/>
    <col min="12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5" ht="15.75" thickTop="1" x14ac:dyDescent="0.25">
      <c r="A1" s="472" t="s">
        <v>247</v>
      </c>
      <c r="B1" s="472"/>
      <c r="C1" s="472"/>
      <c r="D1" s="472"/>
      <c r="E1" s="393"/>
      <c r="G1" s="473" t="s">
        <v>249</v>
      </c>
      <c r="H1" s="473"/>
      <c r="I1" s="473"/>
      <c r="J1" s="473"/>
      <c r="K1" s="473"/>
      <c r="L1" s="473"/>
      <c r="M1" s="473"/>
      <c r="N1" s="474"/>
      <c r="O1" s="475" t="s">
        <v>250</v>
      </c>
      <c r="P1" s="476"/>
      <c r="Q1" s="477"/>
      <c r="R1" s="469" t="s">
        <v>122</v>
      </c>
      <c r="S1" s="469"/>
      <c r="T1" s="469"/>
      <c r="U1" s="470"/>
      <c r="V1" s="471" t="s">
        <v>228</v>
      </c>
      <c r="W1" s="469"/>
      <c r="X1" s="469"/>
      <c r="Y1" s="470"/>
      <c r="AC1" s="478" t="s">
        <v>335</v>
      </c>
      <c r="AD1" s="478"/>
    </row>
    <row r="2" spans="1:35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0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35" x14ac:dyDescent="0.25">
      <c r="A3" s="91" t="s">
        <v>128</v>
      </c>
      <c r="B3" s="91" t="s">
        <v>310</v>
      </c>
      <c r="C3" s="91" t="s">
        <v>340</v>
      </c>
      <c r="D3" s="91" t="s">
        <v>129</v>
      </c>
      <c r="E3" s="91" t="s">
        <v>337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  <c r="AB3" s="400" t="str">
        <f>""</f>
        <v/>
      </c>
      <c r="AC3" s="91" t="s">
        <v>336</v>
      </c>
      <c r="AD3" s="91" t="s">
        <v>338</v>
      </c>
      <c r="AE3" s="91" t="s">
        <v>382</v>
      </c>
      <c r="AF3" s="91" t="s">
        <v>385</v>
      </c>
      <c r="AG3" s="91" t="s">
        <v>401</v>
      </c>
      <c r="AH3" s="91" t="s">
        <v>429</v>
      </c>
      <c r="AI3" s="91" t="s">
        <v>431</v>
      </c>
    </row>
    <row r="4" spans="1:35" hidden="1" x14ac:dyDescent="0.25">
      <c r="A4" s="171" t="s">
        <v>15</v>
      </c>
      <c r="B4" s="171"/>
      <c r="C4" s="171" t="str">
        <f>IFERROR(VLOOKUP(A4,'Kategorisering af kcal'!$A$2:$B$18,2,FALSE),"")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31522.55833067331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203477.44166932668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P4*IFERROR(VLOOKUP(A4,[1]Tørstofindhold!A$2:B$25,2,FALSE),0)</f>
        <v>0</v>
      </c>
      <c r="W4">
        <f>IF(F4=År1,Q4,SUM(P4,Q4))*IFERROR(VLOOKUP(A4,[1]Tørstofindhold!A$2:B$25,2,FALSE),0)</f>
        <v>0</v>
      </c>
      <c r="X4">
        <f>K4*IFERROR(VLOOKUP(A4,[1]Tørstofindhold!A$2:B$25,2,FALSE),0)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AC4*E4*10000*VLOOKUP(A4,[1]kcal!$A$2:$C$49,3,FALSE)/1000000000000*IFERROR(VLOOKUP(A4,'Kategorisering af kcal'!$A$2:$E$18,MATCH('Produktion &amp; forbrug'!F4,'Kategorisering af kcal'!$A$1:$E$1,0),FALSE),0)</f>
        <v>0.32429999999999998</v>
      </c>
      <c r="AE4">
        <f>IF(C4&lt;&gt;"",AC4*(1-IF(A4&lt;&gt;"Græs",VLOOKUP(A4,'Kategorisering af kcal'!$A$2:$E$18,MATCH('Produktion &amp; forbrug'!F4,'Kategorisering af kcal'!$A$1:$E$1,0),FALSE),HLOOKUP(F4,Græsprotein!$C$2:$E$8,7))),'Produktion &amp; forbrug'!AC4)</f>
        <v>0</v>
      </c>
      <c r="AF4" s="94">
        <f>AC4-AE4</f>
        <v>235000</v>
      </c>
      <c r="AG4">
        <f>IF(AC4&lt;0,AD4,G4*E4*10000*VLOOKUP(A4,[1]kcal!$A$2:$C$49,3,FALSE)/1000000000000*IFERROR(VLOOKUP(A4,'Kategorisering af kcal'!$A$2:$E$18,MATCH('Produktion &amp; forbrug'!F4,'Kategorisering af kcal'!$A$1:$E$1,0),FALSE),0))</f>
        <v>0.32429999999999998</v>
      </c>
      <c r="AH4">
        <f>AE4*IFERROR(VLOOKUP(A4,[1]Tørstofindhold!A$2:B$25,2,FALSE),0)</f>
        <v>0</v>
      </c>
      <c r="AI4">
        <f>K4*IFERROR(VLOOKUP(A4,[1]Tørstofindhold!A$2:B$25,2,FALSE),0)</f>
        <v>0</v>
      </c>
    </row>
    <row r="5" spans="1:35" hidden="1" x14ac:dyDescent="0.25">
      <c r="A5" s="171" t="s">
        <v>49</v>
      </c>
      <c r="B5" s="171"/>
      <c r="C5" s="171" t="str">
        <f>IFERROR(VLOOKUP(A5,'Kategorisering af kcal'!$A$2:$B$18,2,FALSE),"")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P5*IFERROR(VLOOKUP(A5,[1]Tørstofindhold!A$2:B$25,2,FALSE),0)</f>
        <v>0</v>
      </c>
      <c r="W5">
        <f>IF(F5=År1,Q5,SUM(P5,Q5))*IFERROR(VLOOKUP(A5,[1]Tørstofindhold!A$2:B$25,2,FALSE),0)</f>
        <v>0</v>
      </c>
      <c r="X5">
        <f>K5*IFERROR(VLOOKUP(A5,[1]Tørstofindhold!A$2:B$25,2,FALSE),0)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AC5*E5*10000*VLOOKUP(A5,[1]kcal!$A$2:$C$49,3,FALSE)/1000000000000*IFERROR(VLOOKUP(A5,'Kategorisering af kcal'!$A$2:$E$18,MATCH('Produktion &amp; forbrug'!F5,'Kategorisering af kcal'!$A$1:$E$1,0),FALSE),0)</f>
        <v>1.4789708396899257</v>
      </c>
      <c r="AE5">
        <f>IF(C5&lt;&gt;"",AC5*(1-IF(A5&lt;&gt;"Græs",VLOOKUP(A5,'Kategorisering af kcal'!$A$2:$E$18,MATCH('Produktion &amp; forbrug'!F5,'Kategorisering af kcal'!$A$1:$E$1,0),FALSE),HLOOKUP(F5,Græsprotein!$C$2:$E$8,7))),'Produktion &amp; forbrug'!AC5)</f>
        <v>0</v>
      </c>
      <c r="AF5" s="94">
        <f t="shared" ref="AF5:AF68" si="9">AC5-AE5</f>
        <v>212954.76453418657</v>
      </c>
      <c r="AG5">
        <f>IF(AC5&lt;0,AD5,G5*E5*10000*VLOOKUP(A5,[1]kcal!$A$2:$C$49,3,FALSE)/1000000000000*IFERROR(VLOOKUP(A5,'Kategorisering af kcal'!$A$2:$E$18,MATCH('Produktion &amp; forbrug'!F5,'Kategorisering af kcal'!$A$1:$E$1,0),FALSE),0))</f>
        <v>1.9818936552198592</v>
      </c>
      <c r="AH5">
        <f>AE5*IFERROR(VLOOKUP(A5,[1]Tørstofindhold!A$2:B$25,2,FALSE),0)</f>
        <v>0</v>
      </c>
      <c r="AI5">
        <f>K5*IFERROR(VLOOKUP(A5,[1]Tørstofindhold!A$2:B$25,2,FALSE),0)</f>
        <v>0</v>
      </c>
    </row>
    <row r="6" spans="1:35" hidden="1" x14ac:dyDescent="0.25">
      <c r="A6" s="171" t="s">
        <v>102</v>
      </c>
      <c r="B6" s="171" t="s">
        <v>229</v>
      </c>
      <c r="C6" s="171" t="str">
        <f>IFERROR(VLOOKUP(A6,'Kategorisering af kcal'!$A$2:$B$18,2,FALSE),"")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393543.64426779439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-34869.318749292113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P6*IFERROR(VLOOKUP(A6,[1]Tørstofindhold!A$2:B$25,2,FALSE),0)</f>
        <v>0</v>
      </c>
      <c r="W6">
        <f ca="1">IF(F6=År1,Q6,SUM(P6,Q6))*IFERROR(VLOOKUP(A6,[1]Tørstofindhold!A$2:B$25,2,FALSE),0)</f>
        <v>110192.22039498243</v>
      </c>
      <c r="X6">
        <f ca="1">K6*IFERROR(VLOOKUP(A6,[1]Tørstofindhold!A$2:B$25,2,FALSE),0)</f>
        <v>110192.22039498243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-34869.318749292113</v>
      </c>
      <c r="AD6">
        <f ca="1">AC6*E6*10000*VLOOKUP(A6,[1]kcal!$A$2:$C$49,3,FALSE)/1000000000000*IFERROR(VLOOKUP(A6,'Kategorisering af kcal'!$A$2:$E$18,MATCH('Produktion &amp; forbrug'!F6,'Kategorisering af kcal'!$A$1:$E$1,0),FALSE),0)</f>
        <v>0</v>
      </c>
      <c r="AE6">
        <f ca="1">IF(C6&lt;&gt;"",AC6*(1-IF(A6&lt;&gt;"Græs",VLOOKUP(A6,'Kategorisering af kcal'!$A$2:$E$18,MATCH('Produktion &amp; forbrug'!F6,'Kategorisering af kcal'!$A$1:$E$1,0),FALSE),HLOOKUP(F6,Græsprotein!$C$2:$E$8,7))),'Produktion &amp; forbrug'!AC6)</f>
        <v>-34869.318749292113</v>
      </c>
      <c r="AF6" s="94">
        <f t="shared" ca="1" si="9"/>
        <v>0</v>
      </c>
      <c r="AG6">
        <f ca="1">IF(AC6&lt;0,AD6,G6*E6*10000*VLOOKUP(A6,[1]kcal!$A$2:$C$49,3,FALSE)/1000000000000*IFERROR(VLOOKUP(A6,'Kategorisering af kcal'!$A$2:$E$18,MATCH('Produktion &amp; forbrug'!F6,'Kategorisering af kcal'!$A$1:$E$1,0),FALSE),0))</f>
        <v>0</v>
      </c>
      <c r="AH6">
        <f ca="1">AE6*IFERROR(VLOOKUP(A6,[1]Tørstofindhold!A$2:B$25,2,FALSE),0)</f>
        <v>-9763.4092498017926</v>
      </c>
      <c r="AI6">
        <f ca="1">K6*IFERROR(VLOOKUP(A6,[1]Tørstofindhold!A$2:B$25,2,FALSE),0)</f>
        <v>110192.22039498243</v>
      </c>
    </row>
    <row r="7" spans="1:35" hidden="1" x14ac:dyDescent="0.25">
      <c r="A7" s="171" t="s">
        <v>109</v>
      </c>
      <c r="B7" s="171"/>
      <c r="C7" s="171" t="str">
        <f>IFERROR(VLOOKUP(A7,'Kategorisering af kcal'!$A$2:$B$18,2,FALSE),"")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P7*IFERROR(VLOOKUP(A7,[1]Tørstofindhold!A$2:B$25,2,FALSE),0)</f>
        <v>0</v>
      </c>
      <c r="W7">
        <f ca="1">IF(F7=År1,Q7,SUM(P7,Q7))*IFERROR(VLOOKUP(A7,[1]Tørstofindhold!A$2:B$25,2,FALSE),0)</f>
        <v>0</v>
      </c>
      <c r="X7">
        <f>K7*IFERROR(VLOOKUP(A7,[1]Tørstofindhold!A$2:B$25,2,FALSE),0)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AC7*E7*10000*VLOOKUP(A7,[1]kcal!$A$2:$C$49,3,FALSE)/1000000000000*IFERROR(VLOOKUP(A7,'Kategorisering af kcal'!$A$2:$E$18,MATCH('Produktion &amp; forbrug'!F7,'Kategorisering af kcal'!$A$1:$E$1,0),FALSE),0)</f>
        <v>0</v>
      </c>
      <c r="AE7">
        <f ca="1">IF(C7&lt;&gt;"",AC7*(1-IF(A7&lt;&gt;"Græs",VLOOKUP(A7,'Kategorisering af kcal'!$A$2:$E$18,MATCH('Produktion &amp; forbrug'!F7,'Kategorisering af kcal'!$A$1:$E$1,0),FALSE),HLOOKUP(F7,Græsprotein!$C$2:$E$8,7))),'Produktion &amp; forbrug'!AC7)</f>
        <v>462837288.84999996</v>
      </c>
      <c r="AF7" s="94">
        <f t="shared" ca="1" si="9"/>
        <v>0</v>
      </c>
      <c r="AG7">
        <f ca="1">IF(AC7&lt;0,AD7,G7*E7*10000*VLOOKUP(A7,[1]kcal!$A$2:$C$49,3,FALSE)/1000000000000*IFERROR(VLOOKUP(A7,'Kategorisering af kcal'!$A$2:$E$18,MATCH('Produktion &amp; forbrug'!F7,'Kategorisering af kcal'!$A$1:$E$1,0),FALSE),0))</f>
        <v>0</v>
      </c>
      <c r="AH7">
        <f ca="1">AE7*IFERROR(VLOOKUP(A7,[1]Tørstofindhold!A$2:B$25,2,FALSE),0)</f>
        <v>0</v>
      </c>
      <c r="AI7">
        <f>K7*IFERROR(VLOOKUP(A7,[1]Tørstofindhold!A$2:B$25,2,FALSE),0)</f>
        <v>0</v>
      </c>
    </row>
    <row r="8" spans="1:35" hidden="1" x14ac:dyDescent="0.25">
      <c r="A8" s="171" t="s">
        <v>110</v>
      </c>
      <c r="B8" s="171"/>
      <c r="C8" s="171" t="str">
        <f>IFERROR(VLOOKUP(A8,'Kategorisering af kcal'!$A$2:$B$18,2,FALSE),"")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P8*IFERROR(VLOOKUP(A8,[1]Tørstofindhold!A$2:B$25,2,FALSE),0)</f>
        <v>0</v>
      </c>
      <c r="W8">
        <f>IF(F8=År1,Q8,SUM(P8,Q8))*IFERROR(VLOOKUP(A8,[1]Tørstofindhold!A$2:B$25,2,FALSE),0)</f>
        <v>0</v>
      </c>
      <c r="X8">
        <f>K8*IFERROR(VLOOKUP(A8,[1]Tørstofindhold!A$2:B$25,2,FALSE),0)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12034020.807749998</v>
      </c>
      <c r="AD8">
        <f ca="1">AC8*E8*10000*VLOOKUP(A8,[1]kcal!$A$2:$C$49,3,FALSE)/1000000000000*IFERROR(VLOOKUP(A8,'Kategorisering af kcal'!$A$2:$E$18,MATCH('Produktion &amp; forbrug'!F8,'Kategorisering af kcal'!$A$1:$E$1,0),FALSE),0)</f>
        <v>0</v>
      </c>
      <c r="AE8">
        <f ca="1">IF(C8&lt;&gt;"",AC8*(1-IF(A8&lt;&gt;"Græs",VLOOKUP(A8,'Kategorisering af kcal'!$A$2:$E$18,MATCH('Produktion &amp; forbrug'!F8,'Kategorisering af kcal'!$A$1:$E$1,0),FALSE),HLOOKUP(F8,Græsprotein!$C$2:$E$8,7))),'Produktion &amp; forbrug'!AC8)</f>
        <v>12034020.807749998</v>
      </c>
      <c r="AF8" s="94">
        <f t="shared" ca="1" si="9"/>
        <v>0</v>
      </c>
      <c r="AG8">
        <f ca="1">IF(AC8&lt;0,AD8,G8*E8*10000*VLOOKUP(A8,[1]kcal!$A$2:$C$49,3,FALSE)/1000000000000*IFERROR(VLOOKUP(A8,'Kategorisering af kcal'!$A$2:$E$18,MATCH('Produktion &amp; forbrug'!F8,'Kategorisering af kcal'!$A$1:$E$1,0),FALSE),0))</f>
        <v>0</v>
      </c>
      <c r="AH8">
        <f ca="1">AE8*IFERROR(VLOOKUP(A8,[1]Tørstofindhold!A$2:B$25,2,FALSE),0)</f>
        <v>0</v>
      </c>
      <c r="AI8">
        <f>K8*IFERROR(VLOOKUP(A8,[1]Tørstofindhold!A$2:B$25,2,FALSE),0)</f>
        <v>0</v>
      </c>
    </row>
    <row r="9" spans="1:35" hidden="1" x14ac:dyDescent="0.25">
      <c r="A9" s="171" t="s">
        <v>207</v>
      </c>
      <c r="B9" s="171" t="s">
        <v>207</v>
      </c>
      <c r="C9" s="171" t="str">
        <f>IFERROR(VLOOKUP(A9,'Kategorisering af kcal'!$A$2:$B$18,2,FALSE),"")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P9*IFERROR(VLOOKUP(A9,[1]Tørstofindhold!A$2:B$25,2,FALSE),0)</f>
        <v>0</v>
      </c>
      <c r="W9">
        <f>IF(F9=År1,Q9,SUM(P9,Q9))*IFERROR(VLOOKUP(A9,[1]Tørstofindhold!A$2:B$25,2,FALSE),0)</f>
        <v>0</v>
      </c>
      <c r="X9">
        <f>K9*IFERROR(VLOOKUP(A9,[1]Tørstofindhold!A$2:B$25,2,FALSE),0)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AC9*E9*10000*VLOOKUP(A9,[1]kcal!$A$2:$C$49,3,FALSE)/1000000000000*IFERROR(VLOOKUP(A9,'Kategorisering af kcal'!$A$2:$E$18,MATCH('Produktion &amp; forbrug'!F9,'Kategorisering af kcal'!$A$1:$E$1,0),FALSE),0)</f>
        <v>0</v>
      </c>
      <c r="AE9">
        <f>IF(C9&lt;&gt;"",AC9*(1-IF(A9&lt;&gt;"Græs",VLOOKUP(A9,'Kategorisering af kcal'!$A$2:$E$18,MATCH('Produktion &amp; forbrug'!F9,'Kategorisering af kcal'!$A$1:$E$1,0),FALSE),HLOOKUP(F9,Græsprotein!$C$2:$E$8,7))),'Produktion &amp; forbrug'!AC9)</f>
        <v>0</v>
      </c>
      <c r="AF9" s="94">
        <f t="shared" si="9"/>
        <v>0</v>
      </c>
      <c r="AG9">
        <f>IF(AC9&lt;0,AD9,G9*E9*10000*VLOOKUP(A9,[1]kcal!$A$2:$C$49,3,FALSE)/1000000000000*IFERROR(VLOOKUP(A9,'Kategorisering af kcal'!$A$2:$E$18,MATCH('Produktion &amp; forbrug'!F9,'Kategorisering af kcal'!$A$1:$E$1,0),FALSE),0))</f>
        <v>0</v>
      </c>
      <c r="AH9">
        <f>AE9*IFERROR(VLOOKUP(A9,[1]Tørstofindhold!A$2:B$25,2,FALSE),0)</f>
        <v>0</v>
      </c>
      <c r="AI9">
        <f>K9*IFERROR(VLOOKUP(A9,[1]Tørstofindhold!A$2:B$25,2,FALSE),0)</f>
        <v>0</v>
      </c>
    </row>
    <row r="10" spans="1:35" hidden="1" x14ac:dyDescent="0.25">
      <c r="A10" t="s">
        <v>101</v>
      </c>
      <c r="B10" s="171" t="s">
        <v>221</v>
      </c>
      <c r="C10" s="171" t="str">
        <f>IFERROR(VLOOKUP(A10,'Kategorisering af kcal'!$A$2:$B$18,2,FALSE),"")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671194.67155029252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1438110.3355925649</v>
      </c>
      <c r="P10" s="94">
        <f t="shared" si="4"/>
        <v>1438110.3355925649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3.0976896628663848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P10*IFERROR(VLOOKUP(A10,[1]Tørstofindhold!A$2:B$25,2,FALSE),0)</f>
        <v>431433.10067776946</v>
      </c>
      <c r="W10">
        <f>IF(F10=År1,Q10,SUM(P10,Q10))*IFERROR(VLOOKUP(A10,[1]Tørstofindhold!A$2:B$25,2,FALSE),0)</f>
        <v>201358.40146508775</v>
      </c>
      <c r="X10">
        <f>K10*IFERROR(VLOOKUP(A10,[1]Tørstofindhold!A$2:B$25,2,FALSE),0)</f>
        <v>201358.40146508775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2261875.3284497079</v>
      </c>
      <c r="AD10">
        <f>AC10*E10*10000*VLOOKUP(A10,[1]kcal!$A$2:$C$49,3,FALSE)/1000000000000*IFERROR(VLOOKUP(A10,'Kategorisering af kcal'!$A$2:$E$18,MATCH('Produktion &amp; forbrug'!F10,'Kategorisering af kcal'!$A$1:$E$1,0),FALSE),0)</f>
        <v>0</v>
      </c>
      <c r="AE10">
        <f>IF(C10&lt;&gt;"",AC10*(1-IF(A10&lt;&gt;"Græs",VLOOKUP(A10,'Kategorisering af kcal'!$A$2:$E$18,MATCH('Produktion &amp; forbrug'!F10,'Kategorisering af kcal'!$A$1:$E$1,0),FALSE),HLOOKUP(F10,Græsprotein!$C$2:$E$8,7))),'Produktion &amp; forbrug'!AC10)</f>
        <v>2261875.3284497079</v>
      </c>
      <c r="AF10" s="94">
        <f t="shared" si="9"/>
        <v>0</v>
      </c>
      <c r="AG10">
        <f>IF(AC10&lt;0,AD10,G10*E10*10000*VLOOKUP(A10,[1]kcal!$A$2:$C$49,3,FALSE)/1000000000000*IFERROR(VLOOKUP(A10,'Kategorisering af kcal'!$A$2:$E$18,MATCH('Produktion &amp; forbrug'!F10,'Kategorisering af kcal'!$A$1:$E$1,0),FALSE),0))</f>
        <v>0</v>
      </c>
      <c r="AH10">
        <f>AE10*IFERROR(VLOOKUP(A10,[1]Tørstofindhold!A$2:B$25,2,FALSE),0)</f>
        <v>678562.59853491234</v>
      </c>
      <c r="AI10">
        <f>K10*IFERROR(VLOOKUP(A10,[1]Tørstofindhold!A$2:B$25,2,FALSE),0)</f>
        <v>201358.40146508775</v>
      </c>
    </row>
    <row r="11" spans="1:35" hidden="1" x14ac:dyDescent="0.25">
      <c r="A11" t="s">
        <v>203</v>
      </c>
      <c r="B11" s="171" t="s">
        <v>203</v>
      </c>
      <c r="C11" s="171" t="str">
        <f>IFERROR(VLOOKUP(A11,'Kategorisering af kcal'!$A$2:$B$18,2,FALSE),"")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P11*IFERROR(VLOOKUP(A11,[1]Tørstofindhold!A$2:B$25,2,FALSE),0)</f>
        <v>0</v>
      </c>
      <c r="W11">
        <f>IF(F11=År1,Q11,SUM(P11,Q11))*IFERROR(VLOOKUP(A11,[1]Tørstofindhold!A$2:B$25,2,FALSE),0)</f>
        <v>0</v>
      </c>
      <c r="X11">
        <f>K11*IFERROR(VLOOKUP(A11,[1]Tørstofindhold!A$2:B$25,2,FALSE),0)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AC11*E11*10000*VLOOKUP(A11,[1]kcal!$A$2:$C$49,3,FALSE)/1000000000000*IFERROR(VLOOKUP(A11,'Kategorisering af kcal'!$A$2:$E$18,MATCH('Produktion &amp; forbrug'!F11,'Kategorisering af kcal'!$A$1:$E$1,0),FALSE),0)</f>
        <v>0</v>
      </c>
      <c r="AE11">
        <f>IF(C11&lt;&gt;"",AC11*(1-IF(A11&lt;&gt;"Græs",VLOOKUP(A11,'Kategorisering af kcal'!$A$2:$E$18,MATCH('Produktion &amp; forbrug'!F11,'Kategorisering af kcal'!$A$1:$E$1,0),FALSE),HLOOKUP(F11,Græsprotein!$C$2:$E$8,7))),'Produktion &amp; forbrug'!AC11)</f>
        <v>0</v>
      </c>
      <c r="AF11" s="94">
        <f t="shared" si="9"/>
        <v>0</v>
      </c>
      <c r="AG11">
        <f>IF(AC11&lt;0,AD11,G11*E11*10000*VLOOKUP(A11,[1]kcal!$A$2:$C$49,3,FALSE)/1000000000000*IFERROR(VLOOKUP(A11,'Kategorisering af kcal'!$A$2:$E$18,MATCH('Produktion &amp; forbrug'!F11,'Kategorisering af kcal'!$A$1:$E$1,0),FALSE),0))</f>
        <v>0</v>
      </c>
      <c r="AH11">
        <f>AE11*IFERROR(VLOOKUP(A11,[1]Tørstofindhold!A$2:B$25,2,FALSE),0)</f>
        <v>0</v>
      </c>
      <c r="AI11">
        <f>K11*IFERROR(VLOOKUP(A11,[1]Tørstofindhold!A$2:B$25,2,FALSE),0)</f>
        <v>0</v>
      </c>
    </row>
    <row r="12" spans="1:35" hidden="1" x14ac:dyDescent="0.25">
      <c r="A12" t="s">
        <v>137</v>
      </c>
      <c r="B12" s="171" t="s">
        <v>221</v>
      </c>
      <c r="C12" s="171" t="str">
        <f>IFERROR(VLOOKUP(A12,'Kategorisering af kcal'!$A$2:$B$18,2,FALSE),"")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4103.8061780475591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337.69382195244179</v>
      </c>
      <c r="P12" s="94">
        <f t="shared" si="4"/>
        <v>337.69382195244179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1.5881402752601385E-4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P12*IFERROR(VLOOKUP(A12,[1]Tørstofindhold!A$2:B$25,2,FALSE),0)</f>
        <v>21.274710783003833</v>
      </c>
      <c r="W12">
        <f>IF(F12=År1,Q12,SUM(P12,Q12))*IFERROR(VLOOKUP(A12,[1]Tørstofindhold!A$2:B$25,2,FALSE),0)</f>
        <v>258.53978921699621</v>
      </c>
      <c r="X12">
        <f>K12*IFERROR(VLOOKUP(A12,[1]Tørstofindhold!A$2:B$25,2,FALSE),0)</f>
        <v>258.53978921699621</v>
      </c>
      <c r="Y12" s="170">
        <f t="shared" si="7"/>
        <v>0</v>
      </c>
      <c r="Z12">
        <f t="shared" si="0"/>
        <v>0</v>
      </c>
      <c r="AA12">
        <f t="shared" si="1"/>
        <v>1</v>
      </c>
      <c r="AC12" s="94">
        <f t="shared" si="8"/>
        <v>4779.1938219524409</v>
      </c>
      <c r="AD12">
        <f>AC12*E12*10000*VLOOKUP(A12,[1]kcal!$A$2:$C$49,3,FALSE)/1000000000000*IFERROR(VLOOKUP(A12,'Kategorisering af kcal'!$A$2:$E$18,MATCH('Produktion &amp; forbrug'!F12,'Kategorisering af kcal'!$A$1:$E$1,0),FALSE),0)</f>
        <v>0</v>
      </c>
      <c r="AE12">
        <f>IF(C12&lt;&gt;"",AC12*(1-IF(A12&lt;&gt;"Græs",VLOOKUP(A12,'Kategorisering af kcal'!$A$2:$E$18,MATCH('Produktion &amp; forbrug'!F12,'Kategorisering af kcal'!$A$1:$E$1,0),FALSE),HLOOKUP(F12,Græsprotein!$C$2:$E$8,7))),'Produktion &amp; forbrug'!AC12)</f>
        <v>4779.1938219524409</v>
      </c>
      <c r="AF12" s="94">
        <f t="shared" si="9"/>
        <v>0</v>
      </c>
      <c r="AG12">
        <f>IF(AC12&lt;0,AD12,G12*E12*10000*VLOOKUP(A12,[1]kcal!$A$2:$C$49,3,FALSE)/1000000000000*IFERROR(VLOOKUP(A12,'Kategorisering af kcal'!$A$2:$E$18,MATCH('Produktion &amp; forbrug'!F12,'Kategorisering af kcal'!$A$1:$E$1,0),FALSE),0))</f>
        <v>0</v>
      </c>
      <c r="AH12">
        <f>AE12*IFERROR(VLOOKUP(A12,[1]Tørstofindhold!A$2:B$25,2,FALSE),0)</f>
        <v>301.08921078300375</v>
      </c>
      <c r="AI12">
        <f>K12*IFERROR(VLOOKUP(A12,[1]Tørstofindhold!A$2:B$25,2,FALSE),0)</f>
        <v>258.53978921699621</v>
      </c>
    </row>
    <row r="13" spans="1:35" hidden="1" x14ac:dyDescent="0.25">
      <c r="A13" t="s">
        <v>96</v>
      </c>
      <c r="B13" s="171"/>
      <c r="C13" s="171" t="str">
        <f>IFERROR(VLOOKUP(A13,'Kategorisering af kcal'!$A$2:$B$18,2,FALSE),"")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34149.438191562753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167395.86748517418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P13*IFERROR(VLOOKUP(A13,[1]Tørstofindhold!A$2:B$25,2,FALSE),0)</f>
        <v>0</v>
      </c>
      <c r="W13">
        <f>IF(F13=År1,Q13,SUM(P13,Q13))*IFERROR(VLOOKUP(A13,[1]Tørstofindhold!A$2:B$25,2,FALSE),0)</f>
        <v>0</v>
      </c>
      <c r="X13">
        <f>K13*IFERROR(VLOOKUP(A13,[1]Tørstofindhold!A$2:B$25,2,FALSE),0)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AC13*E13*10000*VLOOKUP(A13,[1]kcal!$A$2:$C$49,3,FALSE)/1000000000000*IFERROR(VLOOKUP(A13,'Kategorisering af kcal'!$A$2:$E$18,MATCH('Produktion &amp; forbrug'!F13,'Kategorisering af kcal'!$A$1:$E$1,0),FALSE),0)</f>
        <v>0.30634886462864014</v>
      </c>
      <c r="AE13">
        <f>IF(C13&lt;&gt;"",AC13*(1-IF(A13&lt;&gt;"Græs",VLOOKUP(A13,'Kategorisering af kcal'!$A$2:$E$18,MATCH('Produktion &amp; forbrug'!F13,'Kategorisering af kcal'!$A$1:$E$1,0),FALSE),HLOOKUP(F13,Græsprotein!$C$2:$E$8,7))),'Produktion &amp; forbrug'!AC13)</f>
        <v>0</v>
      </c>
      <c r="AF13" s="94">
        <f t="shared" si="9"/>
        <v>201545.30567673693</v>
      </c>
      <c r="AG13">
        <f>IF(AC13&lt;0,AD13,G13*E13*10000*VLOOKUP(A13,[1]kcal!$A$2:$C$49,3,FALSE)/1000000000000*IFERROR(VLOOKUP(A13,'Kategorisering af kcal'!$A$2:$E$18,MATCH('Produktion &amp; forbrug'!F13,'Kategorisering af kcal'!$A$1:$E$1,0),FALSE),0))</f>
        <v>0.30634886462864014</v>
      </c>
      <c r="AH13">
        <f>AE13*IFERROR(VLOOKUP(A13,[1]Tørstofindhold!A$2:B$25,2,FALSE),0)</f>
        <v>0</v>
      </c>
      <c r="AI13">
        <f>K13*IFERROR(VLOOKUP(A13,[1]Tørstofindhold!A$2:B$25,2,FALSE),0)</f>
        <v>0</v>
      </c>
    </row>
    <row r="14" spans="1:35" hidden="1" x14ac:dyDescent="0.25">
      <c r="A14" t="s">
        <v>113</v>
      </c>
      <c r="B14" s="171"/>
      <c r="C14" s="171" t="str">
        <f>IFERROR(VLOOKUP(A14,'Kategorisering af kcal'!$A$2:$B$18,2,FALSE),"")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P14*IFERROR(VLOOKUP(A14,[1]Tørstofindhold!A$2:B$25,2,FALSE),0)</f>
        <v>0</v>
      </c>
      <c r="W14">
        <f>IF(F14=År1,Q14,SUM(P14,Q14))*IFERROR(VLOOKUP(A14,[1]Tørstofindhold!A$2:B$25,2,FALSE),0)</f>
        <v>0</v>
      </c>
      <c r="X14">
        <f>K14*IFERROR(VLOOKUP(A14,[1]Tørstofindhold!A$2:B$25,2,FALSE),0)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AC14*E14*10000*VLOOKUP(A14,[1]kcal!$A$2:$C$49,3,FALSE)/1000000000000*IFERROR(VLOOKUP(A14,'Kategorisering af kcal'!$A$2:$E$18,MATCH('Produktion &amp; forbrug'!F14,'Kategorisering af kcal'!$A$1:$E$1,0),FALSE),0)</f>
        <v>0</v>
      </c>
      <c r="AE14">
        <f>IF(C14&lt;&gt;"",AC14*(1-IF(A14&lt;&gt;"Græs",VLOOKUP(A14,'Kategorisering af kcal'!$A$2:$E$18,MATCH('Produktion &amp; forbrug'!F14,'Kategorisering af kcal'!$A$1:$E$1,0),FALSE),HLOOKUP(F14,Græsprotein!$C$2:$E$8,7))),'Produktion &amp; forbrug'!AC14)</f>
        <v>1508282.669250763</v>
      </c>
      <c r="AF14" s="94">
        <f t="shared" si="9"/>
        <v>0</v>
      </c>
      <c r="AG14">
        <f>IF(AC14&lt;0,AD14,G14*E14*10000*VLOOKUP(A14,[1]kcal!$A$2:$C$49,3,FALSE)/1000000000000*IFERROR(VLOOKUP(A14,'Kategorisering af kcal'!$A$2:$E$18,MATCH('Produktion &amp; forbrug'!F14,'Kategorisering af kcal'!$A$1:$E$1,0),FALSE),0))</f>
        <v>0</v>
      </c>
      <c r="AH14">
        <f>AE14*IFERROR(VLOOKUP(A14,[1]Tørstofindhold!A$2:B$25,2,FALSE),0)</f>
        <v>0</v>
      </c>
      <c r="AI14">
        <f>K14*IFERROR(VLOOKUP(A14,[1]Tørstofindhold!A$2:B$25,2,FALSE),0)</f>
        <v>0</v>
      </c>
    </row>
    <row r="15" spans="1:35" hidden="1" x14ac:dyDescent="0.25">
      <c r="A15" t="s">
        <v>54</v>
      </c>
      <c r="B15" s="171"/>
      <c r="C15" s="171" t="str">
        <f>IFERROR(VLOOKUP(A15,'Kategorisering af kcal'!$A$2:$B$18,2,FALSE),"")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249553.58678449702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-207824.63776728272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P15*IFERROR(VLOOKUP(A15,[1]Tørstofindhold!A$2:B$25,2,FALSE),0)</f>
        <v>0</v>
      </c>
      <c r="W15">
        <f>IF(F15=År1,Q15,SUM(P15,Q15))*IFERROR(VLOOKUP(A15,[1]Tørstofindhold!A$2:B$25,2,FALSE),0)</f>
        <v>0</v>
      </c>
      <c r="X15">
        <f>K15*IFERROR(VLOOKUP(A15,[1]Tørstofindhold!A$2:B$25,2,FALSE),0)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AC15*E15*10000*VLOOKUP(A15,[1]kcal!$A$2:$C$49,3,FALSE)/1000000000000*IFERROR(VLOOKUP(A15,'Kategorisering af kcal'!$A$2:$E$18,MATCH('Produktion &amp; forbrug'!F15,'Kategorisering af kcal'!$A$1:$E$1,0),FALSE),0)</f>
        <v>2.1699053488951431E-2</v>
      </c>
      <c r="AE15">
        <f>IF(C15&lt;&gt;"",AC15*(1-IF(A15&lt;&gt;"Græs",VLOOKUP(A15,'Kategorisering af kcal'!$A$2:$E$18,MATCH('Produktion &amp; forbrug'!F15,'Kategorisering af kcal'!$A$1:$E$1,0),FALSE),HLOOKUP(F15,Græsprotein!$C$2:$E$8,7))),'Produktion &amp; forbrug'!AC15)</f>
        <v>0</v>
      </c>
      <c r="AF15" s="94">
        <f t="shared" si="9"/>
        <v>41728.949017214291</v>
      </c>
      <c r="AG15">
        <f>IF(AC15&lt;0,AD15,G15*E15*10000*VLOOKUP(A15,[1]kcal!$A$2:$C$49,3,FALSE)/1000000000000*IFERROR(VLOOKUP(A15,'Kategorisering af kcal'!$A$2:$E$18,MATCH('Produktion &amp; forbrug'!F15,'Kategorisering af kcal'!$A$1:$E$1,0),FALSE),0))</f>
        <v>2.1699053488951431E-2</v>
      </c>
      <c r="AH15">
        <f>AE15*IFERROR(VLOOKUP(A15,[1]Tørstofindhold!A$2:B$25,2,FALSE),0)</f>
        <v>0</v>
      </c>
      <c r="AI15">
        <f>K15*IFERROR(VLOOKUP(A15,[1]Tørstofindhold!A$2:B$25,2,FALSE),0)</f>
        <v>0</v>
      </c>
    </row>
    <row r="16" spans="1:35" hidden="1" x14ac:dyDescent="0.25">
      <c r="A16" s="171" t="s">
        <v>158</v>
      </c>
      <c r="B16" s="171" t="s">
        <v>158</v>
      </c>
      <c r="C16" s="171" t="str">
        <f>IFERROR(VLOOKUP(A16,'Kategorisering af kcal'!$A$2:$B$18,2,FALSE),"")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114193.60000000001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P16*IFERROR(VLOOKUP(A16,[1]Tørstofindhold!A$2:B$25,2,FALSE),0)</f>
        <v>0</v>
      </c>
      <c r="W16">
        <f>IF(F16=År1,Q16,SUM(P16,Q16))*IFERROR(VLOOKUP(A16,[1]Tørstofindhold!A$2:B$25,2,FALSE),0)</f>
        <v>102774.24</v>
      </c>
      <c r="X16">
        <f>K16*IFERROR(VLOOKUP(A16,[1]Tørstofindhold!A$2:B$25,2,FALSE),0)</f>
        <v>102774.24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-114193.60000000001</v>
      </c>
      <c r="AD16">
        <f>AC16*E16*10000*VLOOKUP(A16,[1]kcal!$A$2:$C$49,3,FALSE)/1000000000000*IFERROR(VLOOKUP(A16,'Kategorisering af kcal'!$A$2:$E$18,MATCH('Produktion &amp; forbrug'!F16,'Kategorisering af kcal'!$A$1:$E$1,0),FALSE),0)</f>
        <v>0</v>
      </c>
      <c r="AE16">
        <f>IF(C16&lt;&gt;"",AC16*(1-IF(A16&lt;&gt;"Græs",VLOOKUP(A16,'Kategorisering af kcal'!$A$2:$E$18,MATCH('Produktion &amp; forbrug'!F16,'Kategorisering af kcal'!$A$1:$E$1,0),FALSE),HLOOKUP(F16,Græsprotein!$C$2:$E$8,7))),'Produktion &amp; forbrug'!AC16)</f>
        <v>-114193.60000000001</v>
      </c>
      <c r="AF16" s="94">
        <f t="shared" si="9"/>
        <v>0</v>
      </c>
      <c r="AG16">
        <f>IF(AC16&lt;0,AD16,G16*E16*10000*VLOOKUP(A16,[1]kcal!$A$2:$C$49,3,FALSE)/1000000000000*IFERROR(VLOOKUP(A16,'Kategorisering af kcal'!$A$2:$E$18,MATCH('Produktion &amp; forbrug'!F16,'Kategorisering af kcal'!$A$1:$E$1,0),FALSE),0))</f>
        <v>0</v>
      </c>
      <c r="AH16">
        <f>AE16*IFERROR(VLOOKUP(A16,[1]Tørstofindhold!A$2:B$25,2,FALSE),0)</f>
        <v>-102774.24</v>
      </c>
      <c r="AI16">
        <f>K16*IFERROR(VLOOKUP(A16,[1]Tørstofindhold!A$2:B$25,2,FALSE),0)</f>
        <v>102774.24</v>
      </c>
    </row>
    <row r="17" spans="1:35" hidden="1" x14ac:dyDescent="0.25">
      <c r="A17" s="171" t="s">
        <v>51</v>
      </c>
      <c r="B17" s="171" t="s">
        <v>51</v>
      </c>
      <c r="C17" s="171" t="str">
        <f>IFERROR(VLOOKUP(A17,'Kategorisering af kcal'!$A$2:$B$18,2,FALSE),"")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75399.16825098735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4097849.3853123114</v>
      </c>
      <c r="P17" s="94">
        <f t="shared" si="4"/>
        <v>4097849.3853123114</v>
      </c>
      <c r="Q17" s="180">
        <f t="shared" si="5"/>
        <v>75399.16825098735</v>
      </c>
      <c r="R17">
        <f>IFERROR(VLOOKUP(A17,[1]Energiindhold!$A$2:$C$11,3,FALSE),IFERROR(VLOOKUP(A17,[1]Biogasudbytte!$A$2:$B$18,2,FALSE)*[1]Energiindhold!$C$10,0))*P17</f>
        <v>7.539530637801489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si="6"/>
        <v>0</v>
      </c>
      <c r="V17" s="169">
        <f>P17*IFERROR(VLOOKUP(A17,[1]Tørstofindhold!A$2:B$25,2,FALSE),0)</f>
        <v>1147397.8278874473</v>
      </c>
      <c r="W17">
        <f>IF(F17=År1,Q17,SUM(P17,Q17))*IFERROR(VLOOKUP(A17,[1]Tørstofindhold!A$2:B$25,2,FALSE),0)</f>
        <v>21111.767110276462</v>
      </c>
      <c r="X17">
        <f>K17*IFERROR(VLOOKUP(A17,[1]Tørstofindhold!A$2:B$25,2,FALSE),0)</f>
        <v>21111.767110276462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4097849.3853123114</v>
      </c>
      <c r="AD17">
        <f>AC17*E17*10000*VLOOKUP(A17,[1]kcal!$A$2:$C$49,3,FALSE)/1000000000000*IFERROR(VLOOKUP(A17,'Kategorisering af kcal'!$A$2:$E$18,MATCH('Produktion &amp; forbrug'!F17,'Kategorisering af kcal'!$A$1:$E$1,0),FALSE),0)</f>
        <v>0</v>
      </c>
      <c r="AE17">
        <f>IF(C17&lt;&gt;"",AC17*(1-IF(A17&lt;&gt;"Græs",VLOOKUP(A17,'Kategorisering af kcal'!$A$2:$E$18,MATCH('Produktion &amp; forbrug'!F17,'Kategorisering af kcal'!$A$1:$E$1,0),FALSE),HLOOKUP(F17,Græsprotein!$C$2:$E$8,7))),'Produktion &amp; forbrug'!AC17)</f>
        <v>4097849.3853123114</v>
      </c>
      <c r="AF17" s="94">
        <f t="shared" si="9"/>
        <v>0</v>
      </c>
      <c r="AG17">
        <f>IF(AC17&lt;0,AD17,G17*E17*10000*VLOOKUP(A17,[1]kcal!$A$2:$C$49,3,FALSE)/1000000000000*IFERROR(VLOOKUP(A17,'Kategorisering af kcal'!$A$2:$E$18,MATCH('Produktion &amp; forbrug'!F17,'Kategorisering af kcal'!$A$1:$E$1,0),FALSE),0))</f>
        <v>0</v>
      </c>
      <c r="AH17">
        <f>AE17*IFERROR(VLOOKUP(A17,[1]Tørstofindhold!A$2:B$25,2,FALSE),0)</f>
        <v>1147397.8278874473</v>
      </c>
      <c r="AI17">
        <f>K17*IFERROR(VLOOKUP(A17,[1]Tørstofindhold!A$2:B$25,2,FALSE),0)</f>
        <v>21111.767110276462</v>
      </c>
    </row>
    <row r="18" spans="1:35" hidden="1" x14ac:dyDescent="0.25">
      <c r="A18" s="171" t="s">
        <v>202</v>
      </c>
      <c r="B18" s="171"/>
      <c r="C18" s="171" t="str">
        <f>IFERROR(VLOOKUP(A18,'Kategorisering af kcal'!$A$2:$B$18,2,FALSE),"")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P18*IFERROR(VLOOKUP(A18,[1]Tørstofindhold!A$2:B$25,2,FALSE),0)</f>
        <v>0</v>
      </c>
      <c r="W18">
        <f>IF(F18=År1,Q18,SUM(P18,Q18))*IFERROR(VLOOKUP(A18,[1]Tørstofindhold!A$2:B$25,2,FALSE),0)</f>
        <v>0</v>
      </c>
      <c r="X18">
        <f>K18*IFERROR(VLOOKUP(A18,[1]Tørstofindhold!A$2:B$25,2,FALSE),0)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AC18*E18*10000*VLOOKUP(A18,[1]kcal!$A$2:$C$49,3,FALSE)/1000000000000*IFERROR(VLOOKUP(A18,'Kategorisering af kcal'!$A$2:$E$18,MATCH('Produktion &amp; forbrug'!F18,'Kategorisering af kcal'!$A$1:$E$1,0),FALSE),0)</f>
        <v>0</v>
      </c>
      <c r="AE18">
        <f>IF(C18&lt;&gt;"",AC18*(1-IF(A18&lt;&gt;"Græs",VLOOKUP(A18,'Kategorisering af kcal'!$A$2:$E$18,MATCH('Produktion &amp; forbrug'!F18,'Kategorisering af kcal'!$A$1:$E$1,0),FALSE),HLOOKUP(F18,Græsprotein!$C$2:$E$8,7))),'Produktion &amp; forbrug'!AC18)</f>
        <v>0</v>
      </c>
      <c r="AF18" s="94">
        <f t="shared" si="9"/>
        <v>0</v>
      </c>
      <c r="AG18">
        <f>IF(AC18&lt;0,AD18,G18*E18*10000*VLOOKUP(A18,[1]kcal!$A$2:$C$49,3,FALSE)/1000000000000*IFERROR(VLOOKUP(A18,'Kategorisering af kcal'!$A$2:$E$18,MATCH('Produktion &amp; forbrug'!F18,'Kategorisering af kcal'!$A$1:$E$1,0),FALSE),0))</f>
        <v>0</v>
      </c>
      <c r="AH18">
        <f>AE18*IFERROR(VLOOKUP(A18,[1]Tørstofindhold!A$2:B$25,2,FALSE),0)</f>
        <v>0</v>
      </c>
      <c r="AI18">
        <f>K18*IFERROR(VLOOKUP(A18,[1]Tørstofindhold!A$2:B$25,2,FALSE),0)</f>
        <v>0</v>
      </c>
    </row>
    <row r="19" spans="1:35" hidden="1" x14ac:dyDescent="0.25">
      <c r="A19" s="171" t="s">
        <v>6</v>
      </c>
      <c r="B19" s="171"/>
      <c r="C19" s="171" t="str">
        <f>IFERROR(VLOOKUP(A19,'Kategorisering af kcal'!$A$2:$B$18,2,FALSE),"")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261374.54615849949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18947.890600816929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P19*IFERROR(VLOOKUP(A19,[1]Tørstofindhold!A$2:B$25,2,FALSE),0)</f>
        <v>0</v>
      </c>
      <c r="W19">
        <f>IF(F19=År1,Q19,SUM(P19,Q19))*IFERROR(VLOOKUP(A19,[1]Tørstofindhold!A$2:B$25,2,FALSE),0)</f>
        <v>0</v>
      </c>
      <c r="X19">
        <f>K19*IFERROR(VLOOKUP(A19,[1]Tørstofindhold!A$2:B$25,2,FALSE),0)</f>
        <v>0</v>
      </c>
      <c r="Y19" s="170">
        <f t="shared" si="7"/>
        <v>0</v>
      </c>
      <c r="Z19">
        <f t="shared" si="0"/>
        <v>0</v>
      </c>
      <c r="AA19">
        <f t="shared" si="1"/>
        <v>1</v>
      </c>
      <c r="AC19" s="94">
        <f t="shared" si="8"/>
        <v>280322.43675931642</v>
      </c>
      <c r="AD19">
        <f>AC19*E19*10000*VLOOKUP(A19,[1]kcal!$A$2:$C$49,3,FALSE)/1000000000000*IFERROR(VLOOKUP(A19,'Kategorisering af kcal'!$A$2:$E$18,MATCH('Produktion &amp; forbrug'!F19,'Kategorisering af kcal'!$A$1:$E$1,0),FALSE),0)</f>
        <v>0.10932575033613341</v>
      </c>
      <c r="AE19">
        <f>IF(C19&lt;&gt;"",AC19*(1-IF(A19&lt;&gt;"Græs",VLOOKUP(A19,'Kategorisering af kcal'!$A$2:$E$18,MATCH('Produktion &amp; forbrug'!F19,'Kategorisering af kcal'!$A$1:$E$1,0),FALSE),HLOOKUP(F19,Græsprotein!$C$2:$E$8,7))),'Produktion &amp; forbrug'!AC19)</f>
        <v>0</v>
      </c>
      <c r="AF19" s="94">
        <f t="shared" si="9"/>
        <v>280322.43675931642</v>
      </c>
      <c r="AG19">
        <f>IF(AC19&lt;0,AD19,G19*E19*10000*VLOOKUP(A19,[1]kcal!$A$2:$C$49,3,FALSE)/1000000000000*IFERROR(VLOOKUP(A19,'Kategorisering af kcal'!$A$2:$E$18,MATCH('Produktion &amp; forbrug'!F19,'Kategorisering af kcal'!$A$1:$E$1,0),FALSE),0))</f>
        <v>0.10932575033613341</v>
      </c>
      <c r="AH19">
        <f>AE19*IFERROR(VLOOKUP(A19,[1]Tørstofindhold!A$2:B$25,2,FALSE),0)</f>
        <v>0</v>
      </c>
      <c r="AI19">
        <f>K19*IFERROR(VLOOKUP(A19,[1]Tørstofindhold!A$2:B$25,2,FALSE),0)</f>
        <v>0</v>
      </c>
    </row>
    <row r="20" spans="1:35" hidden="1" x14ac:dyDescent="0.25">
      <c r="A20" s="171" t="s">
        <v>67</v>
      </c>
      <c r="B20" s="171" t="s">
        <v>226</v>
      </c>
      <c r="C20" s="171" t="str">
        <f>IFERROR(VLOOKUP(A20,'Kategorisering af kcal'!$A$2:$B$18,2,FALSE),"")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53194.904606816119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22739.095393185038</v>
      </c>
      <c r="P20" s="94">
        <f t="shared" si="4"/>
        <v>22739.095393185038</v>
      </c>
      <c r="Q20" s="180">
        <f t="shared" si="5"/>
        <v>1948689.4238816462</v>
      </c>
      <c r="R20">
        <f>IFERROR(VLOOKUP(A20,[1]Energiindhold!$A$2:$C$11,3,FALSE),IFERROR(VLOOKUP(A20,[1]Biogasudbytte!$A$2:$B$18,2,FALSE)*[1]Energiindhold!$C$10,0))*P20</f>
        <v>0.23502688631106297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19.898161618422019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6"/>
        <v>19.591464268115235</v>
      </c>
      <c r="V20" s="169">
        <f>P20*IFERROR(VLOOKUP(A20,[1]Tørstofindhold!A$2:B$25,2,FALSE),0)</f>
        <v>19328.23108420728</v>
      </c>
      <c r="W20">
        <f>IF(F20=År1,Q20,SUM(P20,Q20))*IFERROR(VLOOKUP(A20,[1]Tørstofindhold!A$2:B$25,2,FALSE),0)</f>
        <v>1656386.0102993993</v>
      </c>
      <c r="X20">
        <f>K20*IFERROR(VLOOKUP(A20,[1]Tørstofindhold!A$2:B$25,2,FALSE),0)</f>
        <v>45215.6689157937</v>
      </c>
      <c r="Y20" s="170">
        <f t="shared" si="7"/>
        <v>1611170.3413836055</v>
      </c>
      <c r="Z20">
        <f t="shared" si="0"/>
        <v>0</v>
      </c>
      <c r="AA20">
        <f t="shared" si="1"/>
        <v>1</v>
      </c>
      <c r="AC20" s="94">
        <f t="shared" si="8"/>
        <v>1918233.6146680154</v>
      </c>
      <c r="AD20">
        <f>AC20*E20*10000*VLOOKUP(A20,[1]kcal!$A$2:$C$49,3,FALSE)/1000000000000*IFERROR(VLOOKUP(A20,'Kategorisering af kcal'!$A$2:$E$18,MATCH('Produktion &amp; forbrug'!F20,'Kategorisering af kcal'!$A$1:$E$1,0),FALSE),0)</f>
        <v>0</v>
      </c>
      <c r="AE20">
        <f>IF(C20&lt;&gt;"",AC20*(1-IF(A20&lt;&gt;"Græs",VLOOKUP(A20,'Kategorisering af kcal'!$A$2:$E$18,MATCH('Produktion &amp; forbrug'!F20,'Kategorisering af kcal'!$A$1:$E$1,0),FALSE),HLOOKUP(F20,Græsprotein!$C$2:$E$8,7))),'Produktion &amp; forbrug'!AC20)</f>
        <v>1918233.6146680154</v>
      </c>
      <c r="AF20" s="94">
        <f t="shared" si="9"/>
        <v>0</v>
      </c>
      <c r="AG20">
        <f>IF(AC20&lt;0,AD20,G20*E20*10000*VLOOKUP(A20,[1]kcal!$A$2:$C$49,3,FALSE)/1000000000000*IFERROR(VLOOKUP(A20,'Kategorisering af kcal'!$A$2:$E$18,MATCH('Produktion &amp; forbrug'!F20,'Kategorisering af kcal'!$A$1:$E$1,0),FALSE),0))</f>
        <v>0</v>
      </c>
      <c r="AH20">
        <f>AE20*IFERROR(VLOOKUP(A20,[1]Tørstofindhold!A$2:B$25,2,FALSE),0)</f>
        <v>1630498.572467813</v>
      </c>
      <c r="AI20">
        <f>K20*IFERROR(VLOOKUP(A20,[1]Tørstofindhold!A$2:B$25,2,FALSE),0)</f>
        <v>45215.6689157937</v>
      </c>
    </row>
    <row r="21" spans="1:35" hidden="1" x14ac:dyDescent="0.25">
      <c r="A21" s="171" t="s">
        <v>162</v>
      </c>
      <c r="B21" s="171" t="s">
        <v>229</v>
      </c>
      <c r="C21" s="171" t="str">
        <f>IFERROR(VLOOKUP(A21,'Kategorisering af kcal'!$A$2:$B$18,2,FALSE),"")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42.099811904105366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35.900188095867634</v>
      </c>
      <c r="P21" s="94">
        <f t="shared" si="4"/>
        <v>35.900188095867634</v>
      </c>
      <c r="Q21" s="180">
        <f t="shared" si="5"/>
        <v>982773.09981190413</v>
      </c>
      <c r="R21">
        <f>IFERROR(VLOOKUP(A21,[1]Energiindhold!$A$2:$C$11,3,FALSE),IFERROR(VLOOKUP(A21,[1]Biogasudbytte!$A$2:$B$18,2,FALSE)*[1]Energiindhold!$C$10,0))*P21</f>
        <v>6.4089807462109803E-4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17.544002012929901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6"/>
        <v>17.543930524502301</v>
      </c>
      <c r="V21" s="169">
        <f>P21*IFERROR(VLOOKUP(A21,[1]Tørstofindhold!A$2:B$25,2,FALSE),0)</f>
        <v>10.77005642876029</v>
      </c>
      <c r="W21">
        <f>IF(F21=År1,Q21,SUM(P21,Q21))*IFERROR(VLOOKUP(A21,[1]Tørstofindhold!A$2:B$25,2,FALSE),0)</f>
        <v>294831.92994357122</v>
      </c>
      <c r="X21">
        <f>K21*IFERROR(VLOOKUP(A21,[1]Tørstofindhold!A$2:B$25,2,FALSE),0)</f>
        <v>12.629943571231609</v>
      </c>
      <c r="Y21" s="170">
        <f t="shared" si="7"/>
        <v>294819.3</v>
      </c>
      <c r="Z21">
        <f t="shared" si="0"/>
        <v>0</v>
      </c>
      <c r="AA21">
        <f t="shared" si="1"/>
        <v>1</v>
      </c>
      <c r="AC21" s="94">
        <f t="shared" si="8"/>
        <v>982766.90018809587</v>
      </c>
      <c r="AD21">
        <f>AC21*E21*10000*VLOOKUP(A21,[1]kcal!$A$2:$C$49,3,FALSE)/1000000000000*IFERROR(VLOOKUP(A21,'Kategorisering af kcal'!$A$2:$E$18,MATCH('Produktion &amp; forbrug'!F21,'Kategorisering af kcal'!$A$1:$E$1,0),FALSE),0)</f>
        <v>0</v>
      </c>
      <c r="AE21">
        <f>IF(C21&lt;&gt;"",AC21*(1-IF(A21&lt;&gt;"Græs",VLOOKUP(A21,'Kategorisering af kcal'!$A$2:$E$18,MATCH('Produktion &amp; forbrug'!F21,'Kategorisering af kcal'!$A$1:$E$1,0),FALSE),HLOOKUP(F21,Græsprotein!$C$2:$E$8,7))),'Produktion &amp; forbrug'!AC21)</f>
        <v>982766.90018809587</v>
      </c>
      <c r="AF21" s="94">
        <f t="shared" si="9"/>
        <v>0</v>
      </c>
      <c r="AG21">
        <f>IF(AC21&lt;0,AD21,G21*E21*10000*VLOOKUP(A21,[1]kcal!$A$2:$C$49,3,FALSE)/1000000000000*IFERROR(VLOOKUP(A21,'Kategorisering af kcal'!$A$2:$E$18,MATCH('Produktion &amp; forbrug'!F21,'Kategorisering af kcal'!$A$1:$E$1,0),FALSE),0))</f>
        <v>0</v>
      </c>
      <c r="AH21">
        <f>AE21*IFERROR(VLOOKUP(A21,[1]Tørstofindhold!A$2:B$25,2,FALSE),0)</f>
        <v>294830.07005642873</v>
      </c>
      <c r="AI21">
        <f>K21*IFERROR(VLOOKUP(A21,[1]Tørstofindhold!A$2:B$25,2,FALSE),0)</f>
        <v>12.629943571231609</v>
      </c>
    </row>
    <row r="22" spans="1:35" hidden="1" x14ac:dyDescent="0.25">
      <c r="A22" t="s">
        <v>159</v>
      </c>
      <c r="B22" s="171"/>
      <c r="C22" s="171" t="str">
        <f>IFERROR(VLOOKUP(A22,'Kategorisering af kcal'!$A$2:$B$18,2,FALSE),"")</f>
        <v>Import af foder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P22*IFERROR(VLOOKUP(A22,[1]Tørstofindhold!A$2:B$25,2,FALSE),0)</f>
        <v>0</v>
      </c>
      <c r="W22">
        <f>IF(F22=År1,Q22,SUM(P22,Q22))*IFERROR(VLOOKUP(A22,[1]Tørstofindhold!A$2:B$25,2,FALSE),0)</f>
        <v>0</v>
      </c>
      <c r="X22">
        <f>K22*IFERROR(VLOOKUP(A22,[1]Tørstofindhold!A$2:B$25,2,FALSE),0)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AC22*E22*10000*VLOOKUP(A22,[1]kcal!$A$2:$C$49,3,FALSE)/1000000000000*IFERROR(VLOOKUP(A22,'Kategorisering af kcal'!$A$2:$E$18,MATCH('Produktion &amp; forbrug'!F22,'Kategorisering af kcal'!$A$1:$E$1,0),FALSE),0)</f>
        <v>-3.0900123313187238</v>
      </c>
      <c r="AE22">
        <f>IF(C22&lt;&gt;"",AC22*(1-IF(A22&lt;&gt;"Græs",VLOOKUP(A22,'Kategorisering af kcal'!$A$2:$E$18,MATCH('Produktion &amp; forbrug'!F22,'Kategorisering af kcal'!$A$1:$E$1,0),FALSE),HLOOKUP(F22,Græsprotein!$C$2:$E$8,7))),'Produktion &amp; forbrug'!AC22)</f>
        <v>0</v>
      </c>
      <c r="AF22" s="94">
        <f t="shared" si="9"/>
        <v>-5421074.2654714445</v>
      </c>
      <c r="AG22">
        <f>IF(AC22&lt;0,AD22,G22*E22*10000*VLOOKUP(A22,[1]kcal!$A$2:$C$49,3,FALSE)/1000000000000*IFERROR(VLOOKUP(A22,'Kategorisering af kcal'!$A$2:$E$18,MATCH('Produktion &amp; forbrug'!F22,'Kategorisering af kcal'!$A$1:$E$1,0),FALSE),0))</f>
        <v>-3.0900123313187238</v>
      </c>
      <c r="AH22">
        <f>AE22*IFERROR(VLOOKUP(A22,[1]Tørstofindhold!A$2:B$25,2,FALSE),0)</f>
        <v>0</v>
      </c>
      <c r="AI22">
        <f>K22*IFERROR(VLOOKUP(A22,[1]Tørstofindhold!A$2:B$25,2,FALSE),0)</f>
        <v>0</v>
      </c>
    </row>
    <row r="23" spans="1:35" hidden="1" x14ac:dyDescent="0.25">
      <c r="A23" s="171" t="s">
        <v>103</v>
      </c>
      <c r="B23" s="171" t="s">
        <v>229</v>
      </c>
      <c r="C23" s="171" t="str">
        <f>IFERROR(VLOOKUP(A23,'Kategorisering af kcal'!$A$2:$B$18,2,FALSE),"")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716103.75203569303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-2781.7823767953087</v>
      </c>
      <c r="P23" s="94">
        <f t="shared" si="4"/>
        <v>0</v>
      </c>
      <c r="Q23" s="180">
        <f t="shared" si="5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6"/>
        <v>0</v>
      </c>
      <c r="V23" s="169">
        <f>P23*IFERROR(VLOOKUP(A23,[1]Tørstofindhold!A$2:B$25,2,FALSE),0)</f>
        <v>0</v>
      </c>
      <c r="W23">
        <f>IF(F23=År1,Q23,SUM(P23,Q23))*IFERROR(VLOOKUP(A23,[1]Tørstofindhold!A$2:B$25,2,FALSE),0)</f>
        <v>300763.57585499104</v>
      </c>
      <c r="X23">
        <f>K23*IFERROR(VLOOKUP(A23,[1]Tørstofindhold!A$2:B$25,2,FALSE),0)</f>
        <v>300763.57585499104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-2781.7823767953087</v>
      </c>
      <c r="AD23">
        <f>AC23*E23*10000*VLOOKUP(A23,[1]kcal!$A$2:$C$49,3,FALSE)/1000000000000*IFERROR(VLOOKUP(A23,'Kategorisering af kcal'!$A$2:$E$18,MATCH('Produktion &amp; forbrug'!F23,'Kategorisering af kcal'!$A$1:$E$1,0),FALSE),0)</f>
        <v>0</v>
      </c>
      <c r="AE23">
        <f>IF(C23&lt;&gt;"",AC23*(1-IF(A23&lt;&gt;"Græs",VLOOKUP(A23,'Kategorisering af kcal'!$A$2:$E$18,MATCH('Produktion &amp; forbrug'!F23,'Kategorisering af kcal'!$A$1:$E$1,0),FALSE),HLOOKUP(F23,Græsprotein!$C$2:$E$8,7))),'Produktion &amp; forbrug'!AC23)</f>
        <v>-2781.7823767953087</v>
      </c>
      <c r="AF23" s="94">
        <f t="shared" si="9"/>
        <v>0</v>
      </c>
      <c r="AG23">
        <f>IF(AC23&lt;0,AD23,G23*E23*10000*VLOOKUP(A23,[1]kcal!$A$2:$C$49,3,FALSE)/1000000000000*IFERROR(VLOOKUP(A23,'Kategorisering af kcal'!$A$2:$E$18,MATCH('Produktion &amp; forbrug'!F23,'Kategorisering af kcal'!$A$1:$E$1,0),FALSE),0))</f>
        <v>0</v>
      </c>
      <c r="AH23">
        <f>AE23*IFERROR(VLOOKUP(A23,[1]Tørstofindhold!A$2:B$25,2,FALSE),0)</f>
        <v>-1168.3485982540296</v>
      </c>
      <c r="AI23">
        <f>K23*IFERROR(VLOOKUP(A23,[1]Tørstofindhold!A$2:B$25,2,FALSE),0)</f>
        <v>300763.57585499104</v>
      </c>
    </row>
    <row r="24" spans="1:35" hidden="1" x14ac:dyDescent="0.25">
      <c r="A24" s="171" t="s">
        <v>56</v>
      </c>
      <c r="B24" s="171"/>
      <c r="C24" s="171" t="str">
        <f>IFERROR(VLOOKUP(A24,'Kategorisering af kcal'!$A$2:$B$18,2,FALSE),"")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P24*IFERROR(VLOOKUP(A24,[1]Tørstofindhold!A$2:B$25,2,FALSE),0)</f>
        <v>0</v>
      </c>
      <c r="W24">
        <f>IF(F24=År1,Q24,SUM(P24,Q24))*IFERROR(VLOOKUP(A24,[1]Tørstofindhold!A$2:B$25,2,FALSE),0)</f>
        <v>0</v>
      </c>
      <c r="X24">
        <f>K24*IFERROR(VLOOKUP(A24,[1]Tørstofindhold!A$2:B$25,2,FALSE),0)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AC24*E24*10000*VLOOKUP(A24,[1]kcal!$A$2:$C$49,3,FALSE)/1000000000000*IFERROR(VLOOKUP(A24,'Kategorisering af kcal'!$A$2:$E$18,MATCH('Produktion &amp; forbrug'!F24,'Kategorisering af kcal'!$A$1:$E$1,0),FALSE),0)</f>
        <v>0</v>
      </c>
      <c r="AE24">
        <f>IF(C24&lt;&gt;"",AC24*(1-IF(A24&lt;&gt;"Græs",VLOOKUP(A24,'Kategorisering af kcal'!$A$2:$E$18,MATCH('Produktion &amp; forbrug'!F24,'Kategorisering af kcal'!$A$1:$E$1,0),FALSE),HLOOKUP(F24,Græsprotein!$C$2:$E$8,7))),'Produktion &amp; forbrug'!AC24)</f>
        <v>912099.45136908058</v>
      </c>
      <c r="AF24" s="94">
        <f t="shared" si="9"/>
        <v>0</v>
      </c>
      <c r="AG24">
        <f>IF(AC24&lt;0,AD24,G24*E24*10000*VLOOKUP(A24,[1]kcal!$A$2:$C$49,3,FALSE)/1000000000000*IFERROR(VLOOKUP(A24,'Kategorisering af kcal'!$A$2:$E$18,MATCH('Produktion &amp; forbrug'!F24,'Kategorisering af kcal'!$A$1:$E$1,0),FALSE),0))</f>
        <v>0</v>
      </c>
      <c r="AH24">
        <f>AE24*IFERROR(VLOOKUP(A24,[1]Tørstofindhold!A$2:B$25,2,FALSE),0)</f>
        <v>0</v>
      </c>
      <c r="AI24">
        <f>K24*IFERROR(VLOOKUP(A24,[1]Tørstofindhold!A$2:B$25,2,FALSE),0)</f>
        <v>0</v>
      </c>
    </row>
    <row r="25" spans="1:35" hidden="1" x14ac:dyDescent="0.25">
      <c r="A25" s="171" t="s">
        <v>12</v>
      </c>
      <c r="B25" s="171"/>
      <c r="C25" s="171" t="str">
        <f>IFERROR(VLOOKUP(A25,'Kategorisering af kcal'!$A$2:$B$18,2,FALSE),"")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119523.03367046962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2143653.1237064754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P25*IFERROR(VLOOKUP(A25,[1]Tørstofindhold!A$2:B$25,2,FALSE),0)</f>
        <v>0</v>
      </c>
      <c r="W25">
        <f>IF(F25=År1,Q25,SUM(P25,Q25))*IFERROR(VLOOKUP(A25,[1]Tørstofindhold!A$2:B$25,2,FALSE),0)</f>
        <v>0</v>
      </c>
      <c r="X25">
        <f>K25*IFERROR(VLOOKUP(A25,[1]Tørstofindhold!A$2:B$25,2,FALSE),0)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AC25*E25*10000*VLOOKUP(A25,[1]kcal!$A$2:$C$49,3,FALSE)/1000000000000*IFERROR(VLOOKUP(A25,'Kategorisering af kcal'!$A$2:$E$18,MATCH('Produktion &amp; forbrug'!F25,'Kategorisering af kcal'!$A$1:$E$1,0),FALSE),0)</f>
        <v>1.765277402754017</v>
      </c>
      <c r="AE25">
        <f>IF(C25&lt;&gt;"",AC25*(1-IF(A25&lt;&gt;"Græs",VLOOKUP(A25,'Kategorisering af kcal'!$A$2:$E$18,MATCH('Produktion &amp; forbrug'!F25,'Kategorisering af kcal'!$A$1:$E$1,0),FALSE),HLOOKUP(F25,Græsprotein!$C$2:$E$8,7))),'Produktion &amp; forbrug'!AC25)</f>
        <v>0</v>
      </c>
      <c r="AF25" s="94">
        <f t="shared" si="9"/>
        <v>2263176.157376945</v>
      </c>
      <c r="AG25">
        <f>IF(AC25&lt;0,AD25,G25*E25*10000*VLOOKUP(A25,[1]kcal!$A$2:$C$49,3,FALSE)/1000000000000*IFERROR(VLOOKUP(A25,'Kategorisering af kcal'!$A$2:$E$18,MATCH('Produktion &amp; forbrug'!F25,'Kategorisering af kcal'!$A$1:$E$1,0),FALSE),0))</f>
        <v>1.765277402754017</v>
      </c>
      <c r="AH25">
        <f>AE25*IFERROR(VLOOKUP(A25,[1]Tørstofindhold!A$2:B$25,2,FALSE),0)</f>
        <v>0</v>
      </c>
      <c r="AI25">
        <f>K25*IFERROR(VLOOKUP(A25,[1]Tørstofindhold!A$2:B$25,2,FALSE),0)</f>
        <v>0</v>
      </c>
    </row>
    <row r="26" spans="1:35" hidden="1" x14ac:dyDescent="0.25">
      <c r="A26" s="171" t="s">
        <v>48</v>
      </c>
      <c r="B26" s="171" t="s">
        <v>226</v>
      </c>
      <c r="C26" s="171" t="str">
        <f>IFERROR(VLOOKUP(A26,'Kategorisering af kcal'!$A$2:$B$18,2,FALSE),"")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286329.90483694919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2843.3935258054057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2222075.7410944887</v>
      </c>
      <c r="P26" s="94">
        <f t="shared" si="4"/>
        <v>2222075.7410944887</v>
      </c>
      <c r="Q26" s="180">
        <f t="shared" si="5"/>
        <v>2843.3935258054057</v>
      </c>
      <c r="R26">
        <f>IFERROR(VLOOKUP(A26,[1]Energiindhold!$A$2:$C$11,3,FALSE),IFERROR(VLOOKUP(A26,[1]Biogasudbytte!$A$2:$B$18,2,FALSE)*[1]Energiindhold!$C$10,0))*P26</f>
        <v>7.6102983226448719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6"/>
        <v>0</v>
      </c>
      <c r="V26" s="169">
        <f>P26*IFERROR(VLOOKUP(A26,[1]Tørstofindhold!A$2:B$25,2,FALSE),0)</f>
        <v>688843.47973929148</v>
      </c>
      <c r="W26">
        <f>IF(F26=År1,Q26,SUM(P26,Q26))*IFERROR(VLOOKUP(A26,[1]Tørstofindhold!A$2:B$25,2,FALSE),0)</f>
        <v>881.45199299967578</v>
      </c>
      <c r="X26">
        <f>K26*IFERROR(VLOOKUP(A26,[1]Tørstofindhold!A$2:B$25,2,FALSE),0)</f>
        <v>881.45199299967578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2508405.6459314376</v>
      </c>
      <c r="AD26">
        <f>AC26*E26*10000*VLOOKUP(A26,[1]kcal!$A$2:$C$49,3,FALSE)/1000000000000*IFERROR(VLOOKUP(A26,'Kategorisering af kcal'!$A$2:$E$18,MATCH('Produktion &amp; forbrug'!F26,'Kategorisering af kcal'!$A$1:$E$1,0),FALSE),0)</f>
        <v>5.8298830821318548</v>
      </c>
      <c r="AE26">
        <f>IF(C26&lt;&gt;"",AC26*(1-IF(A26&lt;&gt;"Græs",VLOOKUP(A26,'Kategorisering af kcal'!$A$2:$E$18,MATCH('Produktion &amp; forbrug'!F26,'Kategorisering af kcal'!$A$1:$E$1,0),FALSE),HLOOKUP(F26,Græsprotein!$C$2:$E$8,7))),'Produktion &amp; forbrug'!AC26)</f>
        <v>0</v>
      </c>
      <c r="AF26" s="94">
        <f t="shared" si="9"/>
        <v>2508405.6459314376</v>
      </c>
      <c r="AG26">
        <f>IF(AC26&lt;0,AD26,G26*E26*10000*VLOOKUP(A26,[1]kcal!$A$2:$C$49,3,FALSE)/1000000000000*IFERROR(VLOOKUP(A26,'Kategorisering af kcal'!$A$2:$E$18,MATCH('Produktion &amp; forbrug'!F26,'Kategorisering af kcal'!$A$1:$E$1,0),FALSE),0))</f>
        <v>21.177752976718288</v>
      </c>
      <c r="AH26">
        <f>AE26*IFERROR(VLOOKUP(A26,[1]Tørstofindhold!A$2:B$25,2,FALSE),0)</f>
        <v>0</v>
      </c>
      <c r="AI26">
        <f>K26*IFERROR(VLOOKUP(A26,[1]Tørstofindhold!A$2:B$25,2,FALSE),0)</f>
        <v>881.45199299967578</v>
      </c>
    </row>
    <row r="27" spans="1:35" hidden="1" x14ac:dyDescent="0.25">
      <c r="A27" s="171" t="s">
        <v>115</v>
      </c>
      <c r="B27" s="171"/>
      <c r="C27" s="171" t="str">
        <f>IFERROR(VLOOKUP(A27,'Kategorisering af kcal'!$A$2:$B$18,2,FALSE),"")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P27*IFERROR(VLOOKUP(A27,[1]Tørstofindhold!A$2:B$25,2,FALSE),0)</f>
        <v>0</v>
      </c>
      <c r="W27">
        <f>IF(F27=År1,Q27,SUM(P27,Q27))*IFERROR(VLOOKUP(A27,[1]Tørstofindhold!A$2:B$25,2,FALSE),0)</f>
        <v>0</v>
      </c>
      <c r="X27">
        <f>K27*IFERROR(VLOOKUP(A27,[1]Tørstofindhold!A$2:B$25,2,FALSE),0)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0</v>
      </c>
      <c r="AD27">
        <f ca="1">AC27*E27*10000*VLOOKUP(A27,[1]kcal!$A$2:$C$49,3,FALSE)/1000000000000*IFERROR(VLOOKUP(A27,'Kategorisering af kcal'!$A$2:$E$18,MATCH('Produktion &amp; forbrug'!F27,'Kategorisering af kcal'!$A$1:$E$1,0),FALSE),0)</f>
        <v>0</v>
      </c>
      <c r="AE27">
        <f ca="1">IF(C27&lt;&gt;"",AC27*(1-IF(A27&lt;&gt;"Græs",VLOOKUP(A27,'Kategorisering af kcal'!$A$2:$E$18,MATCH('Produktion &amp; forbrug'!F27,'Kategorisering af kcal'!$A$1:$E$1,0),FALSE),HLOOKUP(F27,Græsprotein!$C$2:$E$8,7))),'Produktion &amp; forbrug'!AC27)</f>
        <v>0</v>
      </c>
      <c r="AF27" s="94">
        <f t="shared" ca="1" si="9"/>
        <v>0</v>
      </c>
      <c r="AG27">
        <f ca="1">IF(AC27&lt;0,AD27,G27*E27*10000*VLOOKUP(A27,[1]kcal!$A$2:$C$49,3,FALSE)/1000000000000*IFERROR(VLOOKUP(A27,'Kategorisering af kcal'!$A$2:$E$18,MATCH('Produktion &amp; forbrug'!F27,'Kategorisering af kcal'!$A$1:$E$1,0),FALSE),0))</f>
        <v>0</v>
      </c>
      <c r="AH27">
        <f ca="1">AE27*IFERROR(VLOOKUP(A27,[1]Tørstofindhold!A$2:B$25,2,FALSE),0)</f>
        <v>0</v>
      </c>
      <c r="AI27">
        <f>K27*IFERROR(VLOOKUP(A27,[1]Tørstofindhold!A$2:B$25,2,FALSE),0)</f>
        <v>0</v>
      </c>
    </row>
    <row r="28" spans="1:35" hidden="1" x14ac:dyDescent="0.25">
      <c r="A28" s="171" t="s">
        <v>136</v>
      </c>
      <c r="B28" s="171" t="s">
        <v>221</v>
      </c>
      <c r="C28" s="171" t="str">
        <f>IFERROR(VLOOKUP(A28,'Kategorisering af kcal'!$A$2:$B$18,2,FALSE),"")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4066864.6068164087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286645.05985025689</v>
      </c>
      <c r="P28" s="94">
        <f t="shared" si="4"/>
        <v>286645.05985025689</v>
      </c>
      <c r="Q28" s="180">
        <f t="shared" si="5"/>
        <v>4066864.6068164087</v>
      </c>
      <c r="R28">
        <f>IFERROR(VLOOKUP(A28,[1]Energiindhold!$A$2:$C$11,3,FALSE),IFERROR(VLOOKUP(A28,[1]Biogasudbytte!$A$2:$B$18,2,FALSE)*[1]Energiindhold!$C$10,0))*P28</f>
        <v>0.14509686284560155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6"/>
        <v>0</v>
      </c>
      <c r="V28" s="169">
        <f>P28*IFERROR(VLOOKUP(A28,[1]Tørstofindhold!A$2:B$25,2,FALSE),0)</f>
        <v>21785.024548619524</v>
      </c>
      <c r="W28">
        <f>IF(F28=År1,Q28,SUM(P28,Q28))*IFERROR(VLOOKUP(A28,[1]Tørstofindhold!A$2:B$25,2,FALSE),0)</f>
        <v>309081.71011804708</v>
      </c>
      <c r="X28">
        <f>K28*IFERROR(VLOOKUP(A28,[1]Tørstofindhold!A$2:B$25,2,FALSE),0)</f>
        <v>309081.71011804708</v>
      </c>
      <c r="Y28" s="170">
        <f t="shared" si="7"/>
        <v>0</v>
      </c>
      <c r="Z28">
        <f t="shared" si="0"/>
        <v>0</v>
      </c>
      <c r="AA28">
        <f t="shared" si="1"/>
        <v>1</v>
      </c>
      <c r="AC28" s="94">
        <f t="shared" si="8"/>
        <v>9983135.3931835908</v>
      </c>
      <c r="AD28">
        <f>AC28*E28*10000*VLOOKUP(A28,[1]kcal!$A$2:$C$49,3,FALSE)/1000000000000*IFERROR(VLOOKUP(A28,'Kategorisering af kcal'!$A$2:$E$18,MATCH('Produktion &amp; forbrug'!F28,'Kategorisering af kcal'!$A$1:$E$1,0),FALSE),0)</f>
        <v>0</v>
      </c>
      <c r="AE28">
        <f>IF(C28&lt;&gt;"",AC28*(1-IF(A28&lt;&gt;"Græs",VLOOKUP(A28,'Kategorisering af kcal'!$A$2:$E$18,MATCH('Produktion &amp; forbrug'!F28,'Kategorisering af kcal'!$A$1:$E$1,0),FALSE),HLOOKUP(F28,Græsprotein!$C$2:$E$8,7))),'Produktion &amp; forbrug'!AC28)</f>
        <v>9983135.3931835908</v>
      </c>
      <c r="AF28" s="94">
        <f t="shared" si="9"/>
        <v>0</v>
      </c>
      <c r="AG28">
        <f>IF(AC28&lt;0,AD28,G28*E28*10000*VLOOKUP(A28,[1]kcal!$A$2:$C$49,3,FALSE)/1000000000000*IFERROR(VLOOKUP(A28,'Kategorisering af kcal'!$A$2:$E$18,MATCH('Produktion &amp; forbrug'!F28,'Kategorisering af kcal'!$A$1:$E$1,0),FALSE),0))</f>
        <v>0</v>
      </c>
      <c r="AH28">
        <f>AE28*IFERROR(VLOOKUP(A28,[1]Tørstofindhold!A$2:B$25,2,FALSE),0)</f>
        <v>758718.28988195292</v>
      </c>
      <c r="AI28">
        <f>K28*IFERROR(VLOOKUP(A28,[1]Tørstofindhold!A$2:B$25,2,FALSE),0)</f>
        <v>309081.71011804708</v>
      </c>
    </row>
    <row r="29" spans="1:35" hidden="1" x14ac:dyDescent="0.25">
      <c r="A29" s="171" t="s">
        <v>108</v>
      </c>
      <c r="B29" s="171"/>
      <c r="C29" s="171" t="str">
        <f>IFERROR(VLOOKUP(A29,'Kategorisering af kcal'!$A$2:$B$18,2,FALSE),"")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P29*IFERROR(VLOOKUP(A29,[1]Tørstofindhold!A$2:B$25,2,FALSE),0)</f>
        <v>0</v>
      </c>
      <c r="W29">
        <f>IF(F29=År1,Q29,SUM(P29,Q29))*IFERROR(VLOOKUP(A29,[1]Tørstofindhold!A$2:B$25,2,FALSE),0)</f>
        <v>0</v>
      </c>
      <c r="X29">
        <f>K29*IFERROR(VLOOKUP(A29,[1]Tørstofindhold!A$2:B$25,2,FALSE),0)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AC29*E29*10000*VLOOKUP(A29,[1]kcal!$A$2:$C$49,3,FALSE)/1000000000000*IFERROR(VLOOKUP(A29,'Kategorisering af kcal'!$A$2:$E$18,MATCH('Produktion &amp; forbrug'!F29,'Kategorisering af kcal'!$A$1:$E$1,0),FALSE),0)</f>
        <v>0</v>
      </c>
      <c r="AE29">
        <f>IF(C29&lt;&gt;"",AC29*(1-IF(A29&lt;&gt;"Græs",VLOOKUP(A29,'Kategorisering af kcal'!$A$2:$E$18,MATCH('Produktion &amp; forbrug'!F29,'Kategorisering af kcal'!$A$1:$E$1,0),FALSE),HLOOKUP(F29,Græsprotein!$C$2:$E$8,7))),'Produktion &amp; forbrug'!AC29)</f>
        <v>51892.132620096207</v>
      </c>
      <c r="AF29" s="94">
        <f t="shared" si="9"/>
        <v>0</v>
      </c>
      <c r="AG29">
        <f>IF(AC29&lt;0,AD29,G29*E29*10000*VLOOKUP(A29,[1]kcal!$A$2:$C$49,3,FALSE)/1000000000000*IFERROR(VLOOKUP(A29,'Kategorisering af kcal'!$A$2:$E$18,MATCH('Produktion &amp; forbrug'!F29,'Kategorisering af kcal'!$A$1:$E$1,0),FALSE),0))</f>
        <v>0</v>
      </c>
      <c r="AH29">
        <f>AE29*IFERROR(VLOOKUP(A29,[1]Tørstofindhold!A$2:B$25,2,FALSE),0)</f>
        <v>0</v>
      </c>
      <c r="AI29">
        <f>K29*IFERROR(VLOOKUP(A29,[1]Tørstofindhold!A$2:B$25,2,FALSE),0)</f>
        <v>0</v>
      </c>
    </row>
    <row r="30" spans="1:35" x14ac:dyDescent="0.25">
      <c r="A30" t="s">
        <v>53</v>
      </c>
      <c r="B30" s="171" t="s">
        <v>417</v>
      </c>
      <c r="C30" s="171" t="str">
        <f>IFERROR(VLOOKUP(A30,'Kategorisering af kcal'!$A$2:$B$18,2,FALSE),"")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314874.94627501385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1289639.1357645364</v>
      </c>
      <c r="P30" s="94">
        <f t="shared" si="4"/>
        <v>1289639.1357645364</v>
      </c>
      <c r="Q30" s="180">
        <f t="shared" si="5"/>
        <v>314874.94627501385</v>
      </c>
      <c r="R30">
        <f>IFERROR(VLOOKUP(A30,[1]Energiindhold!$A$2:$C$11,3,FALSE),IFERROR(VLOOKUP(A30,[1]Biogasudbytte!$A$2:$B$18,2,FALSE)*[1]Energiindhold!$C$10,0))*P30</f>
        <v>4.6298044973946864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6"/>
        <v>0</v>
      </c>
      <c r="V30" s="169">
        <f>P30*IFERROR(VLOOKUP(A30,[1]Tørstofindhold!A$2:B$25,2,FALSE),0)</f>
        <v>386891.7407293609</v>
      </c>
      <c r="W30">
        <f>IF(F30=År1,Q30,SUM(P30,Q30))*IFERROR(VLOOKUP(A30,[1]Tørstofindhold!A$2:B$25,2,FALSE),0)</f>
        <v>94462.483882504152</v>
      </c>
      <c r="X30">
        <f>K30*IFERROR(VLOOKUP(A30,[1]Tørstofindhold!A$2:B$25,2,FALSE),0)</f>
        <v>94462.483882504152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>G30-SUMPRODUCT($H$2:$N$2,H30:N30)</f>
        <v>1289639.1357645364</v>
      </c>
      <c r="AD30">
        <f>AC30*E30*10000*VLOOKUP(A30,[1]kcal!$A$2:$C$49,3,FALSE)/1000000000000*IFERROR(VLOOKUP(A30,'Kategorisering af kcal'!$A$2:$E$18,MATCH('Produktion &amp; forbrug'!F30,'Kategorisering af kcal'!$A$1:$E$1,0),FALSE),0)</f>
        <v>1.1735716135457284</v>
      </c>
      <c r="AE30">
        <f>IF(C30&lt;&gt;"",AC30*(1-IF(A30&lt;&gt;"Græs",VLOOKUP(A30,'Kategorisering af kcal'!$A$2:$E$18,MATCH('Produktion &amp; forbrug'!F30,'Kategorisering af kcal'!$A$1:$E$1,0),FALSE),HLOOKUP(F30,Græsprotein!$C$2:$E$8,7))),'Produktion &amp; forbrug'!AC30)</f>
        <v>0</v>
      </c>
      <c r="AF30" s="94">
        <f t="shared" si="9"/>
        <v>1289639.1357645364</v>
      </c>
      <c r="AG30">
        <f>IF(AC30&lt;0,AD30,G30*E30*10000*VLOOKUP(A30,[1]kcal!$A$2:$C$49,3,FALSE)/1000000000000*IFERROR(VLOOKUP(A30,'Kategorisering af kcal'!$A$2:$E$18,MATCH('Produktion &amp; forbrug'!F30,'Kategorisering af kcal'!$A$1:$E$1,0),FALSE),0))</f>
        <v>7.2398882279531094</v>
      </c>
      <c r="AH30">
        <f>AE30*IFERROR(VLOOKUP(A30,[1]Tørstofindhold!A$2:B$25,2,FALSE),0)</f>
        <v>0</v>
      </c>
      <c r="AI30">
        <f>K30*IFERROR(VLOOKUP(A30,[1]Tørstofindhold!A$2:B$25,2,FALSE),0)</f>
        <v>94462.483882504152</v>
      </c>
    </row>
    <row r="31" spans="1:35" hidden="1" x14ac:dyDescent="0.25">
      <c r="A31" s="171" t="s">
        <v>116</v>
      </c>
      <c r="B31" s="171"/>
      <c r="C31" s="171" t="str">
        <f>IFERROR(VLOOKUP(A31,'Kategorisering af kcal'!$A$2:$B$18,2,FALSE),"")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457077.09579476295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2926551.1042052372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P31*IFERROR(VLOOKUP(A31,[1]Tørstofindhold!A$2:B$25,2,FALSE),0)</f>
        <v>0</v>
      </c>
      <c r="W31">
        <f>IF(F31=År1,Q31,SUM(P31,Q31))*IFERROR(VLOOKUP(A31,[1]Tørstofindhold!A$2:B$25,2,FALSE),0)</f>
        <v>0</v>
      </c>
      <c r="X31">
        <f>K31*IFERROR(VLOOKUP(A31,[1]Tørstofindhold!A$2:B$25,2,FALSE),0)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AC31*E31*10000*VLOOKUP(A31,[1]kcal!$A$2:$C$49,3,FALSE)/1000000000000*IFERROR(VLOOKUP(A31,'Kategorisering af kcal'!$A$2:$E$18,MATCH('Produktion &amp; forbrug'!F31,'Kategorisering af kcal'!$A$1:$E$1,0),FALSE),0)</f>
        <v>2.1316857659999999</v>
      </c>
      <c r="AE31">
        <f>IF(C31&lt;&gt;"",AC31*(1-IF(A31&lt;&gt;"Græs",VLOOKUP(A31,'Kategorisering af kcal'!$A$2:$E$18,MATCH('Produktion &amp; forbrug'!F31,'Kategorisering af kcal'!$A$1:$E$1,0),FALSE),HLOOKUP(F31,Græsprotein!$C$2:$E$8,7))),'Produktion &amp; forbrug'!AC31)</f>
        <v>0</v>
      </c>
      <c r="AF31" s="94">
        <f t="shared" si="9"/>
        <v>3383628.2</v>
      </c>
      <c r="AG31">
        <f>IF(AC31&lt;0,AD31,G31*E31*10000*VLOOKUP(A31,[1]kcal!$A$2:$C$49,3,FALSE)/1000000000000*IFERROR(VLOOKUP(A31,'Kategorisering af kcal'!$A$2:$E$18,MATCH('Produktion &amp; forbrug'!F31,'Kategorisering af kcal'!$A$1:$E$1,0),FALSE),0))</f>
        <v>2.1316857659999999</v>
      </c>
      <c r="AH31">
        <f>AE31*IFERROR(VLOOKUP(A31,[1]Tørstofindhold!A$2:B$25,2,FALSE),0)</f>
        <v>0</v>
      </c>
      <c r="AI31">
        <f>K31*IFERROR(VLOOKUP(A31,[1]Tørstofindhold!A$2:B$25,2,FALSE),0)</f>
        <v>0</v>
      </c>
    </row>
    <row r="32" spans="1:35" hidden="1" x14ac:dyDescent="0.25">
      <c r="A32" s="171" t="s">
        <v>106</v>
      </c>
      <c r="B32" s="171" t="s">
        <v>225</v>
      </c>
      <c r="C32" s="171" t="str">
        <f>IFERROR(VLOOKUP(A32,'Kategorisering af kcal'!$A$2:$B$18,2,FALSE),"")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P32*IFERROR(VLOOKUP(A32,[1]Tørstofindhold!A$2:B$25,2,FALSE),0)</f>
        <v>132.01499999999999</v>
      </c>
      <c r="W32">
        <f>IF(F32=År1,Q32,SUM(P32,Q32))*IFERROR(VLOOKUP(A32,[1]Tørstofindhold!A$2:B$25,2,FALSE),0)</f>
        <v>0</v>
      </c>
      <c r="X32">
        <f>K32*IFERROR(VLOOKUP(A32,[1]Tørstofindhold!A$2:B$25,2,FALSE),0)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AC32*E32*10000*VLOOKUP(A32,[1]kcal!$A$2:$C$49,3,FALSE)/1000000000000*IFERROR(VLOOKUP(A32,'Kategorisering af kcal'!$A$2:$E$18,MATCH('Produktion &amp; forbrug'!F32,'Kategorisering af kcal'!$A$1:$E$1,0),FALSE),0)</f>
        <v>7.3048299999999998E-4</v>
      </c>
      <c r="AE32">
        <f>IF(C32&lt;&gt;"",AC32*(1-IF(A32&lt;&gt;"Græs",VLOOKUP(A32,'Kategorisering af kcal'!$A$2:$E$18,MATCH('Produktion &amp; forbrug'!F32,'Kategorisering af kcal'!$A$1:$E$1,0),FALSE),HLOOKUP(F32,Græsprotein!$C$2:$E$8,7))),'Produktion &amp; forbrug'!AC32)</f>
        <v>0</v>
      </c>
      <c r="AF32" s="94">
        <f t="shared" si="9"/>
        <v>880.09999999999991</v>
      </c>
      <c r="AG32">
        <f>IF(AC32&lt;0,AD32,G32*E32*10000*VLOOKUP(A32,[1]kcal!$A$2:$C$49,3,FALSE)/1000000000000*IFERROR(VLOOKUP(A32,'Kategorisering af kcal'!$A$2:$E$18,MATCH('Produktion &amp; forbrug'!F32,'Kategorisering af kcal'!$A$1:$E$1,0),FALSE),0))</f>
        <v>7.3048299999999998E-4</v>
      </c>
      <c r="AH32">
        <f>AE32*IFERROR(VLOOKUP(A32,[1]Tørstofindhold!A$2:B$25,2,FALSE),0)</f>
        <v>0</v>
      </c>
      <c r="AI32">
        <f>K32*IFERROR(VLOOKUP(A32,[1]Tørstofindhold!A$2:B$25,2,FALSE),0)</f>
        <v>0</v>
      </c>
    </row>
    <row r="33" spans="1:35" hidden="1" x14ac:dyDescent="0.25">
      <c r="A33" s="171" t="s">
        <v>14</v>
      </c>
      <c r="B33" s="171"/>
      <c r="C33" s="171" t="str">
        <f>IFERROR(VLOOKUP(A33,'Kategorisering af kcal'!$A$2:$B$18,2,FALSE),"")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58080.313724265572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57591.605467653622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P33*IFERROR(VLOOKUP(A33,[1]Tørstofindhold!A$2:B$25,2,FALSE),0)</f>
        <v>0</v>
      </c>
      <c r="W33">
        <f>IF(F33=År1,Q33,SUM(P33,Q33))*IFERROR(VLOOKUP(A33,[1]Tørstofindhold!A$2:B$25,2,FALSE),0)</f>
        <v>0</v>
      </c>
      <c r="X33">
        <f>K33*IFERROR(VLOOKUP(A33,[1]Tørstofindhold!A$2:B$25,2,FALSE),0)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AC33*E33*10000*VLOOKUP(A33,[1]kcal!$A$2:$C$49,3,FALSE)/1000000000000*IFERROR(VLOOKUP(A33,'Kategorisering af kcal'!$A$2:$E$18,MATCH('Produktion &amp; forbrug'!F33,'Kategorisering af kcal'!$A$1:$E$1,0),FALSE),0)</f>
        <v>0.22556024242424241</v>
      </c>
      <c r="AE33">
        <f>IF(C33&lt;&gt;"",AC33*(1-IF(A33&lt;&gt;"Græs",VLOOKUP(A33,'Kategorisering af kcal'!$A$2:$E$18,MATCH('Produktion &amp; forbrug'!F33,'Kategorisering af kcal'!$A$1:$E$1,0),FALSE),HLOOKUP(F33,Græsprotein!$C$2:$E$8,7))),'Produktion &amp; forbrug'!AC33)</f>
        <v>0</v>
      </c>
      <c r="AF33" s="94">
        <f t="shared" si="9"/>
        <v>115671.91919191919</v>
      </c>
      <c r="AG33">
        <f>IF(AC33&lt;0,AD33,G33*E33*10000*VLOOKUP(A33,[1]kcal!$A$2:$C$49,3,FALSE)/1000000000000*IFERROR(VLOOKUP(A33,'Kategorisering af kcal'!$A$2:$E$18,MATCH('Produktion &amp; forbrug'!F33,'Kategorisering af kcal'!$A$1:$E$1,0),FALSE),0))</f>
        <v>0.22556024242424241</v>
      </c>
      <c r="AH33">
        <f>AE33*IFERROR(VLOOKUP(A33,[1]Tørstofindhold!A$2:B$25,2,FALSE),0)</f>
        <v>0</v>
      </c>
      <c r="AI33">
        <f>K33*IFERROR(VLOOKUP(A33,[1]Tørstofindhold!A$2:B$25,2,FALSE),0)</f>
        <v>0</v>
      </c>
    </row>
    <row r="34" spans="1:35" hidden="1" x14ac:dyDescent="0.25">
      <c r="A34" s="171" t="s">
        <v>55</v>
      </c>
      <c r="B34" s="171"/>
      <c r="C34" s="171" t="str">
        <f>IFERROR(VLOOKUP(A34,'Kategorisering af kcal'!$A$2:$B$18,2,FALSE),"")</f>
        <v/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P34*IFERROR(VLOOKUP(A34,[1]Tørstofindhold!A$2:B$25,2,FALSE),0)</f>
        <v>0</v>
      </c>
      <c r="W34">
        <f>IF(F34=År1,Q34,SUM(P34,Q34))*IFERROR(VLOOKUP(A34,[1]Tørstofindhold!A$2:B$25,2,FALSE),0)</f>
        <v>0</v>
      </c>
      <c r="X34">
        <f>K34*IFERROR(VLOOKUP(A34,[1]Tørstofindhold!A$2:B$25,2,FALSE),0)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AC34*E34*10000*VLOOKUP(A34,[1]kcal!$A$2:$C$49,3,FALSE)/1000000000000*IFERROR(VLOOKUP(A34,'Kategorisering af kcal'!$A$2:$E$18,MATCH('Produktion &amp; forbrug'!F34,'Kategorisering af kcal'!$A$1:$E$1,0),FALSE),0)</f>
        <v>0</v>
      </c>
      <c r="AE34">
        <f>IF(C34&lt;&gt;"",AC34*(1-IF(A34&lt;&gt;"Græs",VLOOKUP(A34,'Kategorisering af kcal'!$A$2:$E$18,MATCH('Produktion &amp; forbrug'!F34,'Kategorisering af kcal'!$A$1:$E$1,0),FALSE),HLOOKUP(F34,Græsprotein!$C$2:$E$8,7))),'Produktion &amp; forbrug'!AC34)</f>
        <v>2006067.2488276002</v>
      </c>
      <c r="AF34" s="94">
        <f t="shared" si="9"/>
        <v>0</v>
      </c>
      <c r="AG34">
        <f>IF(AC34&lt;0,AD34,G34*E34*10000*VLOOKUP(A34,[1]kcal!$A$2:$C$49,3,FALSE)/1000000000000*IFERROR(VLOOKUP(A34,'Kategorisering af kcal'!$A$2:$E$18,MATCH('Produktion &amp; forbrug'!F34,'Kategorisering af kcal'!$A$1:$E$1,0),FALSE),0))</f>
        <v>0</v>
      </c>
      <c r="AH34">
        <f>AE34*IFERROR(VLOOKUP(A34,[1]Tørstofindhold!A$2:B$25,2,FALSE),0)</f>
        <v>0</v>
      </c>
      <c r="AI34">
        <f>K34*IFERROR(VLOOKUP(A34,[1]Tørstofindhold!A$2:B$25,2,FALSE),0)</f>
        <v>0</v>
      </c>
    </row>
    <row r="35" spans="1:35" hidden="1" x14ac:dyDescent="0.25">
      <c r="A35" s="171" t="s">
        <v>95</v>
      </c>
      <c r="B35" s="171" t="s">
        <v>224</v>
      </c>
      <c r="C35" s="171" t="str">
        <f>IFERROR(VLOOKUP(A35,'Kategorisering af kcal'!$A$2:$B$18,2,FALSE),"")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P35*IFERROR(VLOOKUP(A35,[1]Tørstofindhold!A$2:B$25,2,FALSE),0)</f>
        <v>0</v>
      </c>
      <c r="W35">
        <f>IF(F35=År1,Q35,SUM(P35,Q35))*IFERROR(VLOOKUP(A35,[1]Tørstofindhold!A$2:B$25,2,FALSE),0)</f>
        <v>87094.862550931924</v>
      </c>
      <c r="X35">
        <f>K35*IFERROR(VLOOKUP(A35,[1]Tørstofindhold!A$2:B$25,2,FALSE),0)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AC35*E35*10000*VLOOKUP(A35,[1]kcal!$A$2:$C$49,3,FALSE)/1000000000000*IFERROR(VLOOKUP(A35,'Kategorisering af kcal'!$A$2:$E$18,MATCH('Produktion &amp; forbrug'!F35,'Kategorisering af kcal'!$A$1:$E$1,0),FALSE),0)</f>
        <v>0</v>
      </c>
      <c r="AE35">
        <f>IF(C35&lt;&gt;"",AC35*(1-IF(A35&lt;&gt;"Græs",VLOOKUP(A35,'Kategorisering af kcal'!$A$2:$E$18,MATCH('Produktion &amp; forbrug'!F35,'Kategorisering af kcal'!$A$1:$E$1,0),FALSE),HLOOKUP(F35,Græsprotein!$C$2:$E$8,7))),'Produktion &amp; forbrug'!AC35)</f>
        <v>209867.13867694439</v>
      </c>
      <c r="AF35" s="94">
        <f t="shared" si="9"/>
        <v>0</v>
      </c>
      <c r="AG35">
        <f>IF(AC35&lt;0,AD35,G35*E35*10000*VLOOKUP(A35,[1]kcal!$A$2:$C$49,3,FALSE)/1000000000000*IFERROR(VLOOKUP(A35,'Kategorisering af kcal'!$A$2:$E$18,MATCH('Produktion &amp; forbrug'!F35,'Kategorisering af kcal'!$A$1:$E$1,0),FALSE),0))</f>
        <v>0</v>
      </c>
      <c r="AH35">
        <f>AE35*IFERROR(VLOOKUP(A35,[1]Tørstofindhold!A$2:B$25,2,FALSE),0)</f>
        <v>87094.862550931924</v>
      </c>
      <c r="AI35">
        <f>K35*IFERROR(VLOOKUP(A35,[1]Tørstofindhold!A$2:B$25,2,FALSE),0)</f>
        <v>0</v>
      </c>
    </row>
    <row r="36" spans="1:35" hidden="1" x14ac:dyDescent="0.25">
      <c r="A36" s="171" t="s">
        <v>305</v>
      </c>
      <c r="B36" s="171" t="s">
        <v>311</v>
      </c>
      <c r="C36" s="171" t="str">
        <f>IFERROR(VLOOKUP(A36,'Kategorisering af kcal'!$A$2:$B$18,2,FALSE),"")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P36*IFERROR(VLOOKUP(A36,[1]Tørstofindhold!A$2:B$25,2,FALSE),0)</f>
        <v>0</v>
      </c>
      <c r="W36">
        <f>IF(F36=År1,Q36,SUM(P36,Q36))*IFERROR(VLOOKUP(A36,[1]Tørstofindhold!A$2:B$25,2,FALSE),0)</f>
        <v>0</v>
      </c>
      <c r="X36">
        <f>K36*IFERROR(VLOOKUP(A36,[1]Tørstofindhold!A$2:B$25,2,FALSE),0)</f>
        <v>0</v>
      </c>
      <c r="Y36" s="170">
        <f t="shared" si="7"/>
        <v>0</v>
      </c>
      <c r="Z36">
        <f t="shared" ref="Z36:Z67" si="10">IF(SUMIFS($O$4:$O$147,$A$4:$A$147,A36,$F$4:$F$147,F36)&lt;0,1,0)</f>
        <v>0</v>
      </c>
      <c r="AA36">
        <f t="shared" ref="AA36:AA67" si="11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AC36*E36*10000*VLOOKUP(A36,[1]kcal!$A$2:$C$49,3,FALSE)/1000000000000*IFERROR(VLOOKUP(A36,'Kategorisering af kcal'!$A$2:$E$18,MATCH('Produktion &amp; forbrug'!F36,'Kategorisering af kcal'!$A$1:$E$1,0),FALSE),0)</f>
        <v>0</v>
      </c>
      <c r="AE36">
        <f>IF(C36&lt;&gt;"",AC36*(1-IF(A36&lt;&gt;"Græs",VLOOKUP(A36,'Kategorisering af kcal'!$A$2:$E$18,MATCH('Produktion &amp; forbrug'!F36,'Kategorisering af kcal'!$A$1:$E$1,0),FALSE),HLOOKUP(F36,Græsprotein!$C$2:$E$8,7))),'Produktion &amp; forbrug'!AC36)</f>
        <v>0</v>
      </c>
      <c r="AF36" s="94">
        <f t="shared" si="9"/>
        <v>0</v>
      </c>
      <c r="AG36">
        <f>IF(AC36&lt;0,AD36,G36*E36*10000*VLOOKUP(A36,[1]kcal!$A$2:$C$49,3,FALSE)/1000000000000*IFERROR(VLOOKUP(A36,'Kategorisering af kcal'!$A$2:$E$18,MATCH('Produktion &amp; forbrug'!F36,'Kategorisering af kcal'!$A$1:$E$1,0),FALSE),0))</f>
        <v>0</v>
      </c>
      <c r="AH36">
        <f>AE36*IFERROR(VLOOKUP(A36,[1]Tørstofindhold!A$2:B$25,2,FALSE),0)</f>
        <v>0</v>
      </c>
      <c r="AI36">
        <f>K36*IFERROR(VLOOKUP(A36,[1]Tørstofindhold!A$2:B$25,2,FALSE),0)</f>
        <v>0</v>
      </c>
    </row>
    <row r="37" spans="1:35" hidden="1" x14ac:dyDescent="0.25">
      <c r="A37" s="171" t="s">
        <v>306</v>
      </c>
      <c r="B37" s="171" t="s">
        <v>311</v>
      </c>
      <c r="C37" s="171" t="str">
        <f>IFERROR(VLOOKUP(A37,'Kategorisering af kcal'!$A$2:$B$18,2,FALSE),"")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P37*IFERROR(VLOOKUP(A37,[1]Tørstofindhold!A$2:B$25,2,FALSE),0)</f>
        <v>0</v>
      </c>
      <c r="W37">
        <f>IF(F37=År1,Q37,SUM(P37,Q37))*IFERROR(VLOOKUP(A37,[1]Tørstofindhold!A$2:B$25,2,FALSE),0)</f>
        <v>0</v>
      </c>
      <c r="X37">
        <f>K37*IFERROR(VLOOKUP(A37,[1]Tørstofindhold!A$2:B$25,2,FALSE),0)</f>
        <v>0</v>
      </c>
      <c r="Y37" s="170">
        <f t="shared" si="7"/>
        <v>0</v>
      </c>
      <c r="Z37">
        <f t="shared" si="10"/>
        <v>0</v>
      </c>
      <c r="AA37">
        <f t="shared" si="11"/>
        <v>0</v>
      </c>
      <c r="AC37" s="94">
        <f t="shared" si="8"/>
        <v>0</v>
      </c>
      <c r="AD37">
        <f>AC37*E37*10000*VLOOKUP(A37,[1]kcal!$A$2:$C$49,3,FALSE)/1000000000000*IFERROR(VLOOKUP(A37,'Kategorisering af kcal'!$A$2:$E$18,MATCH('Produktion &amp; forbrug'!F37,'Kategorisering af kcal'!$A$1:$E$1,0),FALSE),0)</f>
        <v>0</v>
      </c>
      <c r="AE37">
        <f>IF(C37&lt;&gt;"",AC37*(1-IF(A37&lt;&gt;"Græs",VLOOKUP(A37,'Kategorisering af kcal'!$A$2:$E$18,MATCH('Produktion &amp; forbrug'!F37,'Kategorisering af kcal'!$A$1:$E$1,0),FALSE),HLOOKUP(F37,Græsprotein!$C$2:$E$8,7))),'Produktion &amp; forbrug'!AC37)</f>
        <v>0</v>
      </c>
      <c r="AF37" s="94">
        <f t="shared" si="9"/>
        <v>0</v>
      </c>
      <c r="AG37">
        <f>IF(AC37&lt;0,AD37,G37*E37*10000*VLOOKUP(A37,[1]kcal!$A$2:$C$49,3,FALSE)/1000000000000*IFERROR(VLOOKUP(A37,'Kategorisering af kcal'!$A$2:$E$18,MATCH('Produktion &amp; forbrug'!F37,'Kategorisering af kcal'!$A$1:$E$1,0),FALSE),0))</f>
        <v>0</v>
      </c>
      <c r="AH37">
        <f>AE37*IFERROR(VLOOKUP(A37,[1]Tørstofindhold!A$2:B$25,2,FALSE),0)</f>
        <v>0</v>
      </c>
      <c r="AI37">
        <f>K37*IFERROR(VLOOKUP(A37,[1]Tørstofindhold!A$2:B$25,2,FALSE),0)</f>
        <v>0</v>
      </c>
    </row>
    <row r="38" spans="1:35" hidden="1" x14ac:dyDescent="0.25">
      <c r="A38" s="171" t="s">
        <v>117</v>
      </c>
      <c r="B38" s="171"/>
      <c r="C38" s="171" t="str">
        <f>IFERROR(VLOOKUP(A38,'Kategorisering af kcal'!$A$2:$B$18,2,FALSE),"")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P38*IFERROR(VLOOKUP(A38,[1]Tørstofindhold!A$2:B$25,2,FALSE),0)</f>
        <v>0</v>
      </c>
      <c r="W38">
        <f>IF(F38=År1,Q38,SUM(P38,Q38))*IFERROR(VLOOKUP(A38,[1]Tørstofindhold!A$2:B$25,2,FALSE),0)</f>
        <v>0</v>
      </c>
      <c r="X38">
        <f>K38*IFERROR(VLOOKUP(A38,[1]Tørstofindhold!A$2:B$25,2,FALSE),0)</f>
        <v>0</v>
      </c>
      <c r="Y38" s="170">
        <f t="shared" si="7"/>
        <v>0</v>
      </c>
      <c r="Z38">
        <f t="shared" si="10"/>
        <v>0</v>
      </c>
      <c r="AA38">
        <f t="shared" si="11"/>
        <v>1</v>
      </c>
      <c r="AC38" s="94">
        <f t="shared" si="8"/>
        <v>5269000</v>
      </c>
      <c r="AD38">
        <f>AC38*E38*10000*VLOOKUP(A38,[1]kcal!$A$2:$C$49,3,FALSE)/1000000000000*IFERROR(VLOOKUP(A38,'Kategorisering af kcal'!$A$2:$E$18,MATCH('Produktion &amp; forbrug'!F38,'Kategorisering af kcal'!$A$1:$E$1,0),FALSE),0)</f>
        <v>0</v>
      </c>
      <c r="AE38">
        <f>IF(C38&lt;&gt;"",AC38*(1-IF(A38&lt;&gt;"Græs",VLOOKUP(A38,'Kategorisering af kcal'!$A$2:$E$18,MATCH('Produktion &amp; forbrug'!F38,'Kategorisering af kcal'!$A$1:$E$1,0),FALSE),HLOOKUP(F38,Græsprotein!$C$2:$E$8,7))),'Produktion &amp; forbrug'!AC38)</f>
        <v>5269000</v>
      </c>
      <c r="AF38" s="94">
        <f t="shared" si="9"/>
        <v>0</v>
      </c>
      <c r="AG38">
        <f>IF(AC38&lt;0,AD38,G38*E38*10000*VLOOKUP(A38,[1]kcal!$A$2:$C$49,3,FALSE)/1000000000000*IFERROR(VLOOKUP(A38,'Kategorisering af kcal'!$A$2:$E$18,MATCH('Produktion &amp; forbrug'!F38,'Kategorisering af kcal'!$A$1:$E$1,0),FALSE),0))</f>
        <v>0</v>
      </c>
      <c r="AH38">
        <f>AE38*IFERROR(VLOOKUP(A38,[1]Tørstofindhold!A$2:B$25,2,FALSE),0)</f>
        <v>0</v>
      </c>
      <c r="AI38">
        <f>K38*IFERROR(VLOOKUP(A38,[1]Tørstofindhold!A$2:B$25,2,FALSE),0)</f>
        <v>0</v>
      </c>
    </row>
    <row r="39" spans="1:35" hidden="1" x14ac:dyDescent="0.25">
      <c r="A39" t="s">
        <v>50</v>
      </c>
      <c r="B39" s="171"/>
      <c r="C39" s="171" t="str">
        <f>IFERROR(VLOOKUP(A39,'Kategorisering af kcal'!$A$2:$B$18,2,FALSE),"")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P39*IFERROR(VLOOKUP(A39,[1]Tørstofindhold!A$2:B$25,2,FALSE),0)</f>
        <v>0</v>
      </c>
      <c r="W39">
        <f>IF(F39=År1,Q39,SUM(P39,Q39))*IFERROR(VLOOKUP(A39,[1]Tørstofindhold!A$2:B$25,2,FALSE),0)</f>
        <v>0</v>
      </c>
      <c r="X39">
        <f>K39*IFERROR(VLOOKUP(A39,[1]Tørstofindhold!A$2:B$25,2,FALSE),0)</f>
        <v>0</v>
      </c>
      <c r="Y39" s="170">
        <f t="shared" si="7"/>
        <v>0</v>
      </c>
      <c r="Z39">
        <f t="shared" si="10"/>
        <v>0</v>
      </c>
      <c r="AA39">
        <f t="shared" si="11"/>
        <v>0</v>
      </c>
      <c r="AC39" s="94">
        <f t="shared" si="8"/>
        <v>0</v>
      </c>
      <c r="AD39">
        <f>AC39*E39*10000*VLOOKUP(A39,[1]kcal!$A$2:$C$49,3,FALSE)/1000000000000*IFERROR(VLOOKUP(A39,'Kategorisering af kcal'!$A$2:$E$18,MATCH('Produktion &amp; forbrug'!F39,'Kategorisering af kcal'!$A$1:$E$1,0),FALSE),0)</f>
        <v>0</v>
      </c>
      <c r="AE39">
        <f>IF(C39&lt;&gt;"",AC39*(1-IF(A39&lt;&gt;"Græs",VLOOKUP(A39,'Kategorisering af kcal'!$A$2:$E$18,MATCH('Produktion &amp; forbrug'!F39,'Kategorisering af kcal'!$A$1:$E$1,0),FALSE),HLOOKUP(F39,Græsprotein!$C$2:$E$8,7))),'Produktion &amp; forbrug'!AC39)</f>
        <v>0</v>
      </c>
      <c r="AF39" s="94">
        <f t="shared" si="9"/>
        <v>0</v>
      </c>
      <c r="AG39">
        <f>IF(AC39&lt;0,AD39,G39*E39*10000*VLOOKUP(A39,[1]kcal!$A$2:$C$49,3,FALSE)/1000000000000*IFERROR(VLOOKUP(A39,'Kategorisering af kcal'!$A$2:$E$18,MATCH('Produktion &amp; forbrug'!F39,'Kategorisering af kcal'!$A$1:$E$1,0),FALSE),0))</f>
        <v>0</v>
      </c>
      <c r="AH39">
        <f>AE39*IFERROR(VLOOKUP(A39,[1]Tørstofindhold!A$2:B$25,2,FALSE),0)</f>
        <v>0</v>
      </c>
      <c r="AI39">
        <f>K39*IFERROR(VLOOKUP(A39,[1]Tørstofindhold!A$2:B$25,2,FALSE),0)</f>
        <v>0</v>
      </c>
    </row>
    <row r="40" spans="1:35" hidden="1" x14ac:dyDescent="0.25">
      <c r="A40" t="s">
        <v>237</v>
      </c>
      <c r="B40" s="171"/>
      <c r="C40" s="171" t="str">
        <f>IFERROR(VLOOKUP(A40,'Kategorisering af kcal'!$A$2:$B$18,2,FALSE),"")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P40*IFERROR(VLOOKUP(A40,[1]Tørstofindhold!A$2:B$25,2,FALSE),0)</f>
        <v>0</v>
      </c>
      <c r="W40">
        <f>IF(F40=År1,Q40,SUM(P40,Q40))*IFERROR(VLOOKUP(A40,[1]Tørstofindhold!A$2:B$25,2,FALSE),0)</f>
        <v>0</v>
      </c>
      <c r="X40">
        <f>K40*IFERROR(VLOOKUP(A40,[1]Tørstofindhold!A$2:B$25,2,FALSE),0)</f>
        <v>0</v>
      </c>
      <c r="Y40" s="170">
        <f t="shared" si="7"/>
        <v>0</v>
      </c>
      <c r="Z40">
        <f t="shared" si="10"/>
        <v>0</v>
      </c>
      <c r="AA40">
        <f t="shared" si="11"/>
        <v>1</v>
      </c>
      <c r="AC40" s="94">
        <f t="shared" si="8"/>
        <v>98784.738662362768</v>
      </c>
      <c r="AD40">
        <f>AC40*E40*10000*VLOOKUP(A40,[1]kcal!$A$2:$C$49,3,FALSE)/1000000000000*IFERROR(VLOOKUP(A40,'Kategorisering af kcal'!$A$2:$E$18,MATCH('Produktion &amp; forbrug'!F40,'Kategorisering af kcal'!$A$1:$E$1,0),FALSE),0)</f>
        <v>0</v>
      </c>
      <c r="AE40">
        <f>IF(C40&lt;&gt;"",AC40*(1-IF(A40&lt;&gt;"Græs",VLOOKUP(A40,'Kategorisering af kcal'!$A$2:$E$18,MATCH('Produktion &amp; forbrug'!F40,'Kategorisering af kcal'!$A$1:$E$1,0),FALSE),HLOOKUP(F40,Græsprotein!$C$2:$E$8,7))),'Produktion &amp; forbrug'!AC40)</f>
        <v>98784.738662362768</v>
      </c>
      <c r="AF40" s="94">
        <f t="shared" si="9"/>
        <v>0</v>
      </c>
      <c r="AG40">
        <f>IF(AC40&lt;0,AD40,G40*E40*10000*VLOOKUP(A40,[1]kcal!$A$2:$C$49,3,FALSE)/1000000000000*IFERROR(VLOOKUP(A40,'Kategorisering af kcal'!$A$2:$E$18,MATCH('Produktion &amp; forbrug'!F40,'Kategorisering af kcal'!$A$1:$E$1,0),FALSE),0))</f>
        <v>0</v>
      </c>
      <c r="AH40">
        <f>AE40*IFERROR(VLOOKUP(A40,[1]Tørstofindhold!A$2:B$25,2,FALSE),0)</f>
        <v>89894.112182750119</v>
      </c>
      <c r="AI40">
        <f>K40*IFERROR(VLOOKUP(A40,[1]Tørstofindhold!A$2:B$25,2,FALSE),0)</f>
        <v>0</v>
      </c>
    </row>
    <row r="41" spans="1:35" hidden="1" x14ac:dyDescent="0.25">
      <c r="A41" t="s">
        <v>230</v>
      </c>
      <c r="B41" s="171" t="s">
        <v>230</v>
      </c>
      <c r="C41" s="171" t="str">
        <f>IFERROR(VLOOKUP(A41,'Kategorisering af kcal'!$A$2:$B$18,2,FALSE),"")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P41*IFERROR(VLOOKUP(A41,[1]Tørstofindhold!A$2:B$25,2,FALSE),0)</f>
        <v>0</v>
      </c>
      <c r="W41">
        <f>IF(F41=År1,Q41,SUM(P41,Q41))*IFERROR(VLOOKUP(A41,[1]Tørstofindhold!A$2:B$25,2,FALSE),0)</f>
        <v>0</v>
      </c>
      <c r="X41">
        <f>K41*IFERROR(VLOOKUP(A41,[1]Tørstofindhold!A$2:B$25,2,FALSE),0)</f>
        <v>0</v>
      </c>
      <c r="Y41" s="170">
        <f t="shared" si="7"/>
        <v>0</v>
      </c>
      <c r="Z41">
        <f t="shared" si="10"/>
        <v>0</v>
      </c>
      <c r="AA41">
        <f t="shared" si="11"/>
        <v>0</v>
      </c>
      <c r="AC41" s="94">
        <f t="shared" si="8"/>
        <v>112873.31802427147</v>
      </c>
      <c r="AD41">
        <f>AC41*E41*10000*VLOOKUP(A41,[1]kcal!$A$2:$C$49,3,FALSE)/1000000000000*IFERROR(VLOOKUP(A41,'Kategorisering af kcal'!$A$2:$E$18,MATCH('Produktion &amp; forbrug'!F41,'Kategorisering af kcal'!$A$1:$E$1,0),FALSE),0)</f>
        <v>0</v>
      </c>
      <c r="AE41">
        <f>IF(C41&lt;&gt;"",AC41*(1-IF(A41&lt;&gt;"Græs",VLOOKUP(A41,'Kategorisering af kcal'!$A$2:$E$18,MATCH('Produktion &amp; forbrug'!F41,'Kategorisering af kcal'!$A$1:$E$1,0),FALSE),HLOOKUP(F41,Græsprotein!$C$2:$E$8,7))),'Produktion &amp; forbrug'!AC41)</f>
        <v>112873.31802427147</v>
      </c>
      <c r="AF41" s="94">
        <f t="shared" si="9"/>
        <v>0</v>
      </c>
      <c r="AG41">
        <f>IF(AC41&lt;0,AD41,G41*E41*10000*VLOOKUP(A41,[1]kcal!$A$2:$C$49,3,FALSE)/1000000000000*IFERROR(VLOOKUP(A41,'Kategorisering af kcal'!$A$2:$E$18,MATCH('Produktion &amp; forbrug'!F41,'Kategorisering af kcal'!$A$1:$E$1,0),FALSE),0))</f>
        <v>0</v>
      </c>
      <c r="AH41">
        <f>AE41*IFERROR(VLOOKUP(A41,[1]Tørstofindhold!A$2:B$25,2,FALSE),0)</f>
        <v>0</v>
      </c>
      <c r="AI41">
        <f>K41*IFERROR(VLOOKUP(A41,[1]Tørstofindhold!A$2:B$25,2,FALSE),0)</f>
        <v>0</v>
      </c>
    </row>
    <row r="42" spans="1:35" x14ac:dyDescent="0.25">
      <c r="A42" t="s">
        <v>52</v>
      </c>
      <c r="B42" s="171" t="s">
        <v>417</v>
      </c>
      <c r="C42" s="171" t="str">
        <f>IFERROR(VLOOKUP(A42,'Kategorisering af kcal'!$A$2:$B$18,2,FALSE),"")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4141.9679702877811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1662278.5794471605</v>
      </c>
      <c r="P42" s="94">
        <f t="shared" si="4"/>
        <v>1662278.5794471605</v>
      </c>
      <c r="Q42" s="180">
        <f t="shared" si="5"/>
        <v>4141.9679702877811</v>
      </c>
      <c r="R42">
        <f>IFERROR(VLOOKUP(A42,[1]Energiindhold!$A$2:$C$11,3,FALSE),IFERROR(VLOOKUP(A42,[1]Biogasudbytte!$A$2:$B$18,2,FALSE)*[1]Energiindhold!$C$10,0))*P42</f>
        <v>4.5114905557627711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6"/>
        <v>0</v>
      </c>
      <c r="V42" s="169">
        <f>P42*IFERROR(VLOOKUP(A42,[1]Tørstofindhold!A$2:B$25,2,FALSE),0)</f>
        <v>332455.71588943212</v>
      </c>
      <c r="W42">
        <f>IF(F42=År1,Q42,SUM(P42,Q42))*IFERROR(VLOOKUP(A42,[1]Tørstofindhold!A$2:B$25,2,FALSE),0)</f>
        <v>828.39359405755624</v>
      </c>
      <c r="X42">
        <f>K42*IFERROR(VLOOKUP(A42,[1]Tørstofindhold!A$2:B$25,2,FALSE),0)</f>
        <v>828.39359405755624</v>
      </c>
      <c r="Y42" s="170">
        <f t="shared" si="7"/>
        <v>0</v>
      </c>
      <c r="Z42">
        <f t="shared" si="10"/>
        <v>0</v>
      </c>
      <c r="AA42">
        <f t="shared" si="11"/>
        <v>1</v>
      </c>
      <c r="AC42" s="94">
        <f t="shared" si="8"/>
        <v>1662278.5794471605</v>
      </c>
      <c r="AD42">
        <f>AC42*E42*10000*VLOOKUP(A42,[1]kcal!$A$2:$C$49,3,FALSE)/1000000000000*IFERROR(VLOOKUP(A42,'Kategorisering af kcal'!$A$2:$E$18,MATCH('Produktion &amp; forbrug'!F42,'Kategorisering af kcal'!$A$1:$E$1,0),FALSE),0)</f>
        <v>0.49868357383414813</v>
      </c>
      <c r="AE42">
        <f>IF(C42&lt;&gt;"",AC42*(1-IF(A42&lt;&gt;"Græs",VLOOKUP(A42,'Kategorisering af kcal'!$A$2:$E$18,MATCH('Produktion &amp; forbrug'!F42,'Kategorisering af kcal'!$A$1:$E$1,0),FALSE),HLOOKUP(F42,Græsprotein!$C$2:$E$8,7))),'Produktion &amp; forbrug'!AC42)</f>
        <v>0</v>
      </c>
      <c r="AF42" s="94">
        <f t="shared" si="9"/>
        <v>1662278.5794471605</v>
      </c>
      <c r="AG42">
        <f>IF(AC42&lt;0,AD42,G42*E42*10000*VLOOKUP(A42,[1]kcal!$A$2:$C$49,3,FALSE)/1000000000000*IFERROR(VLOOKUP(A42,'Kategorisering af kcal'!$A$2:$E$18,MATCH('Produktion &amp; forbrug'!F42,'Kategorisering af kcal'!$A$1:$E$1,0),FALSE),0))</f>
        <v>0.78325021257093119</v>
      </c>
      <c r="AH42">
        <f>AE42*IFERROR(VLOOKUP(A42,[1]Tørstofindhold!A$2:B$25,2,FALSE),0)</f>
        <v>0</v>
      </c>
      <c r="AI42">
        <f>K42*IFERROR(VLOOKUP(A42,[1]Tørstofindhold!A$2:B$25,2,FALSE),0)</f>
        <v>828.39359405755624</v>
      </c>
    </row>
    <row r="43" spans="1:35" hidden="1" x14ac:dyDescent="0.25">
      <c r="A43" t="s">
        <v>121</v>
      </c>
      <c r="B43" s="171"/>
      <c r="C43" s="171" t="str">
        <f>IFERROR(VLOOKUP(A43,'Kategorisering af kcal'!$A$2:$B$18,2,FALSE),"")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P43*IFERROR(VLOOKUP(A43,[1]Tørstofindhold!A$2:B$25,2,FALSE),0)</f>
        <v>0</v>
      </c>
      <c r="W43">
        <f>IF(F43=År1,Q43,SUM(P43,Q43))*IFERROR(VLOOKUP(A43,[1]Tørstofindhold!A$2:B$25,2,FALSE),0)</f>
        <v>0</v>
      </c>
      <c r="X43">
        <f>K43*IFERROR(VLOOKUP(A43,[1]Tørstofindhold!A$2:B$25,2,FALSE),0)</f>
        <v>0</v>
      </c>
      <c r="Y43" s="170">
        <f t="shared" si="7"/>
        <v>0</v>
      </c>
      <c r="Z43">
        <f t="shared" si="10"/>
        <v>0</v>
      </c>
      <c r="AA43">
        <f t="shared" si="11"/>
        <v>1</v>
      </c>
      <c r="AC43" s="94">
        <f t="shared" si="8"/>
        <v>217010.36743552322</v>
      </c>
      <c r="AD43">
        <f>AC43*E43*10000*VLOOKUP(A43,[1]kcal!$A$2:$C$49,3,FALSE)/1000000000000*IFERROR(VLOOKUP(A43,'Kategorisering af kcal'!$A$2:$E$18,MATCH('Produktion &amp; forbrug'!F43,'Kategorisering af kcal'!$A$1:$E$1,0),FALSE),0)</f>
        <v>0</v>
      </c>
      <c r="AE43">
        <f>IF(C43&lt;&gt;"",AC43*(1-IF(A43&lt;&gt;"Græs",VLOOKUP(A43,'Kategorisering af kcal'!$A$2:$E$18,MATCH('Produktion &amp; forbrug'!F43,'Kategorisering af kcal'!$A$1:$E$1,0),FALSE),HLOOKUP(F43,Græsprotein!$C$2:$E$8,7))),'Produktion &amp; forbrug'!AC43)</f>
        <v>217010.36743552322</v>
      </c>
      <c r="AF43" s="94">
        <f t="shared" si="9"/>
        <v>0</v>
      </c>
      <c r="AG43">
        <f>IF(AC43&lt;0,AD43,G43*E43*10000*VLOOKUP(A43,[1]kcal!$A$2:$C$49,3,FALSE)/1000000000000*IFERROR(VLOOKUP(A43,'Kategorisering af kcal'!$A$2:$E$18,MATCH('Produktion &amp; forbrug'!F43,'Kategorisering af kcal'!$A$1:$E$1,0),FALSE),0))</f>
        <v>0</v>
      </c>
      <c r="AH43">
        <f>AE43*IFERROR(VLOOKUP(A43,[1]Tørstofindhold!A$2:B$25,2,FALSE),0)</f>
        <v>0</v>
      </c>
      <c r="AI43">
        <f>K43*IFERROR(VLOOKUP(A43,[1]Tørstofindhold!A$2:B$25,2,FALSE),0)</f>
        <v>0</v>
      </c>
    </row>
    <row r="44" spans="1:35" hidden="1" x14ac:dyDescent="0.25">
      <c r="A44" t="s">
        <v>107</v>
      </c>
      <c r="B44" s="171"/>
      <c r="C44" s="171" t="str">
        <f>IFERROR(VLOOKUP(A44,'Kategorisering af kcal'!$A$2:$B$18,2,FALSE),"")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P44*IFERROR(VLOOKUP(A44,[1]Tørstofindhold!A$2:B$25,2,FALSE),0)</f>
        <v>0</v>
      </c>
      <c r="W44">
        <f>IF(F44=År1,Q44,SUM(P44,Q44))*IFERROR(VLOOKUP(A44,[1]Tørstofindhold!A$2:B$25,2,FALSE),0)</f>
        <v>0</v>
      </c>
      <c r="X44">
        <f>K44*IFERROR(VLOOKUP(A44,[1]Tørstofindhold!A$2:B$25,2,FALSE),0)</f>
        <v>0</v>
      </c>
      <c r="Y44" s="170">
        <f t="shared" si="7"/>
        <v>0</v>
      </c>
      <c r="Z44">
        <f t="shared" si="10"/>
        <v>0</v>
      </c>
      <c r="AA44">
        <f t="shared" si="11"/>
        <v>1</v>
      </c>
      <c r="AC44" s="94">
        <f t="shared" si="8"/>
        <v>105946.31157195524</v>
      </c>
      <c r="AD44">
        <f>AC44*E44*10000*VLOOKUP(A44,[1]kcal!$A$2:$C$49,3,FALSE)/1000000000000*IFERROR(VLOOKUP(A44,'Kategorisering af kcal'!$A$2:$E$18,MATCH('Produktion &amp; forbrug'!F44,'Kategorisering af kcal'!$A$1:$E$1,0),FALSE),0)</f>
        <v>0</v>
      </c>
      <c r="AE44">
        <f>IF(C44&lt;&gt;"",AC44*(1-IF(A44&lt;&gt;"Græs",VLOOKUP(A44,'Kategorisering af kcal'!$A$2:$E$18,MATCH('Produktion &amp; forbrug'!F44,'Kategorisering af kcal'!$A$1:$E$1,0),FALSE),HLOOKUP(F44,Græsprotein!$C$2:$E$8,7))),'Produktion &amp; forbrug'!AC44)</f>
        <v>105946.31157195524</v>
      </c>
      <c r="AF44" s="94">
        <f t="shared" si="9"/>
        <v>0</v>
      </c>
      <c r="AG44">
        <f>IF(AC44&lt;0,AD44,G44*E44*10000*VLOOKUP(A44,[1]kcal!$A$2:$C$49,3,FALSE)/1000000000000*IFERROR(VLOOKUP(A44,'Kategorisering af kcal'!$A$2:$E$18,MATCH('Produktion &amp; forbrug'!F44,'Kategorisering af kcal'!$A$1:$E$1,0),FALSE),0))</f>
        <v>0</v>
      </c>
      <c r="AH44">
        <f>AE44*IFERROR(VLOOKUP(A44,[1]Tørstofindhold!A$2:B$25,2,FALSE),0)</f>
        <v>0</v>
      </c>
      <c r="AI44">
        <f>K44*IFERROR(VLOOKUP(A44,[1]Tørstofindhold!A$2:B$25,2,FALSE),0)</f>
        <v>0</v>
      </c>
    </row>
    <row r="45" spans="1:35" hidden="1" x14ac:dyDescent="0.25">
      <c r="A45" s="171" t="s">
        <v>140</v>
      </c>
      <c r="B45" s="171" t="s">
        <v>229</v>
      </c>
      <c r="C45" s="171" t="str">
        <f>IFERROR(VLOOKUP(A45,'Kategorisering af kcal'!$A$2:$B$18,2,FALSE),"")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1460182.5874658169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5576975.3142128419</v>
      </c>
      <c r="P45" s="94">
        <f t="shared" si="4"/>
        <v>5576975.3142128419</v>
      </c>
      <c r="Q45" s="180">
        <f t="shared" si="5"/>
        <v>1460182.5874658169</v>
      </c>
      <c r="R45">
        <f>IFERROR(VLOOKUP(A45,[1]Energiindhold!$A$2:$C$11,3,FALSE),IFERROR(VLOOKUP(A45,[1]Biogasudbytte!$A$2:$B$18,2,FALSE)*[1]Energiindhold!$C$10,0))*P45</f>
        <v>2.7829664515453505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6"/>
        <v>0</v>
      </c>
      <c r="V45" s="169">
        <f>P45*IFERROR(VLOOKUP(A45,[1]Tørstofindhold!A$2:B$25,2,FALSE),0)</f>
        <v>334618.5188527705</v>
      </c>
      <c r="W45">
        <f>IF(F45=År1,Q45,SUM(P45,Q45))*IFERROR(VLOOKUP(A45,[1]Tørstofindhold!A$2:B$25,2,FALSE),0)</f>
        <v>87610.955247949008</v>
      </c>
      <c r="X45">
        <f>K45*IFERROR(VLOOKUP(A45,[1]Tørstofindhold!A$2:B$25,2,FALSE),0)</f>
        <v>87610.955247949008</v>
      </c>
      <c r="Y45" s="170">
        <f t="shared" si="7"/>
        <v>0</v>
      </c>
      <c r="Z45">
        <f t="shared" si="10"/>
        <v>0</v>
      </c>
      <c r="AA45">
        <f t="shared" si="11"/>
        <v>1</v>
      </c>
      <c r="AC45" s="94">
        <f t="shared" si="8"/>
        <v>5576975.3142128419</v>
      </c>
      <c r="AD45">
        <f>AC45*E45*10000*VLOOKUP(A45,[1]kcal!$A$2:$C$49,3,FALSE)/1000000000000*IFERROR(VLOOKUP(A45,'Kategorisering af kcal'!$A$2:$E$18,MATCH('Produktion &amp; forbrug'!F45,'Kategorisering af kcal'!$A$1:$E$1,0),FALSE),0)</f>
        <v>0</v>
      </c>
      <c r="AE45">
        <f>IF(C45&lt;&gt;"",AC45*(1-IF(A45&lt;&gt;"Græs",VLOOKUP(A45,'Kategorisering af kcal'!$A$2:$E$18,MATCH('Produktion &amp; forbrug'!F45,'Kategorisering af kcal'!$A$1:$E$1,0),FALSE),HLOOKUP(F45,Græsprotein!$C$2:$E$8,7))),'Produktion &amp; forbrug'!AC45)</f>
        <v>5576975.3142128419</v>
      </c>
      <c r="AF45" s="94">
        <f t="shared" si="9"/>
        <v>0</v>
      </c>
      <c r="AG45">
        <f>IF(AC45&lt;0,AD45,G45*E45*10000*VLOOKUP(A45,[1]kcal!$A$2:$C$49,3,FALSE)/1000000000000*IFERROR(VLOOKUP(A45,'Kategorisering af kcal'!$A$2:$E$18,MATCH('Produktion &amp; forbrug'!F45,'Kategorisering af kcal'!$A$1:$E$1,0),FALSE),0))</f>
        <v>0</v>
      </c>
      <c r="AH45">
        <f>AE45*IFERROR(VLOOKUP(A45,[1]Tørstofindhold!A$2:B$25,2,FALSE),0)</f>
        <v>334618.5188527705</v>
      </c>
      <c r="AI45">
        <f>K45*IFERROR(VLOOKUP(A45,[1]Tørstofindhold!A$2:B$25,2,FALSE),0)</f>
        <v>87610.955247949008</v>
      </c>
    </row>
    <row r="46" spans="1:35" hidden="1" x14ac:dyDescent="0.25">
      <c r="A46" s="171" t="s">
        <v>135</v>
      </c>
      <c r="B46" s="171" t="s">
        <v>221</v>
      </c>
      <c r="C46" s="171" t="str">
        <f>IFERROR(VLOOKUP(A46,'Kategorisering af kcal'!$A$2:$B$18,2,FALSE),"")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2534442.072977222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380427.26035611331</v>
      </c>
      <c r="P46" s="94">
        <f t="shared" si="4"/>
        <v>380427.26035611331</v>
      </c>
      <c r="Q46" s="180">
        <f t="shared" si="5"/>
        <v>2534442.072977222</v>
      </c>
      <c r="R46">
        <f>IFERROR(VLOOKUP(A46,[1]Energiindhold!$A$2:$C$11,3,FALSE),IFERROR(VLOOKUP(A46,[1]Biogasudbytte!$A$2:$B$18,2,FALSE)*[1]Energiindhold!$C$10,0))*P46</f>
        <v>0.16388806376141365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6"/>
        <v>0</v>
      </c>
      <c r="V46" s="169">
        <f>P46*IFERROR(VLOOKUP(A46,[1]Tørstofindhold!A$2:B$25,2,FALSE),0)</f>
        <v>19021.363017805666</v>
      </c>
      <c r="W46">
        <f>IF(F46=År1,Q46,SUM(P46,Q46))*IFERROR(VLOOKUP(A46,[1]Tørstofindhold!A$2:B$25,2,FALSE),0)</f>
        <v>126722.10364886111</v>
      </c>
      <c r="X46">
        <f>K46*IFERROR(VLOOKUP(A46,[1]Tørstofindhold!A$2:B$25,2,FALSE),0)</f>
        <v>126722.10364886111</v>
      </c>
      <c r="Y46" s="170">
        <f t="shared" si="7"/>
        <v>0</v>
      </c>
      <c r="Z46">
        <f t="shared" si="10"/>
        <v>0</v>
      </c>
      <c r="AA46">
        <f t="shared" si="11"/>
        <v>1</v>
      </c>
      <c r="AC46" s="94">
        <f t="shared" si="8"/>
        <v>15122557.927022777</v>
      </c>
      <c r="AD46">
        <f>AC46*E46*10000*VLOOKUP(A46,[1]kcal!$A$2:$C$49,3,FALSE)/1000000000000*IFERROR(VLOOKUP(A46,'Kategorisering af kcal'!$A$2:$E$18,MATCH('Produktion &amp; forbrug'!F46,'Kategorisering af kcal'!$A$1:$E$1,0),FALSE),0)</f>
        <v>0</v>
      </c>
      <c r="AE46">
        <f>IF(C46&lt;&gt;"",AC46*(1-IF(A46&lt;&gt;"Græs",VLOOKUP(A46,'Kategorisering af kcal'!$A$2:$E$18,MATCH('Produktion &amp; forbrug'!F46,'Kategorisering af kcal'!$A$1:$E$1,0),FALSE),HLOOKUP(F46,Græsprotein!$C$2:$E$8,7))),'Produktion &amp; forbrug'!AC46)</f>
        <v>15122557.927022777</v>
      </c>
      <c r="AF46" s="94">
        <f t="shared" si="9"/>
        <v>0</v>
      </c>
      <c r="AG46">
        <f>IF(AC46&lt;0,AD46,G46*E46*10000*VLOOKUP(A46,[1]kcal!$A$2:$C$49,3,FALSE)/1000000000000*IFERROR(VLOOKUP(A46,'Kategorisering af kcal'!$A$2:$E$18,MATCH('Produktion &amp; forbrug'!F46,'Kategorisering af kcal'!$A$1:$E$1,0),FALSE),0))</f>
        <v>0</v>
      </c>
      <c r="AH46">
        <f>AE46*IFERROR(VLOOKUP(A46,[1]Tørstofindhold!A$2:B$25,2,FALSE),0)</f>
        <v>756127.89635113894</v>
      </c>
      <c r="AI46">
        <f>K46*IFERROR(VLOOKUP(A46,[1]Tørstofindhold!A$2:B$25,2,FALSE),0)</f>
        <v>126722.10364886111</v>
      </c>
    </row>
    <row r="47" spans="1:35" hidden="1" x14ac:dyDescent="0.25">
      <c r="A47" s="171" t="s">
        <v>13</v>
      </c>
      <c r="B47" s="171"/>
      <c r="C47" s="171" t="str">
        <f>IFERROR(VLOOKUP(A47,'Kategorisering af kcal'!$A$2:$B$18,2,FALSE),"")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117920.63695532705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1483207.0597106135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P47*IFERROR(VLOOKUP(A47,[1]Tørstofindhold!A$2:B$25,2,FALSE),0)</f>
        <v>0</v>
      </c>
      <c r="W47">
        <f>IF(F47=År1,Q47,SUM(P47,Q47))*IFERROR(VLOOKUP(A47,[1]Tørstofindhold!A$2:B$25,2,FALSE),0)</f>
        <v>0</v>
      </c>
      <c r="X47">
        <f>K47*IFERROR(VLOOKUP(A47,[1]Tørstofindhold!A$2:B$25,2,FALSE),0)</f>
        <v>0</v>
      </c>
      <c r="Y47" s="170">
        <f t="shared" si="7"/>
        <v>0</v>
      </c>
      <c r="Z47">
        <f t="shared" si="10"/>
        <v>0</v>
      </c>
      <c r="AA47">
        <f t="shared" si="11"/>
        <v>1</v>
      </c>
      <c r="AC47" s="94">
        <f t="shared" si="8"/>
        <v>1601127.6966659406</v>
      </c>
      <c r="AD47">
        <f>AC47*E47*10000*VLOOKUP(A47,[1]kcal!$A$2:$C$49,3,FALSE)/1000000000000*IFERROR(VLOOKUP(A47,'Kategorisering af kcal'!$A$2:$E$18,MATCH('Produktion &amp; forbrug'!F47,'Kategorisering af kcal'!$A$1:$E$1,0),FALSE),0)</f>
        <v>3.1221990084985847</v>
      </c>
      <c r="AE47">
        <f>IF(C47&lt;&gt;"",AC47*(1-IF(A47&lt;&gt;"Græs",VLOOKUP(A47,'Kategorisering af kcal'!$A$2:$E$18,MATCH('Produktion &amp; forbrug'!F47,'Kategorisering af kcal'!$A$1:$E$1,0),FALSE),HLOOKUP(F47,Græsprotein!$C$2:$E$8,7))),'Produktion &amp; forbrug'!AC47)</f>
        <v>0</v>
      </c>
      <c r="AF47" s="94">
        <f t="shared" si="9"/>
        <v>1601127.6966659406</v>
      </c>
      <c r="AG47">
        <f>IF(AC47&lt;0,AD47,G47*E47*10000*VLOOKUP(A47,[1]kcal!$A$2:$C$49,3,FALSE)/1000000000000*IFERROR(VLOOKUP(A47,'Kategorisering af kcal'!$A$2:$E$18,MATCH('Produktion &amp; forbrug'!F47,'Kategorisering af kcal'!$A$1:$E$1,0),FALSE),0))</f>
        <v>3.1221990084985847</v>
      </c>
      <c r="AH47">
        <f>AE47*IFERROR(VLOOKUP(A47,[1]Tørstofindhold!A$2:B$25,2,FALSE),0)</f>
        <v>0</v>
      </c>
      <c r="AI47">
        <f>K47*IFERROR(VLOOKUP(A47,[1]Tørstofindhold!A$2:B$25,2,FALSE),0)</f>
        <v>0</v>
      </c>
    </row>
    <row r="48" spans="1:35" hidden="1" x14ac:dyDescent="0.25">
      <c r="A48" s="171" t="s">
        <v>99</v>
      </c>
      <c r="B48" s="171" t="s">
        <v>225</v>
      </c>
      <c r="C48" s="171" t="str">
        <f>IFERROR(VLOOKUP(A48,'Kategorisering af kcal'!$A$2:$B$18,2,FALSE),"")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P48*IFERROR(VLOOKUP(A48,[1]Tørstofindhold!A$2:B$25,2,FALSE),0)</f>
        <v>11.475</v>
      </c>
      <c r="W48">
        <f>IF(F48=År1,Q48,SUM(P48,Q48))*IFERROR(VLOOKUP(A48,[1]Tørstofindhold!A$2:B$25,2,FALSE),0)</f>
        <v>0</v>
      </c>
      <c r="X48">
        <f>K48*IFERROR(VLOOKUP(A48,[1]Tørstofindhold!A$2:B$25,2,FALSE),0)</f>
        <v>0</v>
      </c>
      <c r="Y48" s="170">
        <f t="shared" si="7"/>
        <v>0</v>
      </c>
      <c r="Z48">
        <f t="shared" si="10"/>
        <v>0</v>
      </c>
      <c r="AA48">
        <f t="shared" si="11"/>
        <v>1</v>
      </c>
      <c r="AC48" s="94">
        <f t="shared" si="8"/>
        <v>76.5</v>
      </c>
      <c r="AD48">
        <f>AC48*E48*10000*VLOOKUP(A48,[1]kcal!$A$2:$C$49,3,FALSE)/1000000000000*IFERROR(VLOOKUP(A48,'Kategorisering af kcal'!$A$2:$E$18,MATCH('Produktion &amp; forbrug'!F48,'Kategorisering af kcal'!$A$1:$E$1,0),FALSE),0)</f>
        <v>3.1211999999999999E-5</v>
      </c>
      <c r="AE48">
        <f>IF(C48&lt;&gt;"",AC48*(1-IF(A48&lt;&gt;"Græs",VLOOKUP(A48,'Kategorisering af kcal'!$A$2:$E$18,MATCH('Produktion &amp; forbrug'!F48,'Kategorisering af kcal'!$A$1:$E$1,0),FALSE),HLOOKUP(F48,Græsprotein!$C$2:$E$8,7))),'Produktion &amp; forbrug'!AC48)</f>
        <v>0</v>
      </c>
      <c r="AF48" s="94">
        <f t="shared" si="9"/>
        <v>76.5</v>
      </c>
      <c r="AG48">
        <f>IF(AC48&lt;0,AD48,G48*E48*10000*VLOOKUP(A48,[1]kcal!$A$2:$C$49,3,FALSE)/1000000000000*IFERROR(VLOOKUP(A48,'Kategorisering af kcal'!$A$2:$E$18,MATCH('Produktion &amp; forbrug'!F48,'Kategorisering af kcal'!$A$1:$E$1,0),FALSE),0))</f>
        <v>3.1211999999999999E-5</v>
      </c>
      <c r="AH48">
        <f>AE48*IFERROR(VLOOKUP(A48,[1]Tørstofindhold!A$2:B$25,2,FALSE),0)</f>
        <v>0</v>
      </c>
      <c r="AI48">
        <f>K48*IFERROR(VLOOKUP(A48,[1]Tørstofindhold!A$2:B$25,2,FALSE),0)</f>
        <v>0</v>
      </c>
    </row>
    <row r="49" spans="1:35" hidden="1" x14ac:dyDescent="0.25">
      <c r="A49" s="171" t="s">
        <v>104</v>
      </c>
      <c r="B49" s="171"/>
      <c r="C49" s="171" t="str">
        <f>IFERROR(VLOOKUP(A49,'Kategorisering af kcal'!$A$2:$B$18,2,FALSE),"")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P49*IFERROR(VLOOKUP(A49,[1]Tørstofindhold!A$2:B$25,2,FALSE),0)</f>
        <v>0</v>
      </c>
      <c r="W49">
        <f>IF(F49=År1,Q49,SUM(P49,Q49))*IFERROR(VLOOKUP(A49,[1]Tørstofindhold!A$2:B$25,2,FALSE),0)</f>
        <v>0</v>
      </c>
      <c r="X49">
        <f>K49*IFERROR(VLOOKUP(A49,[1]Tørstofindhold!A$2:B$25,2,FALSE),0)</f>
        <v>0</v>
      </c>
      <c r="Y49" s="170">
        <f t="shared" si="7"/>
        <v>0</v>
      </c>
      <c r="Z49">
        <f t="shared" si="10"/>
        <v>0</v>
      </c>
      <c r="AA49">
        <f t="shared" si="11"/>
        <v>0</v>
      </c>
      <c r="AC49" s="94">
        <f t="shared" si="8"/>
        <v>0</v>
      </c>
      <c r="AD49">
        <f>AC49*E49*10000*VLOOKUP(A49,[1]kcal!$A$2:$C$49,3,FALSE)/1000000000000*IFERROR(VLOOKUP(A49,'Kategorisering af kcal'!$A$2:$E$18,MATCH('Produktion &amp; forbrug'!F49,'Kategorisering af kcal'!$A$1:$E$1,0),FALSE),0)</f>
        <v>0</v>
      </c>
      <c r="AE49">
        <f>IF(C49&lt;&gt;"",AC49*(1-IF(A49&lt;&gt;"Græs",VLOOKUP(A49,'Kategorisering af kcal'!$A$2:$E$18,MATCH('Produktion &amp; forbrug'!F49,'Kategorisering af kcal'!$A$1:$E$1,0),FALSE),HLOOKUP(F49,Græsprotein!$C$2:$E$8,7))),'Produktion &amp; forbrug'!AC49)</f>
        <v>0</v>
      </c>
      <c r="AF49" s="94">
        <f t="shared" si="9"/>
        <v>0</v>
      </c>
      <c r="AG49">
        <f>IF(AC49&lt;0,AD49,G49*E49*10000*VLOOKUP(A49,[1]kcal!$A$2:$C$49,3,FALSE)/1000000000000*IFERROR(VLOOKUP(A49,'Kategorisering af kcal'!$A$2:$E$18,MATCH('Produktion &amp; forbrug'!F49,'Kategorisering af kcal'!$A$1:$E$1,0),FALSE),0))</f>
        <v>0</v>
      </c>
      <c r="AH49">
        <f>AE49*IFERROR(VLOOKUP(A49,[1]Tørstofindhold!A$2:B$25,2,FALSE),0)</f>
        <v>0</v>
      </c>
      <c r="AI49">
        <f>K49*IFERROR(VLOOKUP(A49,[1]Tørstofindhold!A$2:B$25,2,FALSE),0)</f>
        <v>0</v>
      </c>
    </row>
    <row r="50" spans="1:35" hidden="1" x14ac:dyDescent="0.25">
      <c r="A50" s="171" t="s">
        <v>119</v>
      </c>
      <c r="B50" s="171" t="s">
        <v>224</v>
      </c>
      <c r="C50" s="171" t="str">
        <f>IFERROR(VLOOKUP(A50,'Kategorisering af kcal'!$A$2:$B$18,2,FALSE),"")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P50*IFERROR(VLOOKUP(A50,[1]Tørstofindhold!A$2:B$25,2,FALSE),0)</f>
        <v>0</v>
      </c>
      <c r="W50">
        <f ca="1">IF(F50=År1,Q50,SUM(P50,Q50))*IFERROR(VLOOKUP(A50,[1]Tørstofindhold!A$2:B$25,2,FALSE),0)</f>
        <v>1488840.2837253874</v>
      </c>
      <c r="X50">
        <f>K50*IFERROR(VLOOKUP(A50,[1]Tørstofindhold!A$2:B$25,2,FALSE),0)</f>
        <v>0</v>
      </c>
      <c r="Y50" s="170">
        <f t="shared" ca="1" si="7"/>
        <v>1488840.2837253874</v>
      </c>
      <c r="Z50">
        <f t="shared" ca="1" si="10"/>
        <v>0</v>
      </c>
      <c r="AA50">
        <f t="shared" ca="1" si="11"/>
        <v>0</v>
      </c>
      <c r="AC50" s="94">
        <f t="shared" ca="1" si="8"/>
        <v>3010292.0648196544</v>
      </c>
      <c r="AD50">
        <f ca="1">AC50*E50*10000*VLOOKUP(A50,[1]kcal!$A$2:$C$49,3,FALSE)/1000000000000*IFERROR(VLOOKUP(A50,'Kategorisering af kcal'!$A$2:$E$18,MATCH('Produktion &amp; forbrug'!F50,'Kategorisering af kcal'!$A$1:$E$1,0),FALSE),0)</f>
        <v>0</v>
      </c>
      <c r="AE50">
        <f ca="1">IF(C50&lt;&gt;"",AC50*(1-IF(A50&lt;&gt;"Græs",VLOOKUP(A50,'Kategorisering af kcal'!$A$2:$E$18,MATCH('Produktion &amp; forbrug'!F50,'Kategorisering af kcal'!$A$1:$E$1,0),FALSE),HLOOKUP(F50,Græsprotein!$C$2:$E$8,7))),'Produktion &amp; forbrug'!AC50)</f>
        <v>3010292.0648196544</v>
      </c>
      <c r="AF50" s="94">
        <f t="shared" ca="1" si="9"/>
        <v>0</v>
      </c>
      <c r="AG50">
        <f ca="1">IF(AC50&lt;0,AD50,G50*E50*10000*VLOOKUP(A50,[1]kcal!$A$2:$C$49,3,FALSE)/1000000000000*IFERROR(VLOOKUP(A50,'Kategorisering af kcal'!$A$2:$E$18,MATCH('Produktion &amp; forbrug'!F50,'Kategorisering af kcal'!$A$1:$E$1,0),FALSE),0))</f>
        <v>0</v>
      </c>
      <c r="AH50">
        <f ca="1">AE50*IFERROR(VLOOKUP(A50,[1]Tørstofindhold!A$2:B$25,2,FALSE),0)</f>
        <v>1488840.2837253874</v>
      </c>
      <c r="AI50">
        <f>K50*IFERROR(VLOOKUP(A50,[1]Tørstofindhold!A$2:B$25,2,FALSE),0)</f>
        <v>0</v>
      </c>
    </row>
    <row r="51" spans="1:35" hidden="1" x14ac:dyDescent="0.25">
      <c r="A51" s="171" t="s">
        <v>118</v>
      </c>
      <c r="B51" s="171"/>
      <c r="C51" s="171" t="str">
        <f>IFERROR(VLOOKUP(A51,'Kategorisering af kcal'!$A$2:$B$18,2,FALSE),"")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P51*IFERROR(VLOOKUP(A51,[1]Tørstofindhold!A$2:B$25,2,FALSE),0)</f>
        <v>0</v>
      </c>
      <c r="W51">
        <f>IF(F51=År1,Q51,SUM(P51,Q51))*IFERROR(VLOOKUP(A51,[1]Tørstofindhold!A$2:B$25,2,FALSE),0)</f>
        <v>0</v>
      </c>
      <c r="X51">
        <f>K51*IFERROR(VLOOKUP(A51,[1]Tørstofindhold!A$2:B$25,2,FALSE),0)</f>
        <v>0</v>
      </c>
      <c r="Y51" s="170">
        <f t="shared" si="7"/>
        <v>0</v>
      </c>
      <c r="Z51">
        <f t="shared" ca="1" si="10"/>
        <v>0</v>
      </c>
      <c r="AA51">
        <f t="shared" ca="1" si="11"/>
        <v>0</v>
      </c>
      <c r="AC51" s="94">
        <f t="shared" ca="1" si="8"/>
        <v>0</v>
      </c>
      <c r="AD51">
        <f ca="1">AC51*E51*10000*VLOOKUP(A51,[1]kcal!$A$2:$C$49,3,FALSE)/1000000000000*IFERROR(VLOOKUP(A51,'Kategorisering af kcal'!$A$2:$E$18,MATCH('Produktion &amp; forbrug'!F51,'Kategorisering af kcal'!$A$1:$E$1,0),FALSE),0)</f>
        <v>0</v>
      </c>
      <c r="AE51">
        <f ca="1">IF(C51&lt;&gt;"",AC51*(1-IF(A51&lt;&gt;"Græs",VLOOKUP(A51,'Kategorisering af kcal'!$A$2:$E$18,MATCH('Produktion &amp; forbrug'!F51,'Kategorisering af kcal'!$A$1:$E$1,0),FALSE),HLOOKUP(F51,Græsprotein!$C$2:$E$8,7))),'Produktion &amp; forbrug'!AC51)</f>
        <v>0</v>
      </c>
      <c r="AF51" s="94">
        <f t="shared" ca="1" si="9"/>
        <v>0</v>
      </c>
      <c r="AG51">
        <f ca="1">IF(AC51&lt;0,AD51,G51*E51*10000*VLOOKUP(A51,[1]kcal!$A$2:$C$49,3,FALSE)/1000000000000*IFERROR(VLOOKUP(A51,'Kategorisering af kcal'!$A$2:$E$18,MATCH('Produktion &amp; forbrug'!F51,'Kategorisering af kcal'!$A$1:$E$1,0),FALSE),0))</f>
        <v>0</v>
      </c>
      <c r="AH51">
        <f ca="1">AE51*IFERROR(VLOOKUP(A51,[1]Tørstofindhold!A$2:B$25,2,FALSE),0)</f>
        <v>0</v>
      </c>
      <c r="AI51">
        <f>K51*IFERROR(VLOOKUP(A51,[1]Tørstofindhold!A$2:B$25,2,FALSE),0)</f>
        <v>0</v>
      </c>
    </row>
    <row r="52" spans="1:35" hidden="1" x14ac:dyDescent="0.25">
      <c r="A52" s="171" t="str">
        <f t="shared" ref="A52:A115" si="12">A4</f>
        <v>Æg</v>
      </c>
      <c r="B52" s="171" t="str">
        <f t="shared" ref="B52:B115" si="13">IF(B4&lt;&gt;"",B4,"")</f>
        <v/>
      </c>
      <c r="C52" s="171" t="str">
        <f>IFERROR(VLOOKUP(A52,'Kategorisering af kcal'!$A$2:$B$18,2,FALSE),"")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4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148811.68461728521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0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148811.68461728521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P52*IFERROR(VLOOKUP(A52,[1]Tørstofindhold!A$2:B$25,2,FALSE),0)</f>
        <v>0</v>
      </c>
      <c r="W52">
        <f>IF(F52=År1,Q52,SUM(P52,Q52))*IFERROR(VLOOKUP(A52,[1]Tørstofindhold!A$2:B$25,2,FALSE),0)</f>
        <v>0</v>
      </c>
      <c r="X52">
        <f>K52*IFERROR(VLOOKUP(A52,[1]Tørstofindhold!A$2:B$25,2,FALSE),0)</f>
        <v>0</v>
      </c>
      <c r="Y52" s="170">
        <f t="shared" si="7"/>
        <v>0</v>
      </c>
      <c r="Z52">
        <f t="shared" si="10"/>
        <v>0</v>
      </c>
      <c r="AA52">
        <f t="shared" si="11"/>
        <v>1</v>
      </c>
      <c r="AC52" s="94">
        <f t="shared" si="8"/>
        <v>148811.68461728521</v>
      </c>
      <c r="AD52">
        <f>AC52*E52*10000*VLOOKUP(A52,[1]kcal!$A$2:$C$49,3,FALSE)/1000000000000*IFERROR(VLOOKUP(A52,'Kategorisering af kcal'!$A$2:$E$18,MATCH('Produktion &amp; forbrug'!F52,'Kategorisering af kcal'!$A$1:$E$1,0),FALSE),0)</f>
        <v>0.20536012477185359</v>
      </c>
      <c r="AE52">
        <f>IF(C52&lt;&gt;"",AC52*(1-IF(A52&lt;&gt;"Græs",VLOOKUP(A52,'Kategorisering af kcal'!$A$2:$E$18,MATCH('Produktion &amp; forbrug'!F52,'Kategorisering af kcal'!$A$1:$E$1,0),FALSE),HLOOKUP(F52,Græsprotein!$C$2:$E$8,7))),'Produktion &amp; forbrug'!AC52)</f>
        <v>0</v>
      </c>
      <c r="AF52" s="94">
        <f t="shared" si="9"/>
        <v>148811.68461728521</v>
      </c>
      <c r="AG52">
        <f>IF(AC52&lt;0,AD52,G52*E52*10000*VLOOKUP(A52,[1]kcal!$A$2:$C$49,3,FALSE)/1000000000000*IFERROR(VLOOKUP(A52,'Kategorisering af kcal'!$A$2:$E$18,MATCH('Produktion &amp; forbrug'!F52,'Kategorisering af kcal'!$A$1:$E$1,0),FALSE),0))</f>
        <v>0.20536012477185359</v>
      </c>
      <c r="AH52">
        <f>AE52*IFERROR(VLOOKUP(A52,[1]Tørstofindhold!A$2:B$25,2,FALSE),0)</f>
        <v>0</v>
      </c>
      <c r="AI52">
        <f>K52*IFERROR(VLOOKUP(A52,[1]Tørstofindhold!A$2:B$25,2,FALSE),0)</f>
        <v>0</v>
      </c>
    </row>
    <row r="53" spans="1:35" hidden="1" x14ac:dyDescent="0.25">
      <c r="A53" s="171" t="str">
        <f t="shared" si="12"/>
        <v>Bælgsæd</v>
      </c>
      <c r="B53" s="171" t="str">
        <f t="shared" si="13"/>
        <v/>
      </c>
      <c r="C53" s="171" t="str">
        <f>IFERROR(VLOOKUP(A53,'Kategorisering af kcal'!$A$2:$B$18,2,FALSE),"")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5">E5</f>
        <v>1</v>
      </c>
      <c r="F53" s="171">
        <f t="shared" si="14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632787.14548959408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45358.941062195343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587428.20442739874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P53*IFERROR(VLOOKUP(A53,[1]Tørstofindhold!A$2:B$25,2,FALSE),0)</f>
        <v>0</v>
      </c>
      <c r="W53">
        <f>IF(F53=År1,Q53,SUM(P53,Q53))*IFERROR(VLOOKUP(A53,[1]Tørstofindhold!A$2:B$25,2,FALSE),0)</f>
        <v>0</v>
      </c>
      <c r="X53">
        <f>K53*IFERROR(VLOOKUP(A53,[1]Tørstofindhold!A$2:B$25,2,FALSE),0)</f>
        <v>0</v>
      </c>
      <c r="Y53" s="170">
        <f t="shared" si="7"/>
        <v>0</v>
      </c>
      <c r="Z53">
        <f t="shared" si="10"/>
        <v>0</v>
      </c>
      <c r="AA53">
        <f t="shared" si="11"/>
        <v>1</v>
      </c>
      <c r="AC53" s="94">
        <f t="shared" si="8"/>
        <v>587428.20442739874</v>
      </c>
      <c r="AD53">
        <f>AC53*E53*10000*VLOOKUP(A53,[1]kcal!$A$2:$C$49,3,FALSE)/1000000000000*IFERROR(VLOOKUP(A53,'Kategorisering af kcal'!$A$2:$E$18,MATCH('Produktion &amp; forbrug'!F53,'Kategorisering af kcal'!$A$1:$E$1,0),FALSE),0)</f>
        <v>4.0796888797482849</v>
      </c>
      <c r="AE53">
        <f>IF(C53&lt;&gt;"",AC53*(1-IF(A53&lt;&gt;"Græs",VLOOKUP(A53,'Kategorisering af kcal'!$A$2:$E$18,MATCH('Produktion &amp; forbrug'!F53,'Kategorisering af kcal'!$A$1:$E$1,0),FALSE),HLOOKUP(F53,Græsprotein!$C$2:$E$8,7))),'Produktion &amp; forbrug'!AC53)</f>
        <v>0</v>
      </c>
      <c r="AF53" s="94">
        <f t="shared" si="9"/>
        <v>587428.20442739874</v>
      </c>
      <c r="AG53">
        <f>IF(AC53&lt;0,AD53,G53*E53*10000*VLOOKUP(A53,[1]kcal!$A$2:$C$49,3,FALSE)/1000000000000*IFERROR(VLOOKUP(A53,'Kategorisering af kcal'!$A$2:$E$18,MATCH('Produktion &amp; forbrug'!F53,'Kategorisering af kcal'!$A$1:$E$1,0),FALSE),0))</f>
        <v>4.3947067254252312</v>
      </c>
      <c r="AH53">
        <f>AE53*IFERROR(VLOOKUP(A53,[1]Tørstofindhold!A$2:B$25,2,FALSE),0)</f>
        <v>0</v>
      </c>
      <c r="AI53">
        <f>K53*IFERROR(VLOOKUP(A53,[1]Tørstofindhold!A$2:B$25,2,FALSE),0)</f>
        <v>0</v>
      </c>
    </row>
    <row r="54" spans="1:35" hidden="1" x14ac:dyDescent="0.25">
      <c r="A54" s="171" t="str">
        <f t="shared" si="12"/>
        <v>Bioaffald</v>
      </c>
      <c r="B54" s="171" t="str">
        <f t="shared" si="13"/>
        <v>Bionedbrydeligt affald</v>
      </c>
      <c r="C54" s="171" t="str">
        <f>IFERROR(VLOOKUP(A54,'Kategorisering af kcal'!$A$2:$B$18,2,FALSE),"")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5"/>
        <v>0</v>
      </c>
      <c r="F54" s="171">
        <f t="shared" si="14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P54*IFERROR(VLOOKUP(A54,[1]Tørstofindhold!A$2:B$25,2,FALSE),0)</f>
        <v>0</v>
      </c>
      <c r="W54">
        <f ca="1">IF(F54=År1,Q54,SUM(P54,Q54))*IFERROR(VLOOKUP(A54,[1]Tørstofindhold!A$2:B$25,2,FALSE),0)</f>
        <v>101918.5920879683</v>
      </c>
      <c r="X54">
        <f>K54*IFERROR(VLOOKUP(A54,[1]Tørstofindhold!A$2:B$25,2,FALSE),0)</f>
        <v>0</v>
      </c>
      <c r="Y54" s="170">
        <f t="shared" ca="1" si="7"/>
        <v>101918.5920879683</v>
      </c>
      <c r="Z54">
        <f t="shared" ca="1" si="10"/>
        <v>0</v>
      </c>
      <c r="AA54">
        <f t="shared" ca="1" si="11"/>
        <v>0</v>
      </c>
      <c r="AC54" s="94">
        <f t="shared" ca="1" si="8"/>
        <v>363994.97174274386</v>
      </c>
      <c r="AD54">
        <f ca="1">AC54*E54*10000*VLOOKUP(A54,[1]kcal!$A$2:$C$49,3,FALSE)/1000000000000*IFERROR(VLOOKUP(A54,'Kategorisering af kcal'!$A$2:$E$18,MATCH('Produktion &amp; forbrug'!F54,'Kategorisering af kcal'!$A$1:$E$1,0),FALSE),0)</f>
        <v>0</v>
      </c>
      <c r="AE54">
        <f ca="1">IF(C54&lt;&gt;"",AC54*(1-IF(A54&lt;&gt;"Græs",VLOOKUP(A54,'Kategorisering af kcal'!$A$2:$E$18,MATCH('Produktion &amp; forbrug'!F54,'Kategorisering af kcal'!$A$1:$E$1,0),FALSE),HLOOKUP(F54,Græsprotein!$C$2:$E$8,7))),'Produktion &amp; forbrug'!AC54)</f>
        <v>363994.97174274386</v>
      </c>
      <c r="AF54" s="94">
        <f t="shared" ca="1" si="9"/>
        <v>0</v>
      </c>
      <c r="AG54">
        <f ca="1">IF(AC54&lt;0,AD54,G54*E54*10000*VLOOKUP(A54,[1]kcal!$A$2:$C$49,3,FALSE)/1000000000000*IFERROR(VLOOKUP(A54,'Kategorisering af kcal'!$A$2:$E$18,MATCH('Produktion &amp; forbrug'!F54,'Kategorisering af kcal'!$A$1:$E$1,0),FALSE),0))</f>
        <v>0</v>
      </c>
      <c r="AH54">
        <f ca="1">AE54*IFERROR(VLOOKUP(A54,[1]Tørstofindhold!A$2:B$25,2,FALSE),0)</f>
        <v>101918.5920879683</v>
      </c>
      <c r="AI54">
        <f>K54*IFERROR(VLOOKUP(A54,[1]Tørstofindhold!A$2:B$25,2,FALSE),0)</f>
        <v>0</v>
      </c>
    </row>
    <row r="55" spans="1:35" hidden="1" x14ac:dyDescent="0.25">
      <c r="A55" s="171" t="str">
        <f t="shared" si="12"/>
        <v>Biogas</v>
      </c>
      <c r="B55" s="171" t="str">
        <f t="shared" si="13"/>
        <v/>
      </c>
      <c r="C55" s="171" t="str">
        <f>IFERROR(VLOOKUP(A55,'Kategorisering af kcal'!$A$2:$B$18,2,FALSE),"")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5"/>
        <v>0</v>
      </c>
      <c r="F55" s="171">
        <f t="shared" si="14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295248373.67099297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295248373.67099297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295248373.67099297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P55*IFERROR(VLOOKUP(A55,[1]Tørstofindhold!A$2:B$25,2,FALSE),0)</f>
        <v>0</v>
      </c>
      <c r="W55">
        <f ca="1">IF(F55=År1,Q55,SUM(P55,Q55))*IFERROR(VLOOKUP(A55,[1]Tørstofindhold!A$2:B$25,2,FALSE),0)</f>
        <v>0</v>
      </c>
      <c r="X55">
        <f>K55*IFERROR(VLOOKUP(A55,[1]Tørstofindhold!A$2:B$25,2,FALSE),0)</f>
        <v>0</v>
      </c>
      <c r="Y55" s="170">
        <f t="shared" ca="1" si="7"/>
        <v>0</v>
      </c>
      <c r="Z55">
        <f t="shared" ca="1" si="10"/>
        <v>0</v>
      </c>
      <c r="AA55">
        <f t="shared" ca="1" si="11"/>
        <v>0</v>
      </c>
      <c r="AC55" s="94">
        <f t="shared" ca="1" si="8"/>
        <v>295248373.67099297</v>
      </c>
      <c r="AD55">
        <f ca="1">AC55*E55*10000*VLOOKUP(A55,[1]kcal!$A$2:$C$49,3,FALSE)/1000000000000*IFERROR(VLOOKUP(A55,'Kategorisering af kcal'!$A$2:$E$18,MATCH('Produktion &amp; forbrug'!F55,'Kategorisering af kcal'!$A$1:$E$1,0),FALSE),0)</f>
        <v>0</v>
      </c>
      <c r="AE55">
        <f ca="1">IF(C55&lt;&gt;"",AC55*(1-IF(A55&lt;&gt;"Græs",VLOOKUP(A55,'Kategorisering af kcal'!$A$2:$E$18,MATCH('Produktion &amp; forbrug'!F55,'Kategorisering af kcal'!$A$1:$E$1,0),FALSE),HLOOKUP(F55,Græsprotein!$C$2:$E$8,7))),'Produktion &amp; forbrug'!AC55)</f>
        <v>295248373.67099297</v>
      </c>
      <c r="AF55" s="94">
        <f t="shared" ca="1" si="9"/>
        <v>0</v>
      </c>
      <c r="AG55">
        <f ca="1">IF(AC55&lt;0,AD55,G55*E55*10000*VLOOKUP(A55,[1]kcal!$A$2:$C$49,3,FALSE)/1000000000000*IFERROR(VLOOKUP(A55,'Kategorisering af kcal'!$A$2:$E$18,MATCH('Produktion &amp; forbrug'!F55,'Kategorisering af kcal'!$A$1:$E$1,0),FALSE),0))</f>
        <v>0</v>
      </c>
      <c r="AH55">
        <f ca="1">AE55*IFERROR(VLOOKUP(A55,[1]Tørstofindhold!A$2:B$25,2,FALSE),0)</f>
        <v>0</v>
      </c>
      <c r="AI55">
        <f>K55*IFERROR(VLOOKUP(A55,[1]Tørstofindhold!A$2:B$25,2,FALSE),0)</f>
        <v>0</v>
      </c>
    </row>
    <row r="56" spans="1:35" hidden="1" x14ac:dyDescent="0.25">
      <c r="A56" s="171" t="str">
        <f t="shared" si="12"/>
        <v>Biogasgylle</v>
      </c>
      <c r="B56" s="171" t="str">
        <f t="shared" si="13"/>
        <v/>
      </c>
      <c r="C56" s="171" t="str">
        <f>IFERROR(VLOOKUP(A56,'Kategorisering af kcal'!$A$2:$B$18,2,FALSE),"")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5"/>
        <v>0</v>
      </c>
      <c r="F56" s="171">
        <f t="shared" si="14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13683130.550764399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10736909.103015775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2946221.4477486238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P56*IFERROR(VLOOKUP(A56,[1]Tørstofindhold!A$2:B$25,2,FALSE),0)</f>
        <v>0</v>
      </c>
      <c r="W56">
        <f>IF(F56=År1,Q56,SUM(P56,Q56))*IFERROR(VLOOKUP(A56,[1]Tørstofindhold!A$2:B$25,2,FALSE),0)</f>
        <v>0</v>
      </c>
      <c r="X56">
        <f>K56*IFERROR(VLOOKUP(A56,[1]Tørstofindhold!A$2:B$25,2,FALSE),0)</f>
        <v>0</v>
      </c>
      <c r="Y56" s="170">
        <f t="shared" si="7"/>
        <v>0</v>
      </c>
      <c r="Z56">
        <f t="shared" ca="1" si="10"/>
        <v>0</v>
      </c>
      <c r="AA56">
        <f t="shared" ca="1" si="11"/>
        <v>1</v>
      </c>
      <c r="AC56" s="94">
        <f t="shared" ca="1" si="8"/>
        <v>13683130.550764399</v>
      </c>
      <c r="AD56">
        <f ca="1">AC56*E56*10000*VLOOKUP(A56,[1]kcal!$A$2:$C$49,3,FALSE)/1000000000000*IFERROR(VLOOKUP(A56,'Kategorisering af kcal'!$A$2:$E$18,MATCH('Produktion &amp; forbrug'!F56,'Kategorisering af kcal'!$A$1:$E$1,0),FALSE),0)</f>
        <v>0</v>
      </c>
      <c r="AE56">
        <f ca="1">IF(C56&lt;&gt;"",AC56*(1-IF(A56&lt;&gt;"Græs",VLOOKUP(A56,'Kategorisering af kcal'!$A$2:$E$18,MATCH('Produktion &amp; forbrug'!F56,'Kategorisering af kcal'!$A$1:$E$1,0),FALSE),HLOOKUP(F56,Græsprotein!$C$2:$E$8,7))),'Produktion &amp; forbrug'!AC56)</f>
        <v>13683130.550764399</v>
      </c>
      <c r="AF56" s="94">
        <f t="shared" ca="1" si="9"/>
        <v>0</v>
      </c>
      <c r="AG56">
        <f ca="1">IF(AC56&lt;0,AD56,G56*E56*10000*VLOOKUP(A56,[1]kcal!$A$2:$C$49,3,FALSE)/1000000000000*IFERROR(VLOOKUP(A56,'Kategorisering af kcal'!$A$2:$E$18,MATCH('Produktion &amp; forbrug'!F56,'Kategorisering af kcal'!$A$1:$E$1,0),FALSE),0))</f>
        <v>0</v>
      </c>
      <c r="AH56">
        <f ca="1">AE56*IFERROR(VLOOKUP(A56,[1]Tørstofindhold!A$2:B$25,2,FALSE),0)</f>
        <v>0</v>
      </c>
      <c r="AI56">
        <f>K56*IFERROR(VLOOKUP(A56,[1]Tørstofindhold!A$2:B$25,2,FALSE),0)</f>
        <v>0</v>
      </c>
    </row>
    <row r="57" spans="1:35" hidden="1" x14ac:dyDescent="0.25">
      <c r="A57" s="171" t="str">
        <f t="shared" si="12"/>
        <v>Brun saft</v>
      </c>
      <c r="B57" s="171" t="str">
        <f t="shared" si="13"/>
        <v>Brun saft</v>
      </c>
      <c r="C57" s="171" t="str">
        <f>IFERROR(VLOOKUP(A57,'Kategorisering af kcal'!$A$2:$B$18,2,FALSE),"")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5"/>
        <v>0</v>
      </c>
      <c r="F57" s="171">
        <f t="shared" si="14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16557407.347165897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16557407.347165897</v>
      </c>
      <c r="P57" s="94">
        <f t="shared" si="4"/>
        <v>16557407.347165897</v>
      </c>
      <c r="Q57" s="180">
        <f t="shared" si="5"/>
        <v>0</v>
      </c>
      <c r="R57">
        <f>IFERROR(VLOOKUP(A57,[1]Energiindhold!$A$2:$C$11,3,FALSE),IFERROR(VLOOKUP(A57,[1]Biogasudbytte!$A$2:$B$18,2,FALSE)*[1]Energiindhold!$C$10,0))*P57</f>
        <v>9.4050391396947468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9.4050391396947468</v>
      </c>
      <c r="T57">
        <f>IFERROR(VLOOKUP(A57,[1]Biogasudbytte!$A$2:$B$18,2,FALSE)*[1]Energiindhold!$C$10,0)*K57*IFERROR(VLOOKUP(A57,Biogasanlæg!$F$3:$G$8,2,FALSE),1)</f>
        <v>0</v>
      </c>
      <c r="U57" s="170">
        <f t="shared" si="6"/>
        <v>9.4050391396947468</v>
      </c>
      <c r="V57" s="169">
        <f>P57*IFERROR(VLOOKUP(A57,[1]Tørstofindhold!A$2:B$25,2,FALSE),0)</f>
        <v>708050.82735035347</v>
      </c>
      <c r="W57">
        <f>IF(F57=År1,Q57,SUM(P57,Q57))*IFERROR(VLOOKUP(A57,[1]Tørstofindhold!A$2:B$25,2,FALSE),0)</f>
        <v>708050.82735035347</v>
      </c>
      <c r="X57">
        <f>K57*IFERROR(VLOOKUP(A57,[1]Tørstofindhold!A$2:B$25,2,FALSE),0)</f>
        <v>0</v>
      </c>
      <c r="Y57" s="170">
        <f t="shared" si="7"/>
        <v>708050.82735035347</v>
      </c>
      <c r="Z57">
        <f t="shared" si="10"/>
        <v>0</v>
      </c>
      <c r="AA57">
        <f t="shared" si="11"/>
        <v>1</v>
      </c>
      <c r="AC57" s="94">
        <f t="shared" si="8"/>
        <v>16557407.347165897</v>
      </c>
      <c r="AD57">
        <f>AC57*E57*10000*VLOOKUP(A57,[1]kcal!$A$2:$C$49,3,FALSE)/1000000000000*IFERROR(VLOOKUP(A57,'Kategorisering af kcal'!$A$2:$E$18,MATCH('Produktion &amp; forbrug'!F57,'Kategorisering af kcal'!$A$1:$E$1,0),FALSE),0)</f>
        <v>0</v>
      </c>
      <c r="AE57">
        <f>IF(C57&lt;&gt;"",AC57*(1-IF(A57&lt;&gt;"Græs",VLOOKUP(A57,'Kategorisering af kcal'!$A$2:$E$18,MATCH('Produktion &amp; forbrug'!F57,'Kategorisering af kcal'!$A$1:$E$1,0),FALSE),HLOOKUP(F57,Græsprotein!$C$2:$E$8,7))),'Produktion &amp; forbrug'!AC57)</f>
        <v>16557407.347165897</v>
      </c>
      <c r="AF57" s="94">
        <f t="shared" si="9"/>
        <v>0</v>
      </c>
      <c r="AG57">
        <f>IF(AC57&lt;0,AD57,G57*E57*10000*VLOOKUP(A57,[1]kcal!$A$2:$C$49,3,FALSE)/1000000000000*IFERROR(VLOOKUP(A57,'Kategorisering af kcal'!$A$2:$E$18,MATCH('Produktion &amp; forbrug'!F57,'Kategorisering af kcal'!$A$1:$E$1,0),FALSE),0))</f>
        <v>0</v>
      </c>
      <c r="AH57">
        <f>AE57*IFERROR(VLOOKUP(A57,[1]Tørstofindhold!A$2:B$25,2,FALSE),0)</f>
        <v>708050.82735035347</v>
      </c>
      <c r="AI57">
        <f>K57*IFERROR(VLOOKUP(A57,[1]Tørstofindhold!A$2:B$25,2,FALSE),0)</f>
        <v>0</v>
      </c>
    </row>
    <row r="58" spans="1:35" hidden="1" x14ac:dyDescent="0.25">
      <c r="A58" s="171" t="str">
        <f t="shared" si="12"/>
        <v>Dybstrøelse</v>
      </c>
      <c r="B58" s="171" t="str">
        <f t="shared" si="13"/>
        <v>Husdyrgødning</v>
      </c>
      <c r="C58" s="171" t="str">
        <f>IFERROR(VLOOKUP(A58,'Kategorisering af kcal'!$A$2:$B$18,2,FALSE),"")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5"/>
        <v>0</v>
      </c>
      <c r="F58" s="171">
        <f t="shared" si="14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2851047.0855192984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0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269831.24202236213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2581215.8434969364</v>
      </c>
      <c r="P58" s="94">
        <f t="shared" si="4"/>
        <v>2581215.8434969364</v>
      </c>
      <c r="Q58" s="180">
        <f t="shared" si="5"/>
        <v>0</v>
      </c>
      <c r="R58">
        <f>IFERROR(VLOOKUP(A58,[1]Energiindhold!$A$2:$C$11,3,FALSE),IFERROR(VLOOKUP(A58,[1]Biogasudbytte!$A$2:$B$18,2,FALSE)*[1]Energiindhold!$C$10,0))*P58</f>
        <v>5.5599389268924009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5.5599389268924009</v>
      </c>
      <c r="T58">
        <f>IFERROR(VLOOKUP(A58,[1]Biogasudbytte!$A$2:$B$18,2,FALSE)*[1]Energiindhold!$C$10,0)*K58*IFERROR(VLOOKUP(A58,Biogasanlæg!$F$3:$G$8,2,FALSE),1)</f>
        <v>0</v>
      </c>
      <c r="U58" s="170">
        <f t="shared" si="6"/>
        <v>5.5599389268924009</v>
      </c>
      <c r="V58" s="169">
        <f>P58*IFERROR(VLOOKUP(A58,[1]Tørstofindhold!A$2:B$25,2,FALSE),0)</f>
        <v>774364.75304908084</v>
      </c>
      <c r="W58">
        <f>IF(F58=År1,Q58,SUM(P58,Q58))*IFERROR(VLOOKUP(A58,[1]Tørstofindhold!A$2:B$25,2,FALSE),0)</f>
        <v>774364.75304908084</v>
      </c>
      <c r="X58">
        <f>K58*IFERROR(VLOOKUP(A58,[1]Tørstofindhold!A$2:B$25,2,FALSE),0)</f>
        <v>0</v>
      </c>
      <c r="Y58" s="170">
        <f t="shared" si="7"/>
        <v>774364.75304908084</v>
      </c>
      <c r="Z58">
        <f t="shared" si="10"/>
        <v>0</v>
      </c>
      <c r="AA58">
        <f t="shared" si="11"/>
        <v>1</v>
      </c>
      <c r="AC58" s="94">
        <f t="shared" si="8"/>
        <v>2851047.0855192984</v>
      </c>
      <c r="AD58">
        <f>AC58*E58*10000*VLOOKUP(A58,[1]kcal!$A$2:$C$49,3,FALSE)/1000000000000*IFERROR(VLOOKUP(A58,'Kategorisering af kcal'!$A$2:$E$18,MATCH('Produktion &amp; forbrug'!F58,'Kategorisering af kcal'!$A$1:$E$1,0),FALSE),0)</f>
        <v>0</v>
      </c>
      <c r="AE58">
        <f>IF(C58&lt;&gt;"",AC58*(1-IF(A58&lt;&gt;"Græs",VLOOKUP(A58,'Kategorisering af kcal'!$A$2:$E$18,MATCH('Produktion &amp; forbrug'!F58,'Kategorisering af kcal'!$A$1:$E$1,0),FALSE),HLOOKUP(F58,Græsprotein!$C$2:$E$8,7))),'Produktion &amp; forbrug'!AC58)</f>
        <v>2851047.0855192984</v>
      </c>
      <c r="AF58" s="94">
        <f t="shared" si="9"/>
        <v>0</v>
      </c>
      <c r="AG58">
        <f>IF(AC58&lt;0,AD58,G58*E58*10000*VLOOKUP(A58,[1]kcal!$A$2:$C$49,3,FALSE)/1000000000000*IFERROR(VLOOKUP(A58,'Kategorisering af kcal'!$A$2:$E$18,MATCH('Produktion &amp; forbrug'!F58,'Kategorisering af kcal'!$A$1:$E$1,0),FALSE),0))</f>
        <v>0</v>
      </c>
      <c r="AH58">
        <f>AE58*IFERROR(VLOOKUP(A58,[1]Tørstofindhold!A$2:B$25,2,FALSE),0)</f>
        <v>855314.12565578951</v>
      </c>
      <c r="AI58">
        <f>K58*IFERROR(VLOOKUP(A58,[1]Tørstofindhold!A$2:B$25,2,FALSE),0)</f>
        <v>0</v>
      </c>
    </row>
    <row r="59" spans="1:35" hidden="1" x14ac:dyDescent="0.25">
      <c r="A59" s="171" t="str">
        <f t="shared" si="12"/>
        <v>Fiberfraktion</v>
      </c>
      <c r="B59" s="171" t="str">
        <f t="shared" si="13"/>
        <v>Fiberfraktion</v>
      </c>
      <c r="C59" s="171" t="str">
        <f>IFERROR(VLOOKUP(A59,'Kategorisering af kcal'!$A$2:$B$18,2,FALSE),"")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5"/>
        <v>0</v>
      </c>
      <c r="F59" s="171">
        <f t="shared" si="14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11662013.626946999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0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11662013.626946999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P59*IFERROR(VLOOKUP(A59,[1]Tørstofindhold!A$2:B$25,2,FALSE),0)</f>
        <v>0</v>
      </c>
      <c r="W59">
        <f>IF(F59=År1,Q59,SUM(P59,Q59))*IFERROR(VLOOKUP(A59,[1]Tørstofindhold!A$2:B$25,2,FALSE),0)</f>
        <v>0</v>
      </c>
      <c r="X59">
        <f>K59*IFERROR(VLOOKUP(A59,[1]Tørstofindhold!A$2:B$25,2,FALSE),0)</f>
        <v>0</v>
      </c>
      <c r="Y59" s="170">
        <f t="shared" si="7"/>
        <v>0</v>
      </c>
      <c r="Z59">
        <f t="shared" si="10"/>
        <v>0</v>
      </c>
      <c r="AA59">
        <f t="shared" si="11"/>
        <v>1</v>
      </c>
      <c r="AC59" s="94">
        <f t="shared" si="8"/>
        <v>11662013.626946999</v>
      </c>
      <c r="AD59">
        <f>AC59*E59*10000*VLOOKUP(A59,[1]kcal!$A$2:$C$49,3,FALSE)/1000000000000*IFERROR(VLOOKUP(A59,'Kategorisering af kcal'!$A$2:$E$18,MATCH('Produktion &amp; forbrug'!F59,'Kategorisering af kcal'!$A$1:$E$1,0),FALSE),0)</f>
        <v>0</v>
      </c>
      <c r="AE59">
        <f>IF(C59&lt;&gt;"",AC59*(1-IF(A59&lt;&gt;"Græs",VLOOKUP(A59,'Kategorisering af kcal'!$A$2:$E$18,MATCH('Produktion &amp; forbrug'!F59,'Kategorisering af kcal'!$A$1:$E$1,0),FALSE),HLOOKUP(F59,Græsprotein!$C$2:$E$8,7))),'Produktion &amp; forbrug'!AC59)</f>
        <v>11662013.626946999</v>
      </c>
      <c r="AF59" s="94">
        <f t="shared" si="9"/>
        <v>0</v>
      </c>
      <c r="AG59">
        <f>IF(AC59&lt;0,AD59,G59*E59*10000*VLOOKUP(A59,[1]kcal!$A$2:$C$49,3,FALSE)/1000000000000*IFERROR(VLOOKUP(A59,'Kategorisering af kcal'!$A$2:$E$18,MATCH('Produktion &amp; forbrug'!F59,'Kategorisering af kcal'!$A$1:$E$1,0),FALSE),0))</f>
        <v>0</v>
      </c>
      <c r="AH59">
        <f>AE59*IFERROR(VLOOKUP(A59,[1]Tørstofindhold!A$2:B$25,2,FALSE),0)</f>
        <v>3965084.6331619797</v>
      </c>
      <c r="AI59">
        <f>K59*IFERROR(VLOOKUP(A59,[1]Tørstofindhold!A$2:B$25,2,FALSE),0)</f>
        <v>0</v>
      </c>
    </row>
    <row r="60" spans="1:35" hidden="1" x14ac:dyDescent="0.25">
      <c r="A60" s="171" t="str">
        <f t="shared" si="12"/>
        <v>Fjerkrægylle</v>
      </c>
      <c r="B60" s="171" t="str">
        <f t="shared" si="13"/>
        <v>Husdyrgødning</v>
      </c>
      <c r="C60" s="171" t="str">
        <f>IFERROR(VLOOKUP(A60,'Kategorisering af kcal'!$A$2:$B$18,2,FALSE),"")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5"/>
        <v>0</v>
      </c>
      <c r="F60" s="171">
        <f t="shared" si="14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8763.0298060619389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0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2190.7574515154847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6572.2723545464542</v>
      </c>
      <c r="P60" s="94">
        <f t="shared" si="4"/>
        <v>6572.2723545464542</v>
      </c>
      <c r="Q60" s="180">
        <f t="shared" si="5"/>
        <v>0</v>
      </c>
      <c r="R60">
        <f>IFERROR(VLOOKUP(A60,[1]Energiindhold!$A$2:$C$11,3,FALSE),IFERROR(VLOOKUP(A60,[1]Biogasudbytte!$A$2:$B$18,2,FALSE)*[1]Energiindhold!$C$10,0))*P60</f>
        <v>3.090873965619652E-3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3.090873965619652E-3</v>
      </c>
      <c r="T60">
        <f>IFERROR(VLOOKUP(A60,[1]Biogasudbytte!$A$2:$B$18,2,FALSE)*[1]Energiindhold!$C$10,0)*K60*IFERROR(VLOOKUP(A60,Biogasanlæg!$F$3:$G$8,2,FALSE),1)</f>
        <v>0</v>
      </c>
      <c r="U60" s="170">
        <f t="shared" si="6"/>
        <v>3.090873965619652E-3</v>
      </c>
      <c r="V60" s="169">
        <f>P60*IFERROR(VLOOKUP(A60,[1]Tørstofindhold!A$2:B$25,2,FALSE),0)</f>
        <v>414.05315833642663</v>
      </c>
      <c r="W60">
        <f>IF(F60=År1,Q60,SUM(P60,Q60))*IFERROR(VLOOKUP(A60,[1]Tørstofindhold!A$2:B$25,2,FALSE),0)</f>
        <v>414.05315833642663</v>
      </c>
      <c r="X60">
        <f>K60*IFERROR(VLOOKUP(A60,[1]Tørstofindhold!A$2:B$25,2,FALSE),0)</f>
        <v>0</v>
      </c>
      <c r="Y60" s="170">
        <f t="shared" si="7"/>
        <v>414.05315833642663</v>
      </c>
      <c r="Z60">
        <f t="shared" si="10"/>
        <v>0</v>
      </c>
      <c r="AA60">
        <f t="shared" si="11"/>
        <v>1</v>
      </c>
      <c r="AC60" s="94">
        <f t="shared" si="8"/>
        <v>8763.0298060619389</v>
      </c>
      <c r="AD60">
        <f>AC60*E60*10000*VLOOKUP(A60,[1]kcal!$A$2:$C$49,3,FALSE)/1000000000000*IFERROR(VLOOKUP(A60,'Kategorisering af kcal'!$A$2:$E$18,MATCH('Produktion &amp; forbrug'!F60,'Kategorisering af kcal'!$A$1:$E$1,0),FALSE),0)</f>
        <v>0</v>
      </c>
      <c r="AE60">
        <f>IF(C60&lt;&gt;"",AC60*(1-IF(A60&lt;&gt;"Græs",VLOOKUP(A60,'Kategorisering af kcal'!$A$2:$E$18,MATCH('Produktion &amp; forbrug'!F60,'Kategorisering af kcal'!$A$1:$E$1,0),FALSE),HLOOKUP(F60,Græsprotein!$C$2:$E$8,7))),'Produktion &amp; forbrug'!AC60)</f>
        <v>8763.0298060619389</v>
      </c>
      <c r="AF60" s="94">
        <f t="shared" si="9"/>
        <v>0</v>
      </c>
      <c r="AG60">
        <f>IF(AC60&lt;0,AD60,G60*E60*10000*VLOOKUP(A60,[1]kcal!$A$2:$C$49,3,FALSE)/1000000000000*IFERROR(VLOOKUP(A60,'Kategorisering af kcal'!$A$2:$E$18,MATCH('Produktion &amp; forbrug'!F60,'Kategorisering af kcal'!$A$1:$E$1,0),FALSE),0))</f>
        <v>0</v>
      </c>
      <c r="AH60">
        <f>AE60*IFERROR(VLOOKUP(A60,[1]Tørstofindhold!A$2:B$25,2,FALSE),0)</f>
        <v>552.07087778190214</v>
      </c>
      <c r="AI60">
        <f>K60*IFERROR(VLOOKUP(A60,[1]Tørstofindhold!A$2:B$25,2,FALSE),0)</f>
        <v>0</v>
      </c>
    </row>
    <row r="61" spans="1:35" hidden="1" x14ac:dyDescent="0.25">
      <c r="A61" s="171" t="str">
        <f t="shared" si="12"/>
        <v>Fjerkrækød</v>
      </c>
      <c r="B61" s="171" t="str">
        <f t="shared" si="13"/>
        <v/>
      </c>
      <c r="C61" s="171" t="str">
        <f>IFERROR(VLOOKUP(A61,'Kategorisering af kcal'!$A$2:$B$18,2,FALSE),"")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5"/>
        <v>1</v>
      </c>
      <c r="F61" s="171">
        <f t="shared" si="14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106887.81651997143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0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106887.81651997143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P61*IFERROR(VLOOKUP(A61,[1]Tørstofindhold!A$2:B$25,2,FALSE),0)</f>
        <v>0</v>
      </c>
      <c r="W61">
        <f>IF(F61=År1,Q61,SUM(P61,Q61))*IFERROR(VLOOKUP(A61,[1]Tørstofindhold!A$2:B$25,2,FALSE),0)</f>
        <v>0</v>
      </c>
      <c r="X61">
        <f>K61*IFERROR(VLOOKUP(A61,[1]Tørstofindhold!A$2:B$25,2,FALSE),0)</f>
        <v>0</v>
      </c>
      <c r="Y61" s="170">
        <f t="shared" si="7"/>
        <v>0</v>
      </c>
      <c r="Z61">
        <f t="shared" si="10"/>
        <v>0</v>
      </c>
      <c r="AA61">
        <f t="shared" si="11"/>
        <v>1</v>
      </c>
      <c r="AC61" s="94">
        <f t="shared" si="8"/>
        <v>106887.81651997143</v>
      </c>
      <c r="AD61">
        <f>AC61*E61*10000*VLOOKUP(A61,[1]kcal!$A$2:$C$49,3,FALSE)/1000000000000*IFERROR(VLOOKUP(A61,'Kategorisering af kcal'!$A$2:$E$18,MATCH('Produktion &amp; forbrug'!F61,'Kategorisering af kcal'!$A$1:$E$1,0),FALSE),0)</f>
        <v>0.16246948111035656</v>
      </c>
      <c r="AE61">
        <f>IF(C61&lt;&gt;"",AC61*(1-IF(A61&lt;&gt;"Græs",VLOOKUP(A61,'Kategorisering af kcal'!$A$2:$E$18,MATCH('Produktion &amp; forbrug'!F61,'Kategorisering af kcal'!$A$1:$E$1,0),FALSE),HLOOKUP(F61,Græsprotein!$C$2:$E$8,7))),'Produktion &amp; forbrug'!AC61)</f>
        <v>0</v>
      </c>
      <c r="AF61" s="94">
        <f t="shared" si="9"/>
        <v>106887.81651997143</v>
      </c>
      <c r="AG61">
        <f>IF(AC61&lt;0,AD61,G61*E61*10000*VLOOKUP(A61,[1]kcal!$A$2:$C$49,3,FALSE)/1000000000000*IFERROR(VLOOKUP(A61,'Kategorisering af kcal'!$A$2:$E$18,MATCH('Produktion &amp; forbrug'!F61,'Kategorisering af kcal'!$A$1:$E$1,0),FALSE),0))</f>
        <v>0.16246948111035656</v>
      </c>
      <c r="AH61">
        <f>AE61*IFERROR(VLOOKUP(A61,[1]Tørstofindhold!A$2:B$25,2,FALSE),0)</f>
        <v>0</v>
      </c>
      <c r="AI61">
        <f>K61*IFERROR(VLOOKUP(A61,[1]Tørstofindhold!A$2:B$25,2,FALSE),0)</f>
        <v>0</v>
      </c>
    </row>
    <row r="62" spans="1:35" hidden="1" x14ac:dyDescent="0.25">
      <c r="A62" s="171" t="str">
        <f t="shared" si="12"/>
        <v>Frø</v>
      </c>
      <c r="B62" s="171" t="str">
        <f t="shared" si="13"/>
        <v/>
      </c>
      <c r="C62" s="171" t="str">
        <f>IFERROR(VLOOKUP(A62,'Kategorisering af kcal'!$A$2:$B$18,2,FALSE),"")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5"/>
        <v>0</v>
      </c>
      <c r="F62" s="171">
        <f t="shared" si="14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884051.0593127351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884051.0593127351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P62*IFERROR(VLOOKUP(A62,[1]Tørstofindhold!A$2:B$25,2,FALSE),0)</f>
        <v>0</v>
      </c>
      <c r="W62">
        <f>IF(F62=År1,Q62,SUM(P62,Q62))*IFERROR(VLOOKUP(A62,[1]Tørstofindhold!A$2:B$25,2,FALSE),0)</f>
        <v>0</v>
      </c>
      <c r="X62">
        <f>K62*IFERROR(VLOOKUP(A62,[1]Tørstofindhold!A$2:B$25,2,FALSE),0)</f>
        <v>0</v>
      </c>
      <c r="Y62" s="170">
        <f t="shared" si="7"/>
        <v>0</v>
      </c>
      <c r="Z62">
        <f t="shared" si="10"/>
        <v>0</v>
      </c>
      <c r="AA62">
        <f t="shared" si="11"/>
        <v>1</v>
      </c>
      <c r="AC62" s="94">
        <f t="shared" si="8"/>
        <v>884051.0593127351</v>
      </c>
      <c r="AD62">
        <f>AC62*E62*10000*VLOOKUP(A62,[1]kcal!$A$2:$C$49,3,FALSE)/1000000000000*IFERROR(VLOOKUP(A62,'Kategorisering af kcal'!$A$2:$E$18,MATCH('Produktion &amp; forbrug'!F62,'Kategorisering af kcal'!$A$1:$E$1,0),FALSE),0)</f>
        <v>0</v>
      </c>
      <c r="AE62">
        <f>IF(C62&lt;&gt;"",AC62*(1-IF(A62&lt;&gt;"Græs",VLOOKUP(A62,'Kategorisering af kcal'!$A$2:$E$18,MATCH('Produktion &amp; forbrug'!F62,'Kategorisering af kcal'!$A$1:$E$1,0),FALSE),HLOOKUP(F62,Græsprotein!$C$2:$E$8,7))),'Produktion &amp; forbrug'!AC62)</f>
        <v>884051.0593127351</v>
      </c>
      <c r="AF62" s="94">
        <f t="shared" si="9"/>
        <v>0</v>
      </c>
      <c r="AG62">
        <f>IF(AC62&lt;0,AD62,G62*E62*10000*VLOOKUP(A62,[1]kcal!$A$2:$C$49,3,FALSE)/1000000000000*IFERROR(VLOOKUP(A62,'Kategorisering af kcal'!$A$2:$E$18,MATCH('Produktion &amp; forbrug'!F62,'Kategorisering af kcal'!$A$1:$E$1,0),FALSE),0))</f>
        <v>0</v>
      </c>
      <c r="AH62">
        <f>AE62*IFERROR(VLOOKUP(A62,[1]Tørstofindhold!A$2:B$25,2,FALSE),0)</f>
        <v>0</v>
      </c>
      <c r="AI62">
        <f>K62*IFERROR(VLOOKUP(A62,[1]Tørstofindhold!A$2:B$25,2,FALSE),0)</f>
        <v>0</v>
      </c>
    </row>
    <row r="63" spans="1:35" hidden="1" x14ac:dyDescent="0.25">
      <c r="A63" s="171" t="str">
        <f t="shared" si="12"/>
        <v>Frugt</v>
      </c>
      <c r="B63" s="171" t="str">
        <f t="shared" si="13"/>
        <v/>
      </c>
      <c r="C63" s="171" t="str">
        <f>IFERROR(VLOOKUP(A63,'Kategorisering af kcal'!$A$2:$B$18,2,FALSE),"")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5"/>
        <v>1</v>
      </c>
      <c r="F63" s="171">
        <f t="shared" si="14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567628.05014484655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0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567628.05014484655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P63*IFERROR(VLOOKUP(A63,[1]Tørstofindhold!A$2:B$25,2,FALSE),0)</f>
        <v>0</v>
      </c>
      <c r="W63">
        <f>IF(F63=År1,Q63,SUM(P63,Q63))*IFERROR(VLOOKUP(A63,[1]Tørstofindhold!A$2:B$25,2,FALSE),0)</f>
        <v>0</v>
      </c>
      <c r="X63">
        <f>K63*IFERROR(VLOOKUP(A63,[1]Tørstofindhold!A$2:B$25,2,FALSE),0)</f>
        <v>0</v>
      </c>
      <c r="Y63" s="170">
        <f t="shared" si="7"/>
        <v>0</v>
      </c>
      <c r="Z63">
        <f t="shared" si="10"/>
        <v>0</v>
      </c>
      <c r="AA63">
        <f t="shared" si="11"/>
        <v>1</v>
      </c>
      <c r="AC63" s="94">
        <f t="shared" si="8"/>
        <v>567628.05014484655</v>
      </c>
      <c r="AD63">
        <f>AC63*E63*10000*VLOOKUP(A63,[1]kcal!$A$2:$C$49,3,FALSE)/1000000000000*IFERROR(VLOOKUP(A63,'Kategorisering af kcal'!$A$2:$E$18,MATCH('Produktion &amp; forbrug'!F63,'Kategorisering af kcal'!$A$1:$E$1,0),FALSE),0)</f>
        <v>0.2951665860753202</v>
      </c>
      <c r="AE63">
        <f>IF(C63&lt;&gt;"",AC63*(1-IF(A63&lt;&gt;"Græs",VLOOKUP(A63,'Kategorisering af kcal'!$A$2:$E$18,MATCH('Produktion &amp; forbrug'!F63,'Kategorisering af kcal'!$A$1:$E$1,0),FALSE),HLOOKUP(F63,Græsprotein!$C$2:$E$8,7))),'Produktion &amp; forbrug'!AC63)</f>
        <v>0</v>
      </c>
      <c r="AF63" s="94">
        <f t="shared" si="9"/>
        <v>567628.05014484655</v>
      </c>
      <c r="AG63">
        <f>IF(AC63&lt;0,AD63,G63*E63*10000*VLOOKUP(A63,[1]kcal!$A$2:$C$49,3,FALSE)/1000000000000*IFERROR(VLOOKUP(A63,'Kategorisering af kcal'!$A$2:$E$18,MATCH('Produktion &amp; forbrug'!F63,'Kategorisering af kcal'!$A$1:$E$1,0),FALSE),0))</f>
        <v>0.2951665860753202</v>
      </c>
      <c r="AH63">
        <f>AE63*IFERROR(VLOOKUP(A63,[1]Tørstofindhold!A$2:B$25,2,FALSE),0)</f>
        <v>0</v>
      </c>
      <c r="AI63">
        <f>K63*IFERROR(VLOOKUP(A63,[1]Tørstofindhold!A$2:B$25,2,FALSE),0)</f>
        <v>0</v>
      </c>
    </row>
    <row r="64" spans="1:35" hidden="1" x14ac:dyDescent="0.25">
      <c r="A64" s="171" t="str">
        <f t="shared" si="12"/>
        <v>Glycerin</v>
      </c>
      <c r="B64" s="171" t="str">
        <f t="shared" si="13"/>
        <v>Glycerin</v>
      </c>
      <c r="C64" s="171" t="str">
        <f>IFERROR(VLOOKUP(A64,'Kategorisering af kcal'!$A$2:$B$18,2,FALSE),"")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5"/>
        <v>0</v>
      </c>
      <c r="F64" s="171">
        <f t="shared" si="14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0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0</v>
      </c>
      <c r="P64" s="94">
        <f t="shared" si="4"/>
        <v>0</v>
      </c>
      <c r="Q64" s="180">
        <f t="shared" si="5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6"/>
        <v>0</v>
      </c>
      <c r="V64" s="169">
        <f>P64*IFERROR(VLOOKUP(A64,[1]Tørstofindhold!A$2:B$25,2,FALSE),0)</f>
        <v>0</v>
      </c>
      <c r="W64">
        <f>IF(F64=År1,Q64,SUM(P64,Q64))*IFERROR(VLOOKUP(A64,[1]Tørstofindhold!A$2:B$25,2,FALSE),0)</f>
        <v>0</v>
      </c>
      <c r="X64">
        <f>K64*IFERROR(VLOOKUP(A64,[1]Tørstofindhold!A$2:B$25,2,FALSE),0)</f>
        <v>0</v>
      </c>
      <c r="Y64" s="170">
        <f t="shared" si="7"/>
        <v>0</v>
      </c>
      <c r="Z64">
        <f t="shared" si="10"/>
        <v>0</v>
      </c>
      <c r="AA64">
        <f t="shared" si="11"/>
        <v>0</v>
      </c>
      <c r="AC64" s="94">
        <f t="shared" si="8"/>
        <v>0</v>
      </c>
      <c r="AD64">
        <f>AC64*E64*10000*VLOOKUP(A64,[1]kcal!$A$2:$C$49,3,FALSE)/1000000000000*IFERROR(VLOOKUP(A64,'Kategorisering af kcal'!$A$2:$E$18,MATCH('Produktion &amp; forbrug'!F64,'Kategorisering af kcal'!$A$1:$E$1,0),FALSE),0)</f>
        <v>0</v>
      </c>
      <c r="AE64">
        <f>IF(C64&lt;&gt;"",AC64*(1-IF(A64&lt;&gt;"Græs",VLOOKUP(A64,'Kategorisering af kcal'!$A$2:$E$18,MATCH('Produktion &amp; forbrug'!F64,'Kategorisering af kcal'!$A$1:$E$1,0),FALSE),HLOOKUP(F64,Græsprotein!$C$2:$E$8,7))),'Produktion &amp; forbrug'!AC64)</f>
        <v>0</v>
      </c>
      <c r="AF64" s="94">
        <f t="shared" si="9"/>
        <v>0</v>
      </c>
      <c r="AG64">
        <f>IF(AC64&lt;0,AD64,G64*E64*10000*VLOOKUP(A64,[1]kcal!$A$2:$C$49,3,FALSE)/1000000000000*IFERROR(VLOOKUP(A64,'Kategorisering af kcal'!$A$2:$E$18,MATCH('Produktion &amp; forbrug'!F64,'Kategorisering af kcal'!$A$1:$E$1,0),FALSE),0))</f>
        <v>0</v>
      </c>
      <c r="AH64">
        <f>AE64*IFERROR(VLOOKUP(A64,[1]Tørstofindhold!A$2:B$25,2,FALSE),0)</f>
        <v>0</v>
      </c>
      <c r="AI64">
        <f>K64*IFERROR(VLOOKUP(A64,[1]Tørstofindhold!A$2:B$25,2,FALSE),0)</f>
        <v>0</v>
      </c>
    </row>
    <row r="65" spans="1:35" hidden="1" x14ac:dyDescent="0.25">
      <c r="A65" s="171" t="str">
        <f t="shared" si="12"/>
        <v>Græs</v>
      </c>
      <c r="B65" s="171" t="str">
        <f t="shared" si="13"/>
        <v>Græs</v>
      </c>
      <c r="C65" s="171" t="str">
        <f>IFERROR(VLOOKUP(A65,'Kategorisering af kcal'!$A$2:$B$18,2,FALSE),"")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5"/>
        <v>1</v>
      </c>
      <c r="F65" s="171">
        <f t="shared" si="14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27619129.881222751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8606229.0812590327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33883827.592915721</v>
      </c>
      <c r="O65" s="179">
        <f t="shared" si="3"/>
        <v>-14870926.792952005</v>
      </c>
      <c r="P65" s="94">
        <f t="shared" si="4"/>
        <v>0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0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0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0</v>
      </c>
      <c r="V65" s="169">
        <f>P65*IFERROR(VLOOKUP(A65,[1]Tørstofindhold!A$2:B$25,2,FALSE),0)</f>
        <v>0</v>
      </c>
      <c r="W65">
        <f>IF(F65=År1,Q65,SUM(P65,Q65))*IFERROR(VLOOKUP(A65,[1]Tørstofindhold!A$2:B$25,2,FALSE),0)</f>
        <v>0</v>
      </c>
      <c r="X65">
        <f>K65*IFERROR(VLOOKUP(A65,[1]Tørstofindhold!A$2:B$25,2,FALSE),0)</f>
        <v>0</v>
      </c>
      <c r="Y65" s="170">
        <f t="shared" si="7"/>
        <v>0</v>
      </c>
      <c r="Z65">
        <f t="shared" si="10"/>
        <v>1</v>
      </c>
      <c r="AA65">
        <f t="shared" si="11"/>
        <v>0</v>
      </c>
      <c r="AC65" s="94">
        <f t="shared" si="8"/>
        <v>-14870926.792952005</v>
      </c>
      <c r="AD65">
        <f>AC65*E65*10000*VLOOKUP(A65,[1]kcal!$A$2:$C$49,3,FALSE)/1000000000000*IFERROR(VLOOKUP(A65,'Kategorisering af kcal'!$A$2:$E$18,MATCH('Produktion &amp; forbrug'!F65,'Kategorisering af kcal'!$A$1:$E$1,0),FALSE),0)</f>
        <v>-0.52710353387402276</v>
      </c>
      <c r="AE65">
        <f>IF(C65&lt;&gt;"",AC65*(1-IF(A65&lt;&gt;"Græs",VLOOKUP(A65,'Kategorisering af kcal'!$A$2:$E$18,MATCH('Produktion &amp; forbrug'!F65,'Kategorisering af kcal'!$A$1:$E$1,0),FALSE),HLOOKUP(F65,Græsprotein!$C$2:$E$8,7))),'Produktion &amp; forbrug'!AC65)</f>
        <v>-11939382.084663976</v>
      </c>
      <c r="AF65" s="94">
        <f t="shared" si="9"/>
        <v>-2931544.7082880288</v>
      </c>
      <c r="AG65">
        <f>IF(AC65&lt;0,AD65,G65*E65*10000*VLOOKUP(A65,[1]kcal!$A$2:$C$49,3,FALSE)/1000000000000*IFERROR(VLOOKUP(A65,'Kategorisering af kcal'!$A$2:$E$18,MATCH('Produktion &amp; forbrug'!F65,'Kategorisering af kcal'!$A$1:$E$1,0),FALSE),0))</f>
        <v>-0.52710353387402276</v>
      </c>
      <c r="AH65">
        <f>AE65*IFERROR(VLOOKUP(A65,[1]Tørstofindhold!A$2:B$25,2,FALSE),0)</f>
        <v>-3343026.9837059136</v>
      </c>
      <c r="AI65">
        <f>K65*IFERROR(VLOOKUP(A65,[1]Tørstofindhold!A$2:B$25,2,FALSE),0)</f>
        <v>0</v>
      </c>
    </row>
    <row r="66" spans="1:35" hidden="1" x14ac:dyDescent="0.25">
      <c r="A66" s="171" t="str">
        <f t="shared" si="12"/>
        <v>Græsprotein</v>
      </c>
      <c r="B66" s="171" t="str">
        <f t="shared" si="13"/>
        <v/>
      </c>
      <c r="C66" s="171" t="str">
        <f>IFERROR(VLOOKUP(A66,'Kategorisering af kcal'!$A$2:$B$18,2,FALSE),"")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5"/>
        <v>0</v>
      </c>
      <c r="F66" s="171">
        <f t="shared" si="14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5664406.6188028278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5664406.6188028278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P66*IFERROR(VLOOKUP(A66,[1]Tørstofindhold!A$2:B$25,2,FALSE),0)</f>
        <v>0</v>
      </c>
      <c r="W66">
        <f>IF(F66=År1,Q66,SUM(P66,Q66))*IFERROR(VLOOKUP(A66,[1]Tørstofindhold!A$2:B$25,2,FALSE),0)</f>
        <v>0</v>
      </c>
      <c r="X66">
        <f>K66*IFERROR(VLOOKUP(A66,[1]Tørstofindhold!A$2:B$25,2,FALSE),0)</f>
        <v>0</v>
      </c>
      <c r="Y66" s="170">
        <f t="shared" si="7"/>
        <v>0</v>
      </c>
      <c r="Z66">
        <f t="shared" si="10"/>
        <v>0</v>
      </c>
      <c r="AA66">
        <f t="shared" si="11"/>
        <v>0</v>
      </c>
      <c r="AC66" s="94">
        <f t="shared" si="8"/>
        <v>0</v>
      </c>
      <c r="AD66">
        <f>AC66*E66*10000*VLOOKUP(A66,[1]kcal!$A$2:$C$49,3,FALSE)/1000000000000*IFERROR(VLOOKUP(A66,'Kategorisering af kcal'!$A$2:$E$18,MATCH('Produktion &amp; forbrug'!F66,'Kategorisering af kcal'!$A$1:$E$1,0),FALSE),0)</f>
        <v>0</v>
      </c>
      <c r="AE66">
        <f>IF(C66&lt;&gt;"",AC66*(1-IF(A66&lt;&gt;"Græs",VLOOKUP(A66,'Kategorisering af kcal'!$A$2:$E$18,MATCH('Produktion &amp; forbrug'!F66,'Kategorisering af kcal'!$A$1:$E$1,0),FALSE),HLOOKUP(F66,Græsprotein!$C$2:$E$8,7))),'Produktion &amp; forbrug'!AC66)</f>
        <v>0</v>
      </c>
      <c r="AF66" s="94">
        <f t="shared" si="9"/>
        <v>0</v>
      </c>
      <c r="AG66">
        <f>IF(AC66&lt;0,AD66,G66*E66*10000*VLOOKUP(A66,[1]kcal!$A$2:$C$49,3,FALSE)/1000000000000*IFERROR(VLOOKUP(A66,'Kategorisering af kcal'!$A$2:$E$18,MATCH('Produktion &amp; forbrug'!F66,'Kategorisering af kcal'!$A$1:$E$1,0),FALSE),0))</f>
        <v>0</v>
      </c>
      <c r="AH66">
        <f>AE66*IFERROR(VLOOKUP(A66,[1]Tørstofindhold!A$2:B$25,2,FALSE),0)</f>
        <v>0</v>
      </c>
      <c r="AI66">
        <f>K66*IFERROR(VLOOKUP(A66,[1]Tørstofindhold!A$2:B$25,2,FALSE),0)</f>
        <v>0</v>
      </c>
    </row>
    <row r="67" spans="1:35" hidden="1" x14ac:dyDescent="0.25">
      <c r="A67" s="171" t="str">
        <f t="shared" si="12"/>
        <v>Grøntsager</v>
      </c>
      <c r="B67" s="171" t="str">
        <f t="shared" si="13"/>
        <v/>
      </c>
      <c r="C67" s="171" t="str">
        <f>IFERROR(VLOOKUP(A67,'Kategorisering af kcal'!$A$2:$B$18,2,FALSE),"")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5"/>
        <v>1</v>
      </c>
      <c r="F67" s="171">
        <f t="shared" si="14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370707.28173153353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0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370707.28173153353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P67*IFERROR(VLOOKUP(A67,[1]Tørstofindhold!A$2:B$25,2,FALSE),0)</f>
        <v>0</v>
      </c>
      <c r="W67">
        <f>IF(F67=År1,Q67,SUM(P67,Q67))*IFERROR(VLOOKUP(A67,[1]Tørstofindhold!A$2:B$25,2,FALSE),0)</f>
        <v>0</v>
      </c>
      <c r="X67">
        <f>K67*IFERROR(VLOOKUP(A67,[1]Tørstofindhold!A$2:B$25,2,FALSE),0)</f>
        <v>0</v>
      </c>
      <c r="Y67" s="170">
        <f t="shared" si="7"/>
        <v>0</v>
      </c>
      <c r="Z67">
        <f t="shared" si="10"/>
        <v>0</v>
      </c>
      <c r="AA67">
        <f t="shared" si="11"/>
        <v>1</v>
      </c>
      <c r="AC67" s="94">
        <f t="shared" si="8"/>
        <v>370707.28173153353</v>
      </c>
      <c r="AD67">
        <f>AC67*E67*10000*VLOOKUP(A67,[1]kcal!$A$2:$C$49,3,FALSE)/1000000000000*IFERROR(VLOOKUP(A67,'Kategorisering af kcal'!$A$2:$E$18,MATCH('Produktion &amp; forbrug'!F67,'Kategorisering af kcal'!$A$1:$E$1,0),FALSE),0)</f>
        <v>0.14457583987529807</v>
      </c>
      <c r="AE67">
        <f>IF(C67&lt;&gt;"",AC67*(1-IF(A67&lt;&gt;"Græs",VLOOKUP(A67,'Kategorisering af kcal'!$A$2:$E$18,MATCH('Produktion &amp; forbrug'!F67,'Kategorisering af kcal'!$A$1:$E$1,0),FALSE),HLOOKUP(F67,Græsprotein!$C$2:$E$8,7))),'Produktion &amp; forbrug'!AC67)</f>
        <v>0</v>
      </c>
      <c r="AF67" s="94">
        <f t="shared" si="9"/>
        <v>370707.28173153353</v>
      </c>
      <c r="AG67">
        <f>IF(AC67&lt;0,AD67,G67*E67*10000*VLOOKUP(A67,[1]kcal!$A$2:$C$49,3,FALSE)/1000000000000*IFERROR(VLOOKUP(A67,'Kategorisering af kcal'!$A$2:$E$18,MATCH('Produktion &amp; forbrug'!F67,'Kategorisering af kcal'!$A$1:$E$1,0),FALSE),0))</f>
        <v>0.14457583987529807</v>
      </c>
      <c r="AH67">
        <f>AE67*IFERROR(VLOOKUP(A67,[1]Tørstofindhold!A$2:B$25,2,FALSE),0)</f>
        <v>0</v>
      </c>
      <c r="AI67">
        <f>K67*IFERROR(VLOOKUP(A67,[1]Tørstofindhold!A$2:B$25,2,FALSE),0)</f>
        <v>0</v>
      </c>
    </row>
    <row r="68" spans="1:35" hidden="1" x14ac:dyDescent="0.25">
      <c r="A68" s="171" t="str">
        <f t="shared" si="12"/>
        <v>Halm</v>
      </c>
      <c r="B68" s="171" t="str">
        <f t="shared" si="13"/>
        <v>Halm og strå</v>
      </c>
      <c r="C68" s="171" t="str">
        <f>IFERROR(VLOOKUP(A68,'Kategorisering af kcal'!$A$2:$B$18,2,FALSE),"")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5"/>
        <v>0</v>
      </c>
      <c r="F68" s="171">
        <f t="shared" si="14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2598903.5249140868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543677.30745381361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547687.78276337916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1507538.4346968937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1507538.4346968937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15.581625309828851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15.581625309828851</v>
      </c>
      <c r="V68" s="169">
        <f>P68*IFERROR(VLOOKUP(A68,[1]Tørstofindhold!A$2:B$25,2,FALSE),0)</f>
        <v>0</v>
      </c>
      <c r="W68">
        <f>IF(F68=År1,Q68,SUM(P68,Q68))*IFERROR(VLOOKUP(A68,[1]Tørstofindhold!A$2:B$25,2,FALSE),0)</f>
        <v>1281407.6694923595</v>
      </c>
      <c r="X68">
        <f>K68*IFERROR(VLOOKUP(A68,[1]Tørstofindhold!A$2:B$25,2,FALSE),0)</f>
        <v>0</v>
      </c>
      <c r="Y68" s="170">
        <f t="shared" si="7"/>
        <v>1281407.6694923595</v>
      </c>
      <c r="Z68">
        <f t="shared" ref="Z68:Z99" si="16">IF(SUMIFS($O$4:$O$147,$A$4:$A$147,A68,$F$4:$F$147,F68)&lt;0,1,0)</f>
        <v>0</v>
      </c>
      <c r="AA68">
        <f t="shared" ref="AA68:AA99" si="17">IF(SUMIFS($O$4:$O$147,$A$4:$A$147,A68,$F$4:$F$147,F68)&gt;0,1,0)</f>
        <v>0</v>
      </c>
      <c r="AC68" s="94">
        <f t="shared" si="8"/>
        <v>1507538.4346968941</v>
      </c>
      <c r="AD68">
        <f>AC68*E68*10000*VLOOKUP(A68,[1]kcal!$A$2:$C$49,3,FALSE)/1000000000000*IFERROR(VLOOKUP(A68,'Kategorisering af kcal'!$A$2:$E$18,MATCH('Produktion &amp; forbrug'!F68,'Kategorisering af kcal'!$A$1:$E$1,0),FALSE),0)</f>
        <v>0</v>
      </c>
      <c r="AE68">
        <f>IF(C68&lt;&gt;"",AC68*(1-IF(A68&lt;&gt;"Græs",VLOOKUP(A68,'Kategorisering af kcal'!$A$2:$E$18,MATCH('Produktion &amp; forbrug'!F68,'Kategorisering af kcal'!$A$1:$E$1,0),FALSE),HLOOKUP(F68,Græsprotein!$C$2:$E$8,7))),'Produktion &amp; forbrug'!AC68)</f>
        <v>1507538.4346968941</v>
      </c>
      <c r="AF68" s="94">
        <f t="shared" si="9"/>
        <v>0</v>
      </c>
      <c r="AG68">
        <f>IF(AC68&lt;0,AD68,G68*E68*10000*VLOOKUP(A68,[1]kcal!$A$2:$C$49,3,FALSE)/1000000000000*IFERROR(VLOOKUP(A68,'Kategorisering af kcal'!$A$2:$E$18,MATCH('Produktion &amp; forbrug'!F68,'Kategorisering af kcal'!$A$1:$E$1,0),FALSE),0))</f>
        <v>0</v>
      </c>
      <c r="AH68">
        <f>AE68*IFERROR(VLOOKUP(A68,[1]Tørstofindhold!A$2:B$25,2,FALSE),0)</f>
        <v>1281407.66949236</v>
      </c>
      <c r="AI68">
        <f>K68*IFERROR(VLOOKUP(A68,[1]Tørstofindhold!A$2:B$25,2,FALSE),0)</f>
        <v>0</v>
      </c>
    </row>
    <row r="69" spans="1:35" hidden="1" x14ac:dyDescent="0.25">
      <c r="A69" s="171" t="str">
        <f t="shared" si="12"/>
        <v>Have/parkaffald</v>
      </c>
      <c r="B69" s="171" t="str">
        <f t="shared" si="13"/>
        <v>Bionedbrydeligt affald</v>
      </c>
      <c r="C69" s="171" t="str">
        <f>IFERROR(VLOOKUP(A69,'Kategorisering af kcal'!$A$2:$B$18,2,FALSE),"")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5"/>
        <v>0</v>
      </c>
      <c r="F69" s="171">
        <f t="shared" si="14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982809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8">G69-SUM(H69:N69)</f>
        <v>0</v>
      </c>
      <c r="P69" s="94">
        <f t="shared" ref="P69:P132" si="19">IF(D69=1,MAX(O69,0),0)</f>
        <v>0</v>
      </c>
      <c r="Q69" s="180">
        <f t="shared" ref="Q69:Q134" si="20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17.545322997702911</v>
      </c>
      <c r="T69">
        <f>IFERROR(VLOOKUP(A69,[1]Biogasudbytte!$A$2:$B$18,2,FALSE)*[1]Energiindhold!$C$10,0)*K69*IFERROR(VLOOKUP(A69,Biogasanlæg!$F$3:$G$8,2,FALSE),1)</f>
        <v>0</v>
      </c>
      <c r="U69" s="170">
        <f t="shared" ref="U69:U134" si="21">S69-T69</f>
        <v>17.545322997702911</v>
      </c>
      <c r="V69" s="169">
        <f>P69*IFERROR(VLOOKUP(A69,[1]Tørstofindhold!A$2:B$25,2,FALSE),0)</f>
        <v>0</v>
      </c>
      <c r="W69">
        <f>IF(F69=År1,Q69,SUM(P69,Q69))*IFERROR(VLOOKUP(A69,[1]Tørstofindhold!A$2:B$25,2,FALSE),0)</f>
        <v>294842.7</v>
      </c>
      <c r="X69">
        <f>K69*IFERROR(VLOOKUP(A69,[1]Tørstofindhold!A$2:B$25,2,FALSE),0)</f>
        <v>0</v>
      </c>
      <c r="Y69" s="170">
        <f t="shared" ref="Y69:Y134" si="22">W69-X69</f>
        <v>294842.7</v>
      </c>
      <c r="Z69">
        <f t="shared" si="16"/>
        <v>0</v>
      </c>
      <c r="AA69">
        <f t="shared" si="17"/>
        <v>0</v>
      </c>
      <c r="AC69" s="94">
        <f t="shared" ref="AC69:AC132" si="23">G69-SUMPRODUCT($H$2:$N$2,H69:N69)</f>
        <v>982809</v>
      </c>
      <c r="AD69">
        <f>AC69*E69*10000*VLOOKUP(A69,[1]kcal!$A$2:$C$49,3,FALSE)/1000000000000*IFERROR(VLOOKUP(A69,'Kategorisering af kcal'!$A$2:$E$18,MATCH('Produktion &amp; forbrug'!F69,'Kategorisering af kcal'!$A$1:$E$1,0),FALSE),0)</f>
        <v>0</v>
      </c>
      <c r="AE69">
        <f>IF(C69&lt;&gt;"",AC69*(1-IF(A69&lt;&gt;"Græs",VLOOKUP(A69,'Kategorisering af kcal'!$A$2:$E$18,MATCH('Produktion &amp; forbrug'!F69,'Kategorisering af kcal'!$A$1:$E$1,0),FALSE),HLOOKUP(F69,Græsprotein!$C$2:$E$8,7))),'Produktion &amp; forbrug'!AC69)</f>
        <v>982809</v>
      </c>
      <c r="AF69" s="94">
        <f t="shared" ref="AF69:AF132" si="24">AC69-AE69</f>
        <v>0</v>
      </c>
      <c r="AG69">
        <f>IF(AC69&lt;0,AD69,G69*E69*10000*VLOOKUP(A69,[1]kcal!$A$2:$C$49,3,FALSE)/1000000000000*IFERROR(VLOOKUP(A69,'Kategorisering af kcal'!$A$2:$E$18,MATCH('Produktion &amp; forbrug'!F69,'Kategorisering af kcal'!$A$1:$E$1,0),FALSE),0))</f>
        <v>0</v>
      </c>
      <c r="AH69">
        <f>AE69*IFERROR(VLOOKUP(A69,[1]Tørstofindhold!A$2:B$25,2,FALSE),0)</f>
        <v>294842.7</v>
      </c>
      <c r="AI69">
        <f>K69*IFERROR(VLOOKUP(A69,[1]Tørstofindhold!A$2:B$25,2,FALSE),0)</f>
        <v>0</v>
      </c>
    </row>
    <row r="70" spans="1:35" hidden="1" x14ac:dyDescent="0.25">
      <c r="A70" s="171" t="str">
        <f t="shared" si="12"/>
        <v>Import af foder</v>
      </c>
      <c r="B70" s="171" t="str">
        <f t="shared" si="13"/>
        <v/>
      </c>
      <c r="C70" s="171" t="str">
        <f>IFERROR(VLOOKUP(A70,'Kategorisering af kcal'!$A$2:$B$18,2,FALSE),"")</f>
        <v>Import af foder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5"/>
        <v>1</v>
      </c>
      <c r="F70" s="171">
        <f t="shared" si="14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2190723.0495092552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8"/>
        <v>-2190723.0495092552</v>
      </c>
      <c r="P70" s="94">
        <f t="shared" si="19"/>
        <v>0</v>
      </c>
      <c r="Q70" s="180">
        <f t="shared" si="2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1"/>
        <v>0</v>
      </c>
      <c r="V70" s="169">
        <f>P70*IFERROR(VLOOKUP(A70,[1]Tørstofindhold!A$2:B$25,2,FALSE),0)</f>
        <v>0</v>
      </c>
      <c r="W70">
        <f>IF(F70=År1,Q70,SUM(P70,Q70))*IFERROR(VLOOKUP(A70,[1]Tørstofindhold!A$2:B$25,2,FALSE),0)</f>
        <v>0</v>
      </c>
      <c r="X70">
        <f>K70*IFERROR(VLOOKUP(A70,[1]Tørstofindhold!A$2:B$25,2,FALSE),0)</f>
        <v>0</v>
      </c>
      <c r="Y70" s="170">
        <f t="shared" si="22"/>
        <v>0</v>
      </c>
      <c r="Z70">
        <f t="shared" si="16"/>
        <v>1</v>
      </c>
      <c r="AA70">
        <f t="shared" si="17"/>
        <v>0</v>
      </c>
      <c r="AC70" s="94">
        <f t="shared" si="23"/>
        <v>-2190723.0495092552</v>
      </c>
      <c r="AD70">
        <f>AC70*E70*10000*VLOOKUP(A70,[1]kcal!$A$2:$C$49,3,FALSE)/1000000000000*IFERROR(VLOOKUP(A70,'Kategorisering af kcal'!$A$2:$E$18,MATCH('Produktion &amp; forbrug'!F70,'Kategorisering af kcal'!$A$1:$E$1,0),FALSE),0)</f>
        <v>-1.2487121382202755</v>
      </c>
      <c r="AE70">
        <f>IF(C70&lt;&gt;"",AC70*(1-IF(A70&lt;&gt;"Græs",VLOOKUP(A70,'Kategorisering af kcal'!$A$2:$E$18,MATCH('Produktion &amp; forbrug'!F70,'Kategorisering af kcal'!$A$1:$E$1,0),FALSE),HLOOKUP(F70,Græsprotein!$C$2:$E$8,7))),'Produktion &amp; forbrug'!AC70)</f>
        <v>0</v>
      </c>
      <c r="AF70" s="94">
        <f t="shared" si="24"/>
        <v>-2190723.0495092552</v>
      </c>
      <c r="AG70">
        <f>IF(AC70&lt;0,AD70,G70*E70*10000*VLOOKUP(A70,[1]kcal!$A$2:$C$49,3,FALSE)/1000000000000*IFERROR(VLOOKUP(A70,'Kategorisering af kcal'!$A$2:$E$18,MATCH('Produktion &amp; forbrug'!F70,'Kategorisering af kcal'!$A$1:$E$1,0),FALSE),0))</f>
        <v>-1.2487121382202755</v>
      </c>
      <c r="AH70">
        <f>AE70*IFERROR(VLOOKUP(A70,[1]Tørstofindhold!A$2:B$25,2,FALSE),0)</f>
        <v>0</v>
      </c>
      <c r="AI70">
        <f>K70*IFERROR(VLOOKUP(A70,[1]Tørstofindhold!A$2:B$25,2,FALSE),0)</f>
        <v>0</v>
      </c>
    </row>
    <row r="71" spans="1:35" hidden="1" x14ac:dyDescent="0.25">
      <c r="A71" s="171" t="str">
        <f t="shared" si="12"/>
        <v>Industriaffald</v>
      </c>
      <c r="B71" s="171" t="str">
        <f t="shared" si="13"/>
        <v>Bionedbrydeligt affald</v>
      </c>
      <c r="C71" s="171" t="str">
        <f>IFERROR(VLOOKUP(A71,'Kategorisering af kcal'!$A$2:$B$18,2,FALSE),"")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5"/>
        <v>0</v>
      </c>
      <c r="F71" s="171">
        <f t="shared" si="14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595441.49803282123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8"/>
        <v>595441.49803282123</v>
      </c>
      <c r="P71" s="94">
        <f t="shared" si="19"/>
        <v>595441.49803282123</v>
      </c>
      <c r="Q71" s="180">
        <f t="shared" si="20"/>
        <v>0</v>
      </c>
      <c r="R71">
        <f>IFERROR(VLOOKUP(A71,[1]Energiindhold!$A$2:$C$11,3,FALSE),IFERROR(VLOOKUP(A71,[1]Biogasudbytte!$A$2:$B$18,2,FALSE)*[1]Energiindhold!$C$10,0))*P71</f>
        <v>2.580125418370959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2.580125418370959</v>
      </c>
      <c r="T71">
        <f>IFERROR(VLOOKUP(A71,[1]Biogasudbytte!$A$2:$B$18,2,FALSE)*[1]Energiindhold!$C$10,0)*K71*IFERROR(VLOOKUP(A71,Biogasanlæg!$F$3:$G$8,2,FALSE),1)</f>
        <v>0</v>
      </c>
      <c r="U71" s="170">
        <f t="shared" si="21"/>
        <v>2.580125418370959</v>
      </c>
      <c r="V71" s="169">
        <f>P71*IFERROR(VLOOKUP(A71,[1]Tørstofindhold!A$2:B$25,2,FALSE),0)</f>
        <v>250085.42917378491</v>
      </c>
      <c r="W71">
        <f>IF(F71=År1,Q71,SUM(P71,Q71))*IFERROR(VLOOKUP(A71,[1]Tørstofindhold!A$2:B$25,2,FALSE),0)</f>
        <v>250085.42917378491</v>
      </c>
      <c r="X71">
        <f>K71*IFERROR(VLOOKUP(A71,[1]Tørstofindhold!A$2:B$25,2,FALSE),0)</f>
        <v>0</v>
      </c>
      <c r="Y71" s="170">
        <f t="shared" si="22"/>
        <v>250085.42917378491</v>
      </c>
      <c r="Z71">
        <f t="shared" si="16"/>
        <v>0</v>
      </c>
      <c r="AA71">
        <f t="shared" si="17"/>
        <v>1</v>
      </c>
      <c r="AC71" s="94">
        <f t="shared" si="23"/>
        <v>595441.49803282123</v>
      </c>
      <c r="AD71">
        <f>AC71*E71*10000*VLOOKUP(A71,[1]kcal!$A$2:$C$49,3,FALSE)/1000000000000*IFERROR(VLOOKUP(A71,'Kategorisering af kcal'!$A$2:$E$18,MATCH('Produktion &amp; forbrug'!F71,'Kategorisering af kcal'!$A$1:$E$1,0),FALSE),0)</f>
        <v>0</v>
      </c>
      <c r="AE71">
        <f>IF(C71&lt;&gt;"",AC71*(1-IF(A71&lt;&gt;"Græs",VLOOKUP(A71,'Kategorisering af kcal'!$A$2:$E$18,MATCH('Produktion &amp; forbrug'!F71,'Kategorisering af kcal'!$A$1:$E$1,0),FALSE),HLOOKUP(F71,Græsprotein!$C$2:$E$8,7))),'Produktion &amp; forbrug'!AC71)</f>
        <v>595441.49803282123</v>
      </c>
      <c r="AF71" s="94">
        <f t="shared" si="24"/>
        <v>0</v>
      </c>
      <c r="AG71">
        <f>IF(AC71&lt;0,AD71,G71*E71*10000*VLOOKUP(A71,[1]kcal!$A$2:$C$49,3,FALSE)/1000000000000*IFERROR(VLOOKUP(A71,'Kategorisering af kcal'!$A$2:$E$18,MATCH('Produktion &amp; forbrug'!F71,'Kategorisering af kcal'!$A$1:$E$1,0),FALSE),0))</f>
        <v>0</v>
      </c>
      <c r="AH71">
        <f>AE71*IFERROR(VLOOKUP(A71,[1]Tørstofindhold!A$2:B$25,2,FALSE),0)</f>
        <v>250085.42917378491</v>
      </c>
      <c r="AI71">
        <f>K71*IFERROR(VLOOKUP(A71,[1]Tørstofindhold!A$2:B$25,2,FALSE),0)</f>
        <v>0</v>
      </c>
    </row>
    <row r="72" spans="1:35" hidden="1" x14ac:dyDescent="0.25">
      <c r="A72" s="171" t="str">
        <f t="shared" si="12"/>
        <v>Juletræer</v>
      </c>
      <c r="B72" s="171" t="str">
        <f t="shared" si="13"/>
        <v/>
      </c>
      <c r="C72" s="171" t="str">
        <f>IFERROR(VLOOKUP(A72,'Kategorisering af kcal'!$A$2:$B$18,2,FALSE),"")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5"/>
        <v>0</v>
      </c>
      <c r="F72" s="171">
        <f t="shared" si="14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790133.49290118623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8"/>
        <v>790133.49290118623</v>
      </c>
      <c r="P72" s="94">
        <f t="shared" si="19"/>
        <v>0</v>
      </c>
      <c r="Q72" s="180">
        <f t="shared" si="2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1"/>
        <v>0</v>
      </c>
      <c r="V72" s="169">
        <f>P72*IFERROR(VLOOKUP(A72,[1]Tørstofindhold!A$2:B$25,2,FALSE),0)</f>
        <v>0</v>
      </c>
      <c r="W72">
        <f>IF(F72=År1,Q72,SUM(P72,Q72))*IFERROR(VLOOKUP(A72,[1]Tørstofindhold!A$2:B$25,2,FALSE),0)</f>
        <v>0</v>
      </c>
      <c r="X72">
        <f>K72*IFERROR(VLOOKUP(A72,[1]Tørstofindhold!A$2:B$25,2,FALSE),0)</f>
        <v>0</v>
      </c>
      <c r="Y72" s="170">
        <f t="shared" si="22"/>
        <v>0</v>
      </c>
      <c r="Z72">
        <f t="shared" si="16"/>
        <v>0</v>
      </c>
      <c r="AA72">
        <f t="shared" si="17"/>
        <v>1</v>
      </c>
      <c r="AC72" s="94">
        <f t="shared" si="23"/>
        <v>790133.49290118623</v>
      </c>
      <c r="AD72">
        <f>AC72*E72*10000*VLOOKUP(A72,[1]kcal!$A$2:$C$49,3,FALSE)/1000000000000*IFERROR(VLOOKUP(A72,'Kategorisering af kcal'!$A$2:$E$18,MATCH('Produktion &amp; forbrug'!F72,'Kategorisering af kcal'!$A$1:$E$1,0),FALSE),0)</f>
        <v>0</v>
      </c>
      <c r="AE72">
        <f>IF(C72&lt;&gt;"",AC72*(1-IF(A72&lt;&gt;"Græs",VLOOKUP(A72,'Kategorisering af kcal'!$A$2:$E$18,MATCH('Produktion &amp; forbrug'!F72,'Kategorisering af kcal'!$A$1:$E$1,0),FALSE),HLOOKUP(F72,Græsprotein!$C$2:$E$8,7))),'Produktion &amp; forbrug'!AC72)</f>
        <v>790133.49290118623</v>
      </c>
      <c r="AF72" s="94">
        <f t="shared" si="24"/>
        <v>0</v>
      </c>
      <c r="AG72">
        <f>IF(AC72&lt;0,AD72,G72*E72*10000*VLOOKUP(A72,[1]kcal!$A$2:$C$49,3,FALSE)/1000000000000*IFERROR(VLOOKUP(A72,'Kategorisering af kcal'!$A$2:$E$18,MATCH('Produktion &amp; forbrug'!F72,'Kategorisering af kcal'!$A$1:$E$1,0),FALSE),0))</f>
        <v>0</v>
      </c>
      <c r="AH72">
        <f>AE72*IFERROR(VLOOKUP(A72,[1]Tørstofindhold!A$2:B$25,2,FALSE),0)</f>
        <v>0</v>
      </c>
      <c r="AI72">
        <f>K72*IFERROR(VLOOKUP(A72,[1]Tørstofindhold!A$2:B$25,2,FALSE),0)</f>
        <v>0</v>
      </c>
    </row>
    <row r="73" spans="1:35" hidden="1" x14ac:dyDescent="0.25">
      <c r="A73" s="171" t="str">
        <f t="shared" si="12"/>
        <v>Kartofler</v>
      </c>
      <c r="B73" s="171" t="str">
        <f t="shared" si="13"/>
        <v/>
      </c>
      <c r="C73" s="171" t="str">
        <f>IFERROR(VLOOKUP(A73,'Kategorisering af kcal'!$A$2:$B$18,2,FALSE),"")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5"/>
        <v>1</v>
      </c>
      <c r="F73" s="171">
        <f t="shared" si="14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2932371.6994386665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0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8"/>
        <v>2932371.6994386665</v>
      </c>
      <c r="P73" s="94">
        <f t="shared" si="19"/>
        <v>0</v>
      </c>
      <c r="Q73" s="180">
        <f t="shared" si="2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1"/>
        <v>0</v>
      </c>
      <c r="V73" s="169">
        <f>P73*IFERROR(VLOOKUP(A73,[1]Tørstofindhold!A$2:B$25,2,FALSE),0)</f>
        <v>0</v>
      </c>
      <c r="W73">
        <f>IF(F73=År1,Q73,SUM(P73,Q73))*IFERROR(VLOOKUP(A73,[1]Tørstofindhold!A$2:B$25,2,FALSE),0)</f>
        <v>0</v>
      </c>
      <c r="X73">
        <f>K73*IFERROR(VLOOKUP(A73,[1]Tørstofindhold!A$2:B$25,2,FALSE),0)</f>
        <v>0</v>
      </c>
      <c r="Y73" s="170">
        <f t="shared" si="22"/>
        <v>0</v>
      </c>
      <c r="Z73">
        <f t="shared" si="16"/>
        <v>0</v>
      </c>
      <c r="AA73">
        <f t="shared" si="17"/>
        <v>1</v>
      </c>
      <c r="AC73" s="94">
        <f t="shared" si="23"/>
        <v>2932371.6994386665</v>
      </c>
      <c r="AD73">
        <f>AC73*E73*10000*VLOOKUP(A73,[1]kcal!$A$2:$C$49,3,FALSE)/1000000000000*IFERROR(VLOOKUP(A73,'Kategorisering af kcal'!$A$2:$E$18,MATCH('Produktion &amp; forbrug'!F73,'Kategorisering af kcal'!$A$1:$E$1,0),FALSE),0)</f>
        <v>2.2872499255621594</v>
      </c>
      <c r="AE73">
        <f>IF(C73&lt;&gt;"",AC73*(1-IF(A73&lt;&gt;"Græs",VLOOKUP(A73,'Kategorisering af kcal'!$A$2:$E$18,MATCH('Produktion &amp; forbrug'!F73,'Kategorisering af kcal'!$A$1:$E$1,0),FALSE),HLOOKUP(F73,Græsprotein!$C$2:$E$8,7))),'Produktion &amp; forbrug'!AC73)</f>
        <v>0</v>
      </c>
      <c r="AF73" s="94">
        <f t="shared" si="24"/>
        <v>2932371.6994386665</v>
      </c>
      <c r="AG73">
        <f>IF(AC73&lt;0,AD73,G73*E73*10000*VLOOKUP(A73,[1]kcal!$A$2:$C$49,3,FALSE)/1000000000000*IFERROR(VLOOKUP(A73,'Kategorisering af kcal'!$A$2:$E$18,MATCH('Produktion &amp; forbrug'!F73,'Kategorisering af kcal'!$A$1:$E$1,0),FALSE),0))</f>
        <v>2.2872499255621594</v>
      </c>
      <c r="AH73">
        <f>AE73*IFERROR(VLOOKUP(A73,[1]Tørstofindhold!A$2:B$25,2,FALSE),0)</f>
        <v>0</v>
      </c>
      <c r="AI73">
        <f>K73*IFERROR(VLOOKUP(A73,[1]Tørstofindhold!A$2:B$25,2,FALSE),0)</f>
        <v>0</v>
      </c>
    </row>
    <row r="74" spans="1:35" hidden="1" x14ac:dyDescent="0.25">
      <c r="A74" s="171" t="str">
        <f t="shared" si="12"/>
        <v>Korn</v>
      </c>
      <c r="B74" s="171" t="str">
        <f t="shared" si="13"/>
        <v>Halm og strå</v>
      </c>
      <c r="C74" s="171" t="str">
        <f>IFERROR(VLOOKUP(A74,'Kategorisering af kcal'!$A$2:$B$18,2,FALSE),"")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5"/>
        <v>1</v>
      </c>
      <c r="F74" s="171">
        <f t="shared" si="14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5541135.1769845672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3034307.7967753555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0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8"/>
        <v>2506827.3802092117</v>
      </c>
      <c r="P74" s="94">
        <f t="shared" si="19"/>
        <v>2506827.3802092117</v>
      </c>
      <c r="Q74" s="180">
        <f t="shared" si="20"/>
        <v>0</v>
      </c>
      <c r="R74">
        <f>IFERROR(VLOOKUP(A74,[1]Energiindhold!$A$2:$C$11,3,FALSE),IFERROR(VLOOKUP(A74,[1]Biogasudbytte!$A$2:$B$18,2,FALSE)*[1]Energiindhold!$C$10,0))*P74</f>
        <v>8.5855328213833229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8.5855328213833229</v>
      </c>
      <c r="T74">
        <f>IFERROR(VLOOKUP(A74,[1]Biogasudbytte!$A$2:$B$18,2,FALSE)*[1]Energiindhold!$C$10,0)*K74*IFERROR(VLOOKUP(A74,Biogasanlæg!$F$3:$G$8,2,FALSE),1)</f>
        <v>0</v>
      </c>
      <c r="U74" s="170">
        <f t="shared" si="21"/>
        <v>8.5855328213833229</v>
      </c>
      <c r="V74" s="169">
        <f>P74*IFERROR(VLOOKUP(A74,[1]Tørstofindhold!A$2:B$25,2,FALSE),0)</f>
        <v>777116.48786485568</v>
      </c>
      <c r="W74">
        <f>IF(F74=År1,Q74,SUM(P74,Q74))*IFERROR(VLOOKUP(A74,[1]Tørstofindhold!A$2:B$25,2,FALSE),0)</f>
        <v>777116.48786485568</v>
      </c>
      <c r="X74">
        <f>K74*IFERROR(VLOOKUP(A74,[1]Tørstofindhold!A$2:B$25,2,FALSE),0)</f>
        <v>0</v>
      </c>
      <c r="Y74" s="170">
        <f t="shared" si="22"/>
        <v>777116.48786485568</v>
      </c>
      <c r="Z74">
        <f t="shared" si="16"/>
        <v>0</v>
      </c>
      <c r="AA74">
        <f t="shared" si="17"/>
        <v>1</v>
      </c>
      <c r="AC74" s="94">
        <f t="shared" si="23"/>
        <v>2506827.3802092117</v>
      </c>
      <c r="AD74">
        <f>AC74*E74*10000*VLOOKUP(A74,[1]kcal!$A$2:$C$49,3,FALSE)/1000000000000*IFERROR(VLOOKUP(A74,'Kategorisering af kcal'!$A$2:$E$18,MATCH('Produktion &amp; forbrug'!F74,'Kategorisering af kcal'!$A$1:$E$1,0),FALSE),0)</f>
        <v>5.8262149734078781</v>
      </c>
      <c r="AE74">
        <f>IF(C74&lt;&gt;"",AC74*(1-IF(A74&lt;&gt;"Græs",VLOOKUP(A74,'Kategorisering af kcal'!$A$2:$E$18,MATCH('Produktion &amp; forbrug'!F74,'Kategorisering af kcal'!$A$1:$E$1,0),FALSE),HLOOKUP(F74,Græsprotein!$C$2:$E$8,7))),'Produktion &amp; forbrug'!AC74)</f>
        <v>0</v>
      </c>
      <c r="AF74" s="94">
        <f t="shared" si="24"/>
        <v>2506827.3802092117</v>
      </c>
      <c r="AG74">
        <f>IF(AC74&lt;0,AD74,G74*E74*10000*VLOOKUP(A74,[1]kcal!$A$2:$C$49,3,FALSE)/1000000000000*IFERROR(VLOOKUP(A74,'Kategorisering af kcal'!$A$2:$E$18,MATCH('Produktion &amp; forbrug'!F74,'Kategorisering af kcal'!$A$1:$E$1,0),FALSE),0))</f>
        <v>12.878367690052233</v>
      </c>
      <c r="AH74">
        <f>AE74*IFERROR(VLOOKUP(A74,[1]Tørstofindhold!A$2:B$25,2,FALSE),0)</f>
        <v>0</v>
      </c>
      <c r="AI74">
        <f>K74*IFERROR(VLOOKUP(A74,[1]Tørstofindhold!A$2:B$25,2,FALSE),0)</f>
        <v>0</v>
      </c>
    </row>
    <row r="75" spans="1:35" hidden="1" x14ac:dyDescent="0.25">
      <c r="A75" s="171" t="str">
        <f t="shared" si="12"/>
        <v>Kunstgødning</v>
      </c>
      <c r="B75" s="171" t="str">
        <f t="shared" si="13"/>
        <v/>
      </c>
      <c r="C75" s="171" t="str">
        <f>IFERROR(VLOOKUP(A75,'Kategorisering af kcal'!$A$2:$B$18,2,FALSE),"")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5"/>
        <v>0</v>
      </c>
      <c r="F75" s="171">
        <f t="shared" si="14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1373926.8476279068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8"/>
        <v>-1373926.8476279068</v>
      </c>
      <c r="P75" s="94">
        <f t="shared" si="19"/>
        <v>0</v>
      </c>
      <c r="Q75" s="180">
        <f t="shared" si="2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1"/>
        <v>0</v>
      </c>
      <c r="V75" s="169">
        <f>P75*IFERROR(VLOOKUP(A75,[1]Tørstofindhold!A$2:B$25,2,FALSE),0)</f>
        <v>0</v>
      </c>
      <c r="W75">
        <f>IF(F75=År1,Q75,SUM(P75,Q75))*IFERROR(VLOOKUP(A75,[1]Tørstofindhold!A$2:B$25,2,FALSE),0)</f>
        <v>0</v>
      </c>
      <c r="X75">
        <f>K75*IFERROR(VLOOKUP(A75,[1]Tørstofindhold!A$2:B$25,2,FALSE),0)</f>
        <v>0</v>
      </c>
      <c r="Y75" s="170">
        <f t="shared" si="22"/>
        <v>0</v>
      </c>
      <c r="Z75">
        <f t="shared" ca="1" si="16"/>
        <v>1</v>
      </c>
      <c r="AA75">
        <f t="shared" ca="1" si="17"/>
        <v>0</v>
      </c>
      <c r="AC75" s="94">
        <f t="shared" ca="1" si="23"/>
        <v>0</v>
      </c>
      <c r="AD75">
        <f ca="1">AC75*E75*10000*VLOOKUP(A75,[1]kcal!$A$2:$C$49,3,FALSE)/1000000000000*IFERROR(VLOOKUP(A75,'Kategorisering af kcal'!$A$2:$E$18,MATCH('Produktion &amp; forbrug'!F75,'Kategorisering af kcal'!$A$1:$E$1,0),FALSE),0)</f>
        <v>0</v>
      </c>
      <c r="AE75">
        <f ca="1">IF(C75&lt;&gt;"",AC75*(1-IF(A75&lt;&gt;"Græs",VLOOKUP(A75,'Kategorisering af kcal'!$A$2:$E$18,MATCH('Produktion &amp; forbrug'!F75,'Kategorisering af kcal'!$A$1:$E$1,0),FALSE),HLOOKUP(F75,Græsprotein!$C$2:$E$8,7))),'Produktion &amp; forbrug'!AC75)</f>
        <v>0</v>
      </c>
      <c r="AF75" s="94">
        <f t="shared" ca="1" si="24"/>
        <v>0</v>
      </c>
      <c r="AG75">
        <f ca="1">IF(AC75&lt;0,AD75,G75*E75*10000*VLOOKUP(A75,[1]kcal!$A$2:$C$49,3,FALSE)/1000000000000*IFERROR(VLOOKUP(A75,'Kategorisering af kcal'!$A$2:$E$18,MATCH('Produktion &amp; forbrug'!F75,'Kategorisering af kcal'!$A$1:$E$1,0),FALSE),0))</f>
        <v>0</v>
      </c>
      <c r="AH75">
        <f ca="1">AE75*IFERROR(VLOOKUP(A75,[1]Tørstofindhold!A$2:B$25,2,FALSE),0)</f>
        <v>0</v>
      </c>
      <c r="AI75">
        <f>K75*IFERROR(VLOOKUP(A75,[1]Tørstofindhold!A$2:B$25,2,FALSE),0)</f>
        <v>0</v>
      </c>
    </row>
    <row r="76" spans="1:35" hidden="1" x14ac:dyDescent="0.25">
      <c r="A76" s="171" t="str">
        <f t="shared" si="12"/>
        <v>Kvæggylle</v>
      </c>
      <c r="B76" s="171" t="str">
        <f t="shared" si="13"/>
        <v>Husdyrgødning</v>
      </c>
      <c r="C76" s="171" t="str">
        <f>IFERROR(VLOOKUP(A76,'Kategorisering af kcal'!$A$2:$B$18,2,FALSE),"")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5"/>
        <v>0</v>
      </c>
      <c r="F76" s="171">
        <f t="shared" si="14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5573011.3816471472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0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1393252.8454117868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8"/>
        <v>4179758.5362353604</v>
      </c>
      <c r="P76" s="94">
        <f t="shared" si="19"/>
        <v>4179758.5362353604</v>
      </c>
      <c r="Q76" s="180">
        <f t="shared" si="20"/>
        <v>0</v>
      </c>
      <c r="R76">
        <f>IFERROR(VLOOKUP(A76,[1]Energiindhold!$A$2:$C$11,3,FALSE),IFERROR(VLOOKUP(A76,[1]Biogasudbytte!$A$2:$B$18,2,FALSE)*[1]Energiindhold!$C$10,0))*P76</f>
        <v>2.1157519734569772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2.1157519734569772</v>
      </c>
      <c r="T76">
        <f>IFERROR(VLOOKUP(A76,[1]Biogasudbytte!$A$2:$B$18,2,FALSE)*[1]Energiindhold!$C$10,0)*K76*IFERROR(VLOOKUP(A76,Biogasanlæg!$F$3:$G$8,2,FALSE),1)</f>
        <v>0</v>
      </c>
      <c r="U76" s="170">
        <f t="shared" si="21"/>
        <v>2.1157519734569772</v>
      </c>
      <c r="V76" s="169">
        <f>P76*IFERROR(VLOOKUP(A76,[1]Tørstofindhold!A$2:B$25,2,FALSE),0)</f>
        <v>317661.64875388739</v>
      </c>
      <c r="W76">
        <f>IF(F76=År1,Q76,SUM(P76,Q76))*IFERROR(VLOOKUP(A76,[1]Tørstofindhold!A$2:B$25,2,FALSE),0)</f>
        <v>317661.64875388739</v>
      </c>
      <c r="X76">
        <f>K76*IFERROR(VLOOKUP(A76,[1]Tørstofindhold!A$2:B$25,2,FALSE),0)</f>
        <v>0</v>
      </c>
      <c r="Y76" s="170">
        <f t="shared" si="22"/>
        <v>317661.64875388739</v>
      </c>
      <c r="Z76">
        <f t="shared" si="16"/>
        <v>0</v>
      </c>
      <c r="AA76">
        <f t="shared" si="17"/>
        <v>1</v>
      </c>
      <c r="AC76" s="94">
        <f t="shared" si="23"/>
        <v>5573011.3816471472</v>
      </c>
      <c r="AD76">
        <f>AC76*E76*10000*VLOOKUP(A76,[1]kcal!$A$2:$C$49,3,FALSE)/1000000000000*IFERROR(VLOOKUP(A76,'Kategorisering af kcal'!$A$2:$E$18,MATCH('Produktion &amp; forbrug'!F76,'Kategorisering af kcal'!$A$1:$E$1,0),FALSE),0)</f>
        <v>0</v>
      </c>
      <c r="AE76">
        <f>IF(C76&lt;&gt;"",AC76*(1-IF(A76&lt;&gt;"Græs",VLOOKUP(A76,'Kategorisering af kcal'!$A$2:$E$18,MATCH('Produktion &amp; forbrug'!F76,'Kategorisering af kcal'!$A$1:$E$1,0),FALSE),HLOOKUP(F76,Græsprotein!$C$2:$E$8,7))),'Produktion &amp; forbrug'!AC76)</f>
        <v>5573011.3816471472</v>
      </c>
      <c r="AF76" s="94">
        <f t="shared" si="24"/>
        <v>0</v>
      </c>
      <c r="AG76">
        <f>IF(AC76&lt;0,AD76,G76*E76*10000*VLOOKUP(A76,[1]kcal!$A$2:$C$49,3,FALSE)/1000000000000*IFERROR(VLOOKUP(A76,'Kategorisering af kcal'!$A$2:$E$18,MATCH('Produktion &amp; forbrug'!F76,'Kategorisering af kcal'!$A$1:$E$1,0),FALSE),0))</f>
        <v>0</v>
      </c>
      <c r="AH76">
        <f>AE76*IFERROR(VLOOKUP(A76,[1]Tørstofindhold!A$2:B$25,2,FALSE),0)</f>
        <v>423548.86500518321</v>
      </c>
      <c r="AI76">
        <f>K76*IFERROR(VLOOKUP(A76,[1]Tørstofindhold!A$2:B$25,2,FALSE),0)</f>
        <v>0</v>
      </c>
    </row>
    <row r="77" spans="1:35" hidden="1" x14ac:dyDescent="0.25">
      <c r="A77" s="171" t="str">
        <f t="shared" si="12"/>
        <v>Mælk til foder</v>
      </c>
      <c r="B77" s="171" t="str">
        <f t="shared" si="13"/>
        <v/>
      </c>
      <c r="C77" s="171" t="str">
        <f>IFERROR(VLOOKUP(A77,'Kategorisering af kcal'!$A$2:$B$18,2,FALSE),"")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5"/>
        <v>0</v>
      </c>
      <c r="F77" s="171">
        <f t="shared" si="14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651944.16240135778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687700.0741687679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8"/>
        <v>-35755.911767410114</v>
      </c>
      <c r="P77" s="94">
        <f t="shared" si="19"/>
        <v>0</v>
      </c>
      <c r="Q77" s="180">
        <f t="shared" si="2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1"/>
        <v>0</v>
      </c>
      <c r="V77" s="169">
        <f>P77*IFERROR(VLOOKUP(A77,[1]Tørstofindhold!A$2:B$25,2,FALSE),0)</f>
        <v>0</v>
      </c>
      <c r="W77">
        <f>IF(F77=År1,Q77,SUM(P77,Q77))*IFERROR(VLOOKUP(A77,[1]Tørstofindhold!A$2:B$25,2,FALSE),0)</f>
        <v>0</v>
      </c>
      <c r="X77">
        <f>K77*IFERROR(VLOOKUP(A77,[1]Tørstofindhold!A$2:B$25,2,FALSE),0)</f>
        <v>0</v>
      </c>
      <c r="Y77" s="170">
        <f t="shared" si="22"/>
        <v>0</v>
      </c>
      <c r="Z77">
        <f t="shared" si="16"/>
        <v>1</v>
      </c>
      <c r="AA77">
        <f t="shared" si="17"/>
        <v>0</v>
      </c>
      <c r="AC77" s="94">
        <f t="shared" si="23"/>
        <v>-35755.911767410114</v>
      </c>
      <c r="AD77">
        <f>AC77*E77*10000*VLOOKUP(A77,[1]kcal!$A$2:$C$49,3,FALSE)/1000000000000*IFERROR(VLOOKUP(A77,'Kategorisering af kcal'!$A$2:$E$18,MATCH('Produktion &amp; forbrug'!F77,'Kategorisering af kcal'!$A$1:$E$1,0),FALSE),0)</f>
        <v>0</v>
      </c>
      <c r="AE77">
        <f>IF(C77&lt;&gt;"",AC77*(1-IF(A77&lt;&gt;"Græs",VLOOKUP(A77,'Kategorisering af kcal'!$A$2:$E$18,MATCH('Produktion &amp; forbrug'!F77,'Kategorisering af kcal'!$A$1:$E$1,0),FALSE),HLOOKUP(F77,Græsprotein!$C$2:$E$8,7))),'Produktion &amp; forbrug'!AC77)</f>
        <v>-35755.911767410114</v>
      </c>
      <c r="AF77" s="94">
        <f t="shared" si="24"/>
        <v>0</v>
      </c>
      <c r="AG77">
        <f>IF(AC77&lt;0,AD77,G77*E77*10000*VLOOKUP(A77,[1]kcal!$A$2:$C$49,3,FALSE)/1000000000000*IFERROR(VLOOKUP(A77,'Kategorisering af kcal'!$A$2:$E$18,MATCH('Produktion &amp; forbrug'!F77,'Kategorisering af kcal'!$A$1:$E$1,0),FALSE),0))</f>
        <v>0</v>
      </c>
      <c r="AH77">
        <f>AE77*IFERROR(VLOOKUP(A77,[1]Tørstofindhold!A$2:B$25,2,FALSE),0)</f>
        <v>0</v>
      </c>
      <c r="AI77">
        <f>K77*IFERROR(VLOOKUP(A77,[1]Tørstofindhold!A$2:B$25,2,FALSE),0)</f>
        <v>0</v>
      </c>
    </row>
    <row r="78" spans="1:35" hidden="1" x14ac:dyDescent="0.25">
      <c r="A78" s="171" t="str">
        <f t="shared" si="12"/>
        <v>Majs</v>
      </c>
      <c r="B78" s="171" t="str">
        <f t="shared" si="13"/>
        <v>Anden grøn biomasse</v>
      </c>
      <c r="C78" s="171" t="str">
        <f>IFERROR(VLOOKUP(A78,'Kategorisering af kcal'!$A$2:$B$18,2,FALSE),"")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5"/>
        <v>1</v>
      </c>
      <c r="F78" s="171">
        <f t="shared" si="14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5001698.4637691872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3974704.3180609513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8"/>
        <v>1026994.1457082359</v>
      </c>
      <c r="P78" s="94">
        <f t="shared" si="19"/>
        <v>1026994.1457082359</v>
      </c>
      <c r="Q78" s="180">
        <f t="shared" si="20"/>
        <v>0</v>
      </c>
      <c r="R78">
        <f>IFERROR(VLOOKUP(A78,[1]Energiindhold!$A$2:$C$11,3,FALSE),IFERROR(VLOOKUP(A78,[1]Biogasudbytte!$A$2:$B$18,2,FALSE)*[1]Energiindhold!$C$10,0))*P78</f>
        <v>3.6869089830925672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3.6869089830925672</v>
      </c>
      <c r="T78">
        <f>IFERROR(VLOOKUP(A78,[1]Biogasudbytte!$A$2:$B$18,2,FALSE)*[1]Energiindhold!$C$10,0)*K78*IFERROR(VLOOKUP(A78,Biogasanlæg!$F$3:$G$8,2,FALSE),1)</f>
        <v>0</v>
      </c>
      <c r="U78" s="170">
        <f t="shared" si="21"/>
        <v>3.6869089830925672</v>
      </c>
      <c r="V78" s="169">
        <f>P78*IFERROR(VLOOKUP(A78,[1]Tørstofindhold!A$2:B$25,2,FALSE),0)</f>
        <v>308098.24371247075</v>
      </c>
      <c r="W78">
        <f>IF(F78=År1,Q78,SUM(P78,Q78))*IFERROR(VLOOKUP(A78,[1]Tørstofindhold!A$2:B$25,2,FALSE),0)</f>
        <v>308098.24371247075</v>
      </c>
      <c r="X78">
        <f>K78*IFERROR(VLOOKUP(A78,[1]Tørstofindhold!A$2:B$25,2,FALSE),0)</f>
        <v>0</v>
      </c>
      <c r="Y78" s="170">
        <f t="shared" si="22"/>
        <v>308098.24371247075</v>
      </c>
      <c r="Z78">
        <f t="shared" si="16"/>
        <v>0</v>
      </c>
      <c r="AA78">
        <f t="shared" si="17"/>
        <v>1</v>
      </c>
      <c r="AC78" s="94">
        <f t="shared" si="23"/>
        <v>1026994.1457082359</v>
      </c>
      <c r="AD78">
        <f>AC78*E78*10000*VLOOKUP(A78,[1]kcal!$A$2:$C$49,3,FALSE)/1000000000000*IFERROR(VLOOKUP(A78,'Kategorisering af kcal'!$A$2:$E$18,MATCH('Produktion &amp; forbrug'!F78,'Kategorisering af kcal'!$A$1:$E$1,0),FALSE),0)</f>
        <v>0.93456467259449472</v>
      </c>
      <c r="AE78">
        <f>IF(C78&lt;&gt;"",AC78*(1-IF(A78&lt;&gt;"Græs",VLOOKUP(A78,'Kategorisering af kcal'!$A$2:$E$18,MATCH('Produktion &amp; forbrug'!F78,'Kategorisering af kcal'!$A$1:$E$1,0),FALSE),HLOOKUP(F78,Græsprotein!$C$2:$E$8,7))),'Produktion &amp; forbrug'!AC78)</f>
        <v>0</v>
      </c>
      <c r="AF78" s="94">
        <f t="shared" si="24"/>
        <v>1026994.1457082359</v>
      </c>
      <c r="AG78">
        <f>IF(AC78&lt;0,AD78,G78*E78*10000*VLOOKUP(A78,[1]kcal!$A$2:$C$49,3,FALSE)/1000000000000*IFERROR(VLOOKUP(A78,'Kategorisering af kcal'!$A$2:$E$18,MATCH('Produktion &amp; forbrug'!F78,'Kategorisering af kcal'!$A$1:$E$1,0),FALSE),0))</f>
        <v>4.5515456020299601</v>
      </c>
      <c r="AH78">
        <f>AE78*IFERROR(VLOOKUP(A78,[1]Tørstofindhold!A$2:B$25,2,FALSE),0)</f>
        <v>0</v>
      </c>
      <c r="AI78">
        <f>K78*IFERROR(VLOOKUP(A78,[1]Tørstofindhold!A$2:B$25,2,FALSE),0)</f>
        <v>0</v>
      </c>
    </row>
    <row r="79" spans="1:35" hidden="1" x14ac:dyDescent="0.25">
      <c r="A79" s="171" t="str">
        <f t="shared" si="12"/>
        <v>Mejeriprodukter</v>
      </c>
      <c r="B79" s="171" t="str">
        <f t="shared" si="13"/>
        <v/>
      </c>
      <c r="C79" s="171" t="str">
        <f>IFERROR(VLOOKUP(A79,'Kategorisering af kcal'!$A$2:$B$18,2,FALSE),"")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5"/>
        <v>1</v>
      </c>
      <c r="F79" s="171">
        <f t="shared" si="14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1257913.8813623206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0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8"/>
        <v>1257913.8813623206</v>
      </c>
      <c r="P79" s="94">
        <f t="shared" si="19"/>
        <v>0</v>
      </c>
      <c r="Q79" s="180">
        <f t="shared" si="2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1"/>
        <v>0</v>
      </c>
      <c r="V79" s="169">
        <f>P79*IFERROR(VLOOKUP(A79,[1]Tørstofindhold!A$2:B$25,2,FALSE),0)</f>
        <v>0</v>
      </c>
      <c r="W79">
        <f>IF(F79=År1,Q79,SUM(P79,Q79))*IFERROR(VLOOKUP(A79,[1]Tørstofindhold!A$2:B$25,2,FALSE),0)</f>
        <v>0</v>
      </c>
      <c r="X79">
        <f>K79*IFERROR(VLOOKUP(A79,[1]Tørstofindhold!A$2:B$25,2,FALSE),0)</f>
        <v>0</v>
      </c>
      <c r="Y79" s="170">
        <f t="shared" si="22"/>
        <v>0</v>
      </c>
      <c r="Z79">
        <f t="shared" si="16"/>
        <v>0</v>
      </c>
      <c r="AA79">
        <f t="shared" si="17"/>
        <v>1</v>
      </c>
      <c r="AC79" s="94">
        <f t="shared" si="23"/>
        <v>1257913.8813623206</v>
      </c>
      <c r="AD79">
        <f>AC79*E79*10000*VLOOKUP(A79,[1]kcal!$A$2:$C$49,3,FALSE)/1000000000000*IFERROR(VLOOKUP(A79,'Kategorisering af kcal'!$A$2:$E$18,MATCH('Produktion &amp; forbrug'!F79,'Kategorisering af kcal'!$A$1:$E$1,0),FALSE),0)</f>
        <v>0.7924857452582621</v>
      </c>
      <c r="AE79">
        <f>IF(C79&lt;&gt;"",AC79*(1-IF(A79&lt;&gt;"Græs",VLOOKUP(A79,'Kategorisering af kcal'!$A$2:$E$18,MATCH('Produktion &amp; forbrug'!F79,'Kategorisering af kcal'!$A$1:$E$1,0),FALSE),HLOOKUP(F79,Græsprotein!$C$2:$E$8,7))),'Produktion &amp; forbrug'!AC79)</f>
        <v>0</v>
      </c>
      <c r="AF79" s="94">
        <f t="shared" si="24"/>
        <v>1257913.8813623206</v>
      </c>
      <c r="AG79">
        <f>IF(AC79&lt;0,AD79,G79*E79*10000*VLOOKUP(A79,[1]kcal!$A$2:$C$49,3,FALSE)/1000000000000*IFERROR(VLOOKUP(A79,'Kategorisering af kcal'!$A$2:$E$18,MATCH('Produktion &amp; forbrug'!F79,'Kategorisering af kcal'!$A$1:$E$1,0),FALSE),0))</f>
        <v>0.7924857452582621</v>
      </c>
      <c r="AH79">
        <f>AE79*IFERROR(VLOOKUP(A79,[1]Tørstofindhold!A$2:B$25,2,FALSE),0)</f>
        <v>0</v>
      </c>
      <c r="AI79">
        <f>K79*IFERROR(VLOOKUP(A79,[1]Tørstofindhold!A$2:B$25,2,FALSE),0)</f>
        <v>0</v>
      </c>
    </row>
    <row r="80" spans="1:35" hidden="1" x14ac:dyDescent="0.25">
      <c r="A80" s="171" t="str">
        <f t="shared" si="12"/>
        <v>Muslinger</v>
      </c>
      <c r="B80" s="171" t="str">
        <f t="shared" si="13"/>
        <v>Havbiomasse</v>
      </c>
      <c r="C80" s="171" t="str">
        <f>IFERROR(VLOOKUP(A80,'Kategorisering af kcal'!$A$2:$B$18,2,FALSE),"")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5"/>
        <v>1</v>
      </c>
      <c r="F80" s="171">
        <f t="shared" si="14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8"/>
        <v>880.09999999999991</v>
      </c>
      <c r="P80" s="94">
        <f t="shared" si="19"/>
        <v>880.09999999999991</v>
      </c>
      <c r="Q80" s="180">
        <f t="shared" si="20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1"/>
        <v>7.8988975000000004E-4</v>
      </c>
      <c r="V80" s="169">
        <f>P80*IFERROR(VLOOKUP(A80,[1]Tørstofindhold!A$2:B$25,2,FALSE),0)</f>
        <v>132.01499999999999</v>
      </c>
      <c r="W80">
        <f>IF(F80=År1,Q80,SUM(P80,Q80))*IFERROR(VLOOKUP(A80,[1]Tørstofindhold!A$2:B$25,2,FALSE),0)</f>
        <v>132.01499999999999</v>
      </c>
      <c r="X80">
        <f>K80*IFERROR(VLOOKUP(A80,[1]Tørstofindhold!A$2:B$25,2,FALSE),0)</f>
        <v>0</v>
      </c>
      <c r="Y80" s="170">
        <f t="shared" si="22"/>
        <v>132.01499999999999</v>
      </c>
      <c r="Z80">
        <f t="shared" si="16"/>
        <v>0</v>
      </c>
      <c r="AA80">
        <f t="shared" si="17"/>
        <v>1</v>
      </c>
      <c r="AC80" s="94">
        <f t="shared" si="23"/>
        <v>880.09999999999991</v>
      </c>
      <c r="AD80">
        <f>AC80*E80*10000*VLOOKUP(A80,[1]kcal!$A$2:$C$49,3,FALSE)/1000000000000*IFERROR(VLOOKUP(A80,'Kategorisering af kcal'!$A$2:$E$18,MATCH('Produktion &amp; forbrug'!F80,'Kategorisering af kcal'!$A$1:$E$1,0),FALSE),0)</f>
        <v>7.3048299999999998E-4</v>
      </c>
      <c r="AE80">
        <f>IF(C80&lt;&gt;"",AC80*(1-IF(A80&lt;&gt;"Græs",VLOOKUP(A80,'Kategorisering af kcal'!$A$2:$E$18,MATCH('Produktion &amp; forbrug'!F80,'Kategorisering af kcal'!$A$1:$E$1,0),FALSE),HLOOKUP(F80,Græsprotein!$C$2:$E$8,7))),'Produktion &amp; forbrug'!AC80)</f>
        <v>0</v>
      </c>
      <c r="AF80" s="94">
        <f t="shared" si="24"/>
        <v>880.09999999999991</v>
      </c>
      <c r="AG80">
        <f>IF(AC80&lt;0,AD80,G80*E80*10000*VLOOKUP(A80,[1]kcal!$A$2:$C$49,3,FALSE)/1000000000000*IFERROR(VLOOKUP(A80,'Kategorisering af kcal'!$A$2:$E$18,MATCH('Produktion &amp; forbrug'!F80,'Kategorisering af kcal'!$A$1:$E$1,0),FALSE),0))</f>
        <v>7.3048299999999998E-4</v>
      </c>
      <c r="AH80">
        <f>AE80*IFERROR(VLOOKUP(A80,[1]Tørstofindhold!A$2:B$25,2,FALSE),0)</f>
        <v>0</v>
      </c>
      <c r="AI80">
        <f>K80*IFERROR(VLOOKUP(A80,[1]Tørstofindhold!A$2:B$25,2,FALSE),0)</f>
        <v>0</v>
      </c>
    </row>
    <row r="81" spans="1:35" hidden="1" x14ac:dyDescent="0.25">
      <c r="A81" s="171" t="str">
        <f t="shared" si="12"/>
        <v>Oksekød</v>
      </c>
      <c r="B81" s="171" t="str">
        <f t="shared" si="13"/>
        <v/>
      </c>
      <c r="C81" s="171" t="str">
        <f>IFERROR(VLOOKUP(A81,'Kategorisering af kcal'!$A$2:$B$18,2,FALSE),"")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5"/>
        <v>1</v>
      </c>
      <c r="F81" s="171">
        <f t="shared" si="14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71982.446002791301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0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8"/>
        <v>71982.446002791301</v>
      </c>
      <c r="P81" s="94">
        <f t="shared" si="19"/>
        <v>0</v>
      </c>
      <c r="Q81" s="180">
        <f t="shared" si="2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1"/>
        <v>0</v>
      </c>
      <c r="V81" s="169">
        <f>P81*IFERROR(VLOOKUP(A81,[1]Tørstofindhold!A$2:B$25,2,FALSE),0)</f>
        <v>0</v>
      </c>
      <c r="W81">
        <f>IF(F81=År1,Q81,SUM(P81,Q81))*IFERROR(VLOOKUP(A81,[1]Tørstofindhold!A$2:B$25,2,FALSE),0)</f>
        <v>0</v>
      </c>
      <c r="X81">
        <f>K81*IFERROR(VLOOKUP(A81,[1]Tørstofindhold!A$2:B$25,2,FALSE),0)</f>
        <v>0</v>
      </c>
      <c r="Y81" s="170">
        <f t="shared" si="22"/>
        <v>0</v>
      </c>
      <c r="Z81">
        <f t="shared" si="16"/>
        <v>0</v>
      </c>
      <c r="AA81">
        <f t="shared" si="17"/>
        <v>1</v>
      </c>
      <c r="AC81" s="94">
        <f t="shared" si="23"/>
        <v>71982.446002791301</v>
      </c>
      <c r="AD81">
        <f>AC81*E81*10000*VLOOKUP(A81,[1]kcal!$A$2:$C$49,3,FALSE)/1000000000000*IFERROR(VLOOKUP(A81,'Kategorisering af kcal'!$A$2:$E$18,MATCH('Produktion &amp; forbrug'!F81,'Kategorisering af kcal'!$A$1:$E$1,0),FALSE),0)</f>
        <v>0.14036576970544301</v>
      </c>
      <c r="AE81">
        <f>IF(C81&lt;&gt;"",AC81*(1-IF(A81&lt;&gt;"Græs",VLOOKUP(A81,'Kategorisering af kcal'!$A$2:$E$18,MATCH('Produktion &amp; forbrug'!F81,'Kategorisering af kcal'!$A$1:$E$1,0),FALSE),HLOOKUP(F81,Græsprotein!$C$2:$E$8,7))),'Produktion &amp; forbrug'!AC81)</f>
        <v>0</v>
      </c>
      <c r="AF81" s="94">
        <f t="shared" si="24"/>
        <v>71982.446002791301</v>
      </c>
      <c r="AG81">
        <f>IF(AC81&lt;0,AD81,G81*E81*10000*VLOOKUP(A81,[1]kcal!$A$2:$C$49,3,FALSE)/1000000000000*IFERROR(VLOOKUP(A81,'Kategorisering af kcal'!$A$2:$E$18,MATCH('Produktion &amp; forbrug'!F81,'Kategorisering af kcal'!$A$1:$E$1,0),FALSE),0))</f>
        <v>0.14036576970544301</v>
      </c>
      <c r="AH81">
        <f>AE81*IFERROR(VLOOKUP(A81,[1]Tørstofindhold!A$2:B$25,2,FALSE),0)</f>
        <v>0</v>
      </c>
      <c r="AI81">
        <f>K81*IFERROR(VLOOKUP(A81,[1]Tørstofindhold!A$2:B$25,2,FALSE),0)</f>
        <v>0</v>
      </c>
    </row>
    <row r="82" spans="1:35" hidden="1" x14ac:dyDescent="0.25">
      <c r="A82" s="171" t="str">
        <f t="shared" si="12"/>
        <v>Øvrige</v>
      </c>
      <c r="B82" s="171" t="str">
        <f t="shared" si="13"/>
        <v/>
      </c>
      <c r="C82" s="171" t="str">
        <f>IFERROR(VLOOKUP(A82,'Kategorisering af kcal'!$A$2:$B$18,2,FALSE),"")</f>
        <v/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5"/>
        <v>1</v>
      </c>
      <c r="F82" s="171">
        <f t="shared" si="14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1201916.5393687347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8"/>
        <v>1201916.5393687347</v>
      </c>
      <c r="P82" s="94">
        <f t="shared" si="19"/>
        <v>0</v>
      </c>
      <c r="Q82" s="180">
        <f t="shared" si="2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1"/>
        <v>0</v>
      </c>
      <c r="V82" s="169">
        <f>P82*IFERROR(VLOOKUP(A82,[1]Tørstofindhold!A$2:B$25,2,FALSE),0)</f>
        <v>0</v>
      </c>
      <c r="W82">
        <f>IF(F82=År1,Q82,SUM(P82,Q82))*IFERROR(VLOOKUP(A82,[1]Tørstofindhold!A$2:B$25,2,FALSE),0)</f>
        <v>0</v>
      </c>
      <c r="X82">
        <f>K82*IFERROR(VLOOKUP(A82,[1]Tørstofindhold!A$2:B$25,2,FALSE),0)</f>
        <v>0</v>
      </c>
      <c r="Y82" s="170">
        <f t="shared" si="22"/>
        <v>0</v>
      </c>
      <c r="Z82">
        <f t="shared" si="16"/>
        <v>0</v>
      </c>
      <c r="AA82">
        <f t="shared" si="17"/>
        <v>1</v>
      </c>
      <c r="AC82" s="94">
        <f t="shared" si="23"/>
        <v>1201916.5393687347</v>
      </c>
      <c r="AD82">
        <f>AC82*E82*10000*VLOOKUP(A82,[1]kcal!$A$2:$C$49,3,FALSE)/1000000000000*IFERROR(VLOOKUP(A82,'Kategorisering af kcal'!$A$2:$E$18,MATCH('Produktion &amp; forbrug'!F82,'Kategorisering af kcal'!$A$1:$E$1,0),FALSE),0)</f>
        <v>0</v>
      </c>
      <c r="AE82">
        <f>IF(C82&lt;&gt;"",AC82*(1-IF(A82&lt;&gt;"Græs",VLOOKUP(A82,'Kategorisering af kcal'!$A$2:$E$18,MATCH('Produktion &amp; forbrug'!F82,'Kategorisering af kcal'!$A$1:$E$1,0),FALSE),HLOOKUP(F82,Græsprotein!$C$2:$E$8,7))),'Produktion &amp; forbrug'!AC82)</f>
        <v>1201916.5393687347</v>
      </c>
      <c r="AF82" s="94">
        <f t="shared" si="24"/>
        <v>0</v>
      </c>
      <c r="AG82">
        <f>IF(AC82&lt;0,AD82,G82*E82*10000*VLOOKUP(A82,[1]kcal!$A$2:$C$49,3,FALSE)/1000000000000*IFERROR(VLOOKUP(A82,'Kategorisering af kcal'!$A$2:$E$18,MATCH('Produktion &amp; forbrug'!F82,'Kategorisering af kcal'!$A$1:$E$1,0),FALSE),0))</f>
        <v>0</v>
      </c>
      <c r="AH82">
        <f>AE82*IFERROR(VLOOKUP(A82,[1]Tørstofindhold!A$2:B$25,2,FALSE),0)</f>
        <v>0</v>
      </c>
      <c r="AI82">
        <f>K82*IFERROR(VLOOKUP(A82,[1]Tørstofindhold!A$2:B$25,2,FALSE),0)</f>
        <v>0</v>
      </c>
    </row>
    <row r="83" spans="1:35" hidden="1" x14ac:dyDescent="0.25">
      <c r="A83" s="171" t="str">
        <f t="shared" si="12"/>
        <v>Pil &amp; poppel</v>
      </c>
      <c r="B83" s="171" t="str">
        <f t="shared" si="13"/>
        <v>Vedmasse</v>
      </c>
      <c r="C83" s="171" t="str">
        <f>IFERROR(VLOOKUP(A83,'Kategorisering af kcal'!$A$2:$B$18,2,FALSE),"")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5"/>
        <v>0</v>
      </c>
      <c r="F83" s="171">
        <f t="shared" si="14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1040798.545799318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1040798.545799318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8"/>
        <v>0</v>
      </c>
      <c r="P83" s="94">
        <f t="shared" si="19"/>
        <v>0</v>
      </c>
      <c r="Q83" s="180">
        <f t="shared" si="20"/>
        <v>1040798.545799318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19.150693242707447</v>
      </c>
      <c r="T83">
        <f>IFERROR(VLOOKUP(A83,[1]Biogasudbytte!$A$2:$B$18,2,FALSE)*[1]Energiindhold!$C$10,0)*K83*IFERROR(VLOOKUP(A83,Biogasanlæg!$F$3:$G$8,2,FALSE),1)</f>
        <v>0</v>
      </c>
      <c r="U83" s="170">
        <f t="shared" si="21"/>
        <v>19.150693242707447</v>
      </c>
      <c r="V83" s="169">
        <f>P83*IFERROR(VLOOKUP(A83,[1]Tørstofindhold!A$2:B$25,2,FALSE),0)</f>
        <v>0</v>
      </c>
      <c r="W83">
        <f>IF(F83=År1,Q83,SUM(P83,Q83))*IFERROR(VLOOKUP(A83,[1]Tørstofindhold!A$2:B$25,2,FALSE),0)</f>
        <v>431931.39650671702</v>
      </c>
      <c r="X83">
        <f>K83*IFERROR(VLOOKUP(A83,[1]Tørstofindhold!A$2:B$25,2,FALSE),0)</f>
        <v>0</v>
      </c>
      <c r="Y83" s="170">
        <f t="shared" si="22"/>
        <v>431931.39650671702</v>
      </c>
      <c r="Z83">
        <f t="shared" si="16"/>
        <v>0</v>
      </c>
      <c r="AA83">
        <f t="shared" si="17"/>
        <v>0</v>
      </c>
      <c r="AC83" s="94">
        <f t="shared" si="23"/>
        <v>1040798.545799318</v>
      </c>
      <c r="AD83">
        <f>AC83*E83*10000*VLOOKUP(A83,[1]kcal!$A$2:$C$49,3,FALSE)/1000000000000*IFERROR(VLOOKUP(A83,'Kategorisering af kcal'!$A$2:$E$18,MATCH('Produktion &amp; forbrug'!F83,'Kategorisering af kcal'!$A$1:$E$1,0),FALSE),0)</f>
        <v>0</v>
      </c>
      <c r="AE83">
        <f>IF(C83&lt;&gt;"",AC83*(1-IF(A83&lt;&gt;"Græs",VLOOKUP(A83,'Kategorisering af kcal'!$A$2:$E$18,MATCH('Produktion &amp; forbrug'!F83,'Kategorisering af kcal'!$A$1:$E$1,0),FALSE),HLOOKUP(F83,Græsprotein!$C$2:$E$8,7))),'Produktion &amp; forbrug'!AC83)</f>
        <v>1040798.545799318</v>
      </c>
      <c r="AF83" s="94">
        <f t="shared" si="24"/>
        <v>0</v>
      </c>
      <c r="AG83">
        <f>IF(AC83&lt;0,AD83,G83*E83*10000*VLOOKUP(A83,[1]kcal!$A$2:$C$49,3,FALSE)/1000000000000*IFERROR(VLOOKUP(A83,'Kategorisering af kcal'!$A$2:$E$18,MATCH('Produktion &amp; forbrug'!F83,'Kategorisering af kcal'!$A$1:$E$1,0),FALSE),0))</f>
        <v>0</v>
      </c>
      <c r="AH83">
        <f>AE83*IFERROR(VLOOKUP(A83,[1]Tørstofindhold!A$2:B$25,2,FALSE),0)</f>
        <v>431931.39650671702</v>
      </c>
      <c r="AI83">
        <f>K83*IFERROR(VLOOKUP(A83,[1]Tørstofindhold!A$2:B$25,2,FALSE),0)</f>
        <v>0</v>
      </c>
    </row>
    <row r="84" spans="1:35" hidden="1" x14ac:dyDescent="0.25">
      <c r="A84" s="171" t="str">
        <f t="shared" si="12"/>
        <v>Pyrolysegas</v>
      </c>
      <c r="B84" s="171" t="str">
        <f t="shared" si="13"/>
        <v>Pyrolyseprodukter</v>
      </c>
      <c r="C84" s="171" t="str">
        <f>IFERROR(VLOOKUP(A84,'Kategorisering af kcal'!$A$2:$B$18,2,FALSE),"")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5"/>
        <v>0</v>
      </c>
      <c r="F84" s="171">
        <f t="shared" si="14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8"/>
        <v>0</v>
      </c>
      <c r="P84" s="94">
        <f t="shared" si="19"/>
        <v>0</v>
      </c>
      <c r="Q84" s="180">
        <f t="shared" si="20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1"/>
        <v>0</v>
      </c>
      <c r="V84" s="169">
        <f>P84*IFERROR(VLOOKUP(A84,[1]Tørstofindhold!A$2:B$25,2,FALSE),0)</f>
        <v>0</v>
      </c>
      <c r="W84">
        <f>IF(F84=År1,Q84,SUM(P84,Q84))*IFERROR(VLOOKUP(A84,[1]Tørstofindhold!A$2:B$25,2,FALSE),0)</f>
        <v>0</v>
      </c>
      <c r="X84">
        <f>K84*IFERROR(VLOOKUP(A84,[1]Tørstofindhold!A$2:B$25,2,FALSE),0)</f>
        <v>0</v>
      </c>
      <c r="Y84" s="170">
        <f t="shared" si="22"/>
        <v>0</v>
      </c>
      <c r="Z84">
        <f t="shared" si="16"/>
        <v>0</v>
      </c>
      <c r="AA84">
        <f t="shared" si="17"/>
        <v>0</v>
      </c>
      <c r="AC84" s="94">
        <f t="shared" si="23"/>
        <v>0</v>
      </c>
      <c r="AD84">
        <f>AC84*E84*10000*VLOOKUP(A84,[1]kcal!$A$2:$C$49,3,FALSE)/1000000000000*IFERROR(VLOOKUP(A84,'Kategorisering af kcal'!$A$2:$E$18,MATCH('Produktion &amp; forbrug'!F84,'Kategorisering af kcal'!$A$1:$E$1,0),FALSE),0)</f>
        <v>0</v>
      </c>
      <c r="AE84">
        <f>IF(C84&lt;&gt;"",AC84*(1-IF(A84&lt;&gt;"Græs",VLOOKUP(A84,'Kategorisering af kcal'!$A$2:$E$18,MATCH('Produktion &amp; forbrug'!F84,'Kategorisering af kcal'!$A$1:$E$1,0),FALSE),HLOOKUP(F84,Græsprotein!$C$2:$E$8,7))),'Produktion &amp; forbrug'!AC84)</f>
        <v>0</v>
      </c>
      <c r="AF84" s="94">
        <f t="shared" si="24"/>
        <v>0</v>
      </c>
      <c r="AG84">
        <f>IF(AC84&lt;0,AD84,G84*E84*10000*VLOOKUP(A84,[1]kcal!$A$2:$C$49,3,FALSE)/1000000000000*IFERROR(VLOOKUP(A84,'Kategorisering af kcal'!$A$2:$E$18,MATCH('Produktion &amp; forbrug'!F84,'Kategorisering af kcal'!$A$1:$E$1,0),FALSE),0))</f>
        <v>0</v>
      </c>
      <c r="AH84">
        <f>AE84*IFERROR(VLOOKUP(A84,[1]Tørstofindhold!A$2:B$25,2,FALSE),0)</f>
        <v>0</v>
      </c>
      <c r="AI84">
        <f>K84*IFERROR(VLOOKUP(A84,[1]Tørstofindhold!A$2:B$25,2,FALSE),0)</f>
        <v>0</v>
      </c>
    </row>
    <row r="85" spans="1:35" hidden="1" x14ac:dyDescent="0.25">
      <c r="A85" s="171" t="str">
        <f t="shared" si="12"/>
        <v>Pyrolyseolie</v>
      </c>
      <c r="B85" s="171" t="str">
        <f t="shared" si="13"/>
        <v>Pyrolyseprodukter</v>
      </c>
      <c r="C85" s="171" t="str">
        <f>IFERROR(VLOOKUP(A85,'Kategorisering af kcal'!$A$2:$B$18,2,FALSE),"")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5"/>
        <v>0</v>
      </c>
      <c r="F85" s="171">
        <f t="shared" si="14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8"/>
        <v>0</v>
      </c>
      <c r="P85" s="94">
        <f t="shared" si="19"/>
        <v>0</v>
      </c>
      <c r="Q85" s="180">
        <f t="shared" si="20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1"/>
        <v>0</v>
      </c>
      <c r="V85" s="169">
        <f>P85*IFERROR(VLOOKUP(A85,[1]Tørstofindhold!A$2:B$25,2,FALSE),0)</f>
        <v>0</v>
      </c>
      <c r="W85">
        <f>IF(F85=År1,Q85,SUM(P85,Q85))*IFERROR(VLOOKUP(A85,[1]Tørstofindhold!A$2:B$25,2,FALSE),0)</f>
        <v>0</v>
      </c>
      <c r="X85">
        <f>K85*IFERROR(VLOOKUP(A85,[1]Tørstofindhold!A$2:B$25,2,FALSE),0)</f>
        <v>0</v>
      </c>
      <c r="Y85" s="170">
        <f t="shared" si="22"/>
        <v>0</v>
      </c>
      <c r="Z85">
        <f t="shared" si="16"/>
        <v>0</v>
      </c>
      <c r="AA85">
        <f t="shared" si="17"/>
        <v>0</v>
      </c>
      <c r="AC85" s="94">
        <f t="shared" si="23"/>
        <v>0</v>
      </c>
      <c r="AD85">
        <f>AC85*E85*10000*VLOOKUP(A85,[1]kcal!$A$2:$C$49,3,FALSE)/1000000000000*IFERROR(VLOOKUP(A85,'Kategorisering af kcal'!$A$2:$E$18,MATCH('Produktion &amp; forbrug'!F85,'Kategorisering af kcal'!$A$1:$E$1,0),FALSE),0)</f>
        <v>0</v>
      </c>
      <c r="AE85">
        <f>IF(C85&lt;&gt;"",AC85*(1-IF(A85&lt;&gt;"Græs",VLOOKUP(A85,'Kategorisering af kcal'!$A$2:$E$18,MATCH('Produktion &amp; forbrug'!F85,'Kategorisering af kcal'!$A$1:$E$1,0),FALSE),HLOOKUP(F85,Græsprotein!$C$2:$E$8,7))),'Produktion &amp; forbrug'!AC85)</f>
        <v>0</v>
      </c>
      <c r="AF85" s="94">
        <f t="shared" si="24"/>
        <v>0</v>
      </c>
      <c r="AG85">
        <f>IF(AC85&lt;0,AD85,G85*E85*10000*VLOOKUP(A85,[1]kcal!$A$2:$C$49,3,FALSE)/1000000000000*IFERROR(VLOOKUP(A85,'Kategorisering af kcal'!$A$2:$E$18,MATCH('Produktion &amp; forbrug'!F85,'Kategorisering af kcal'!$A$1:$E$1,0),FALSE),0))</f>
        <v>0</v>
      </c>
      <c r="AH85">
        <f>AE85*IFERROR(VLOOKUP(A85,[1]Tørstofindhold!A$2:B$25,2,FALSE),0)</f>
        <v>0</v>
      </c>
      <c r="AI85">
        <f>K85*IFERROR(VLOOKUP(A85,[1]Tørstofindhold!A$2:B$25,2,FALSE),0)</f>
        <v>0</v>
      </c>
    </row>
    <row r="86" spans="1:35" hidden="1" x14ac:dyDescent="0.25">
      <c r="A86" s="171" t="str">
        <f t="shared" si="12"/>
        <v>Råmælk</v>
      </c>
      <c r="B86" s="171" t="str">
        <f t="shared" si="13"/>
        <v/>
      </c>
      <c r="C86" s="171" t="str">
        <f>IFERROR(VLOOKUP(A86,'Kategorisering af kcal'!$A$2:$B$18,2,FALSE),"")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5"/>
        <v>0</v>
      </c>
      <c r="F86" s="171">
        <f t="shared" si="14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1958828.762834542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8"/>
        <v>1958828.762834542</v>
      </c>
      <c r="P86" s="94">
        <f t="shared" si="19"/>
        <v>0</v>
      </c>
      <c r="Q86" s="180">
        <f t="shared" si="20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1"/>
        <v>0</v>
      </c>
      <c r="V86" s="169">
        <f>P86*IFERROR(VLOOKUP(A86,[1]Tørstofindhold!A$2:B$25,2,FALSE),0)</f>
        <v>0</v>
      </c>
      <c r="W86">
        <f>IF(F86=År1,Q86,SUM(P86,Q86))*IFERROR(VLOOKUP(A86,[1]Tørstofindhold!A$2:B$25,2,FALSE),0)</f>
        <v>0</v>
      </c>
      <c r="X86">
        <f>K86*IFERROR(VLOOKUP(A86,[1]Tørstofindhold!A$2:B$25,2,FALSE),0)</f>
        <v>0</v>
      </c>
      <c r="Y86" s="170">
        <f t="shared" si="22"/>
        <v>0</v>
      </c>
      <c r="Z86">
        <f t="shared" si="16"/>
        <v>0</v>
      </c>
      <c r="AA86">
        <f t="shared" si="17"/>
        <v>1</v>
      </c>
      <c r="AC86" s="94">
        <f t="shared" si="23"/>
        <v>1958828.762834542</v>
      </c>
      <c r="AD86">
        <f>AC86*E86*10000*VLOOKUP(A86,[1]kcal!$A$2:$C$49,3,FALSE)/1000000000000*IFERROR(VLOOKUP(A86,'Kategorisering af kcal'!$A$2:$E$18,MATCH('Produktion &amp; forbrug'!F86,'Kategorisering af kcal'!$A$1:$E$1,0),FALSE),0)</f>
        <v>0</v>
      </c>
      <c r="AE86">
        <f>IF(C86&lt;&gt;"",AC86*(1-IF(A86&lt;&gt;"Græs",VLOOKUP(A86,'Kategorisering af kcal'!$A$2:$E$18,MATCH('Produktion &amp; forbrug'!F86,'Kategorisering af kcal'!$A$1:$E$1,0),FALSE),HLOOKUP(F86,Græsprotein!$C$2:$E$8,7))),'Produktion &amp; forbrug'!AC86)</f>
        <v>1958828.762834542</v>
      </c>
      <c r="AF86" s="94">
        <f t="shared" si="24"/>
        <v>0</v>
      </c>
      <c r="AG86">
        <f>IF(AC86&lt;0,AD86,G86*E86*10000*VLOOKUP(A86,[1]kcal!$A$2:$C$49,3,FALSE)/1000000000000*IFERROR(VLOOKUP(A86,'Kategorisering af kcal'!$A$2:$E$18,MATCH('Produktion &amp; forbrug'!F86,'Kategorisering af kcal'!$A$1:$E$1,0),FALSE),0))</f>
        <v>0</v>
      </c>
      <c r="AH86">
        <f>AE86*IFERROR(VLOOKUP(A86,[1]Tørstofindhold!A$2:B$25,2,FALSE),0)</f>
        <v>0</v>
      </c>
      <c r="AI86">
        <f>K86*IFERROR(VLOOKUP(A86,[1]Tørstofindhold!A$2:B$25,2,FALSE),0)</f>
        <v>0</v>
      </c>
    </row>
    <row r="87" spans="1:35" hidden="1" x14ac:dyDescent="0.25">
      <c r="A87" s="171" t="str">
        <f t="shared" si="12"/>
        <v>Raps</v>
      </c>
      <c r="B87" s="171" t="str">
        <f t="shared" si="13"/>
        <v/>
      </c>
      <c r="C87" s="171" t="str">
        <f>IFERROR(VLOOKUP(A87,'Kategorisering af kcal'!$A$2:$B$18,2,FALSE),"")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5"/>
        <v>0</v>
      </c>
      <c r="F87" s="171">
        <f t="shared" si="14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852946.37362884311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852946.37362884311</v>
      </c>
      <c r="O87" s="179">
        <f t="shared" si="18"/>
        <v>0</v>
      </c>
      <c r="P87" s="94">
        <f t="shared" si="19"/>
        <v>0</v>
      </c>
      <c r="Q87" s="180">
        <f t="shared" si="20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1"/>
        <v>0</v>
      </c>
      <c r="V87" s="169">
        <f>P87*IFERROR(VLOOKUP(A87,[1]Tørstofindhold!A$2:B$25,2,FALSE),0)</f>
        <v>0</v>
      </c>
      <c r="W87">
        <f>IF(F87=År1,Q87,SUM(P87,Q87))*IFERROR(VLOOKUP(A87,[1]Tørstofindhold!A$2:B$25,2,FALSE),0)</f>
        <v>0</v>
      </c>
      <c r="X87">
        <f>K87*IFERROR(VLOOKUP(A87,[1]Tørstofindhold!A$2:B$25,2,FALSE),0)</f>
        <v>0</v>
      </c>
      <c r="Y87" s="170">
        <f t="shared" si="22"/>
        <v>0</v>
      </c>
      <c r="Z87">
        <f t="shared" si="16"/>
        <v>0</v>
      </c>
      <c r="AA87">
        <f t="shared" si="17"/>
        <v>0</v>
      </c>
      <c r="AC87" s="94">
        <f t="shared" si="23"/>
        <v>0</v>
      </c>
      <c r="AD87">
        <f>AC87*E87*10000*VLOOKUP(A87,[1]kcal!$A$2:$C$49,3,FALSE)/1000000000000*IFERROR(VLOOKUP(A87,'Kategorisering af kcal'!$A$2:$E$18,MATCH('Produktion &amp; forbrug'!F87,'Kategorisering af kcal'!$A$1:$E$1,0),FALSE),0)</f>
        <v>0</v>
      </c>
      <c r="AE87">
        <f>IF(C87&lt;&gt;"",AC87*(1-IF(A87&lt;&gt;"Græs",VLOOKUP(A87,'Kategorisering af kcal'!$A$2:$E$18,MATCH('Produktion &amp; forbrug'!F87,'Kategorisering af kcal'!$A$1:$E$1,0),FALSE),HLOOKUP(F87,Græsprotein!$C$2:$E$8,7))),'Produktion &amp; forbrug'!AC87)</f>
        <v>0</v>
      </c>
      <c r="AF87" s="94">
        <f t="shared" si="24"/>
        <v>0</v>
      </c>
      <c r="AG87">
        <f>IF(AC87&lt;0,AD87,G87*E87*10000*VLOOKUP(A87,[1]kcal!$A$2:$C$49,3,FALSE)/1000000000000*IFERROR(VLOOKUP(A87,'Kategorisering af kcal'!$A$2:$E$18,MATCH('Produktion &amp; forbrug'!F87,'Kategorisering af kcal'!$A$1:$E$1,0),FALSE),0))</f>
        <v>0</v>
      </c>
      <c r="AH87">
        <f>AE87*IFERROR(VLOOKUP(A87,[1]Tørstofindhold!A$2:B$25,2,FALSE),0)</f>
        <v>0</v>
      </c>
      <c r="AI87">
        <f>K87*IFERROR(VLOOKUP(A87,[1]Tørstofindhold!A$2:B$25,2,FALSE),0)</f>
        <v>0</v>
      </c>
    </row>
    <row r="88" spans="1:35" hidden="1" x14ac:dyDescent="0.25">
      <c r="A88" s="171" t="str">
        <f t="shared" si="12"/>
        <v>Rapskage</v>
      </c>
      <c r="B88" s="171" t="str">
        <f t="shared" si="13"/>
        <v/>
      </c>
      <c r="C88" s="171" t="str">
        <f>IFERROR(VLOOKUP(A88,'Kategorisering af kcal'!$A$2:$B$18,2,FALSE),"")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5"/>
        <v>0</v>
      </c>
      <c r="F88" s="171">
        <f t="shared" si="14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426473.18681442156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150566.48491478726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8"/>
        <v>275906.70189963432</v>
      </c>
      <c r="P88" s="94">
        <f t="shared" si="19"/>
        <v>0</v>
      </c>
      <c r="Q88" s="180">
        <f t="shared" si="20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1"/>
        <v>0</v>
      </c>
      <c r="V88" s="169">
        <f>P88*IFERROR(VLOOKUP(A88,[1]Tørstofindhold!A$2:B$25,2,FALSE),0)</f>
        <v>0</v>
      </c>
      <c r="W88">
        <f>IF(F88=År1,Q88,SUM(P88,Q88))*IFERROR(VLOOKUP(A88,[1]Tørstofindhold!A$2:B$25,2,FALSE),0)</f>
        <v>0</v>
      </c>
      <c r="X88">
        <f>K88*IFERROR(VLOOKUP(A88,[1]Tørstofindhold!A$2:B$25,2,FALSE),0)</f>
        <v>0</v>
      </c>
      <c r="Y88" s="170">
        <f t="shared" si="22"/>
        <v>0</v>
      </c>
      <c r="Z88">
        <f t="shared" si="16"/>
        <v>0</v>
      </c>
      <c r="AA88">
        <f t="shared" si="17"/>
        <v>1</v>
      </c>
      <c r="AC88" s="94">
        <f t="shared" si="23"/>
        <v>275906.70189963432</v>
      </c>
      <c r="AD88">
        <f>AC88*E88*10000*VLOOKUP(A88,[1]kcal!$A$2:$C$49,3,FALSE)/1000000000000*IFERROR(VLOOKUP(A88,'Kategorisering af kcal'!$A$2:$E$18,MATCH('Produktion &amp; forbrug'!F88,'Kategorisering af kcal'!$A$1:$E$1,0),FALSE),0)</f>
        <v>0</v>
      </c>
      <c r="AE88">
        <f>IF(C88&lt;&gt;"",AC88*(1-IF(A88&lt;&gt;"Græs",VLOOKUP(A88,'Kategorisering af kcal'!$A$2:$E$18,MATCH('Produktion &amp; forbrug'!F88,'Kategorisering af kcal'!$A$1:$E$1,0),FALSE),HLOOKUP(F88,Græsprotein!$C$2:$E$8,7))),'Produktion &amp; forbrug'!AC88)</f>
        <v>275906.70189963432</v>
      </c>
      <c r="AF88" s="94">
        <f t="shared" si="24"/>
        <v>0</v>
      </c>
      <c r="AG88">
        <f>IF(AC88&lt;0,AD88,G88*E88*10000*VLOOKUP(A88,[1]kcal!$A$2:$C$49,3,FALSE)/1000000000000*IFERROR(VLOOKUP(A88,'Kategorisering af kcal'!$A$2:$E$18,MATCH('Produktion &amp; forbrug'!F88,'Kategorisering af kcal'!$A$1:$E$1,0),FALSE),0))</f>
        <v>0</v>
      </c>
      <c r="AH88">
        <f>AE88*IFERROR(VLOOKUP(A88,[1]Tørstofindhold!A$2:B$25,2,FALSE),0)</f>
        <v>251075.09872866725</v>
      </c>
      <c r="AI88">
        <f>K88*IFERROR(VLOOKUP(A88,[1]Tørstofindhold!A$2:B$25,2,FALSE),0)</f>
        <v>0</v>
      </c>
    </row>
    <row r="89" spans="1:35" hidden="1" x14ac:dyDescent="0.25">
      <c r="A89" s="171" t="str">
        <f t="shared" si="12"/>
        <v>Rapsolie</v>
      </c>
      <c r="B89" s="171" t="str">
        <f t="shared" si="13"/>
        <v>Rapsolie</v>
      </c>
      <c r="C89" s="171" t="str">
        <f>IFERROR(VLOOKUP(A89,'Kategorisering af kcal'!$A$2:$B$18,2,FALSE),"")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5"/>
        <v>1</v>
      </c>
      <c r="F89" s="171">
        <f t="shared" si="14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272942.8395612298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272942.8395612298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8"/>
        <v>0</v>
      </c>
      <c r="P89" s="94">
        <f t="shared" si="19"/>
        <v>0</v>
      </c>
      <c r="Q89" s="180">
        <f t="shared" si="20"/>
        <v>272942.8395612298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9.5529993846430425</v>
      </c>
      <c r="T89">
        <f>IFERROR(VLOOKUP(A89,[1]Biogasudbytte!$A$2:$B$18,2,FALSE)*[1]Energiindhold!$C$10,0)*K89*IFERROR(VLOOKUP(A89,Biogasanlæg!$F$3:$G$8,2,FALSE),1)</f>
        <v>0</v>
      </c>
      <c r="U89" s="170">
        <f t="shared" si="21"/>
        <v>9.5529993846430425</v>
      </c>
      <c r="V89" s="169">
        <f>P89*IFERROR(VLOOKUP(A89,[1]Tørstofindhold!A$2:B$25,2,FALSE),0)</f>
        <v>0</v>
      </c>
      <c r="W89">
        <f>IF(F89=År1,Q89,SUM(P89,Q89))*IFERROR(VLOOKUP(A89,[1]Tørstofindhold!A$2:B$25,2,FALSE),0)</f>
        <v>0</v>
      </c>
      <c r="X89">
        <f>K89*IFERROR(VLOOKUP(A89,[1]Tørstofindhold!A$2:B$25,2,FALSE),0)</f>
        <v>0</v>
      </c>
      <c r="Y89" s="170">
        <f t="shared" si="22"/>
        <v>0</v>
      </c>
      <c r="Z89">
        <f t="shared" si="16"/>
        <v>0</v>
      </c>
      <c r="AA89">
        <f t="shared" si="17"/>
        <v>0</v>
      </c>
      <c r="AC89" s="94">
        <f t="shared" si="23"/>
        <v>272942.8395612298</v>
      </c>
      <c r="AD89">
        <f>AC89*E89*10000*VLOOKUP(A89,[1]kcal!$A$2:$C$49,3,FALSE)/1000000000000*IFERROR(VLOOKUP(A89,'Kategorisering af kcal'!$A$2:$E$18,MATCH('Produktion &amp; forbrug'!F89,'Kategorisering af kcal'!$A$1:$E$1,0),FALSE),0)</f>
        <v>2.4564855560510686</v>
      </c>
      <c r="AE89">
        <f>IF(C89&lt;&gt;"",AC89*(1-IF(A89&lt;&gt;"Græs",VLOOKUP(A89,'Kategorisering af kcal'!$A$2:$E$18,MATCH('Produktion &amp; forbrug'!F89,'Kategorisering af kcal'!$A$1:$E$1,0),FALSE),HLOOKUP(F89,Græsprotein!$C$2:$E$8,7))),'Produktion &amp; forbrug'!AC89)</f>
        <v>0</v>
      </c>
      <c r="AF89" s="94">
        <f t="shared" si="24"/>
        <v>272942.8395612298</v>
      </c>
      <c r="AG89">
        <f>IF(AC89&lt;0,AD89,G89*E89*10000*VLOOKUP(A89,[1]kcal!$A$2:$C$49,3,FALSE)/1000000000000*IFERROR(VLOOKUP(A89,'Kategorisering af kcal'!$A$2:$E$18,MATCH('Produktion &amp; forbrug'!F89,'Kategorisering af kcal'!$A$1:$E$1,0),FALSE),0))</f>
        <v>2.4564855560510686</v>
      </c>
      <c r="AH89">
        <f>AE89*IFERROR(VLOOKUP(A89,[1]Tørstofindhold!A$2:B$25,2,FALSE),0)</f>
        <v>0</v>
      </c>
      <c r="AI89">
        <f>K89*IFERROR(VLOOKUP(A89,[1]Tørstofindhold!A$2:B$25,2,FALSE),0)</f>
        <v>0</v>
      </c>
    </row>
    <row r="90" spans="1:35" hidden="1" x14ac:dyDescent="0.25">
      <c r="A90" s="171" t="str">
        <f t="shared" si="12"/>
        <v>Roer</v>
      </c>
      <c r="B90" s="171" t="str">
        <f t="shared" si="13"/>
        <v>Anden grøn biomasse</v>
      </c>
      <c r="C90" s="171" t="str">
        <f>IFERROR(VLOOKUP(A90,'Kategorisering af kcal'!$A$2:$B$18,2,FALSE),"")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5"/>
        <v>1</v>
      </c>
      <c r="F90" s="171">
        <f t="shared" si="14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3369030.3262921902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5800700.180129448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8"/>
        <v>-2431669.8538372577</v>
      </c>
      <c r="P90" s="94">
        <f t="shared" si="19"/>
        <v>0</v>
      </c>
      <c r="Q90" s="180">
        <f t="shared" si="20"/>
        <v>0</v>
      </c>
      <c r="R90">
        <f>IFERROR(VLOOKUP(A90,[1]Energiindhold!$A$2:$C$11,3,FALSE),IFERROR(VLOOKUP(A90,[1]Biogasudbytte!$A$2:$B$18,2,FALSE)*[1]Energiindhold!$C$10,0))*P90</f>
        <v>0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0</v>
      </c>
      <c r="T90">
        <f>IFERROR(VLOOKUP(A90,[1]Biogasudbytte!$A$2:$B$18,2,FALSE)*[1]Energiindhold!$C$10,0)*K90*IFERROR(VLOOKUP(A90,Biogasanlæg!$F$3:$G$8,2,FALSE),1)</f>
        <v>0</v>
      </c>
      <c r="U90" s="170">
        <f t="shared" si="21"/>
        <v>0</v>
      </c>
      <c r="V90" s="169">
        <f>P90*IFERROR(VLOOKUP(A90,[1]Tørstofindhold!A$2:B$25,2,FALSE),0)</f>
        <v>0</v>
      </c>
      <c r="W90">
        <f>IF(F90=År1,Q90,SUM(P90,Q90))*IFERROR(VLOOKUP(A90,[1]Tørstofindhold!A$2:B$25,2,FALSE),0)</f>
        <v>0</v>
      </c>
      <c r="X90">
        <f>K90*IFERROR(VLOOKUP(A90,[1]Tørstofindhold!A$2:B$25,2,FALSE),0)</f>
        <v>0</v>
      </c>
      <c r="Y90" s="170">
        <f t="shared" si="22"/>
        <v>0</v>
      </c>
      <c r="Z90">
        <f t="shared" si="16"/>
        <v>1</v>
      </c>
      <c r="AA90">
        <f t="shared" si="17"/>
        <v>0</v>
      </c>
      <c r="AC90" s="94">
        <f t="shared" si="23"/>
        <v>-2431669.8538372577</v>
      </c>
      <c r="AD90">
        <f>AC90*E90*10000*VLOOKUP(A90,[1]kcal!$A$2:$C$49,3,FALSE)/1000000000000*IFERROR(VLOOKUP(A90,'Kategorisering af kcal'!$A$2:$E$18,MATCH('Produktion &amp; forbrug'!F90,'Kategorisering af kcal'!$A$1:$E$1,0),FALSE),0)</f>
        <v>-0.72950095615117738</v>
      </c>
      <c r="AE90">
        <f>IF(C90&lt;&gt;"",AC90*(1-IF(A90&lt;&gt;"Græs",VLOOKUP(A90,'Kategorisering af kcal'!$A$2:$E$18,MATCH('Produktion &amp; forbrug'!F90,'Kategorisering af kcal'!$A$1:$E$1,0),FALSE),HLOOKUP(F90,Græsprotein!$C$2:$E$8,7))),'Produktion &amp; forbrug'!AC90)</f>
        <v>0</v>
      </c>
      <c r="AF90" s="94">
        <f t="shared" si="24"/>
        <v>-2431669.8538372577</v>
      </c>
      <c r="AG90">
        <f>IF(AC90&lt;0,AD90,G90*E90*10000*VLOOKUP(A90,[1]kcal!$A$2:$C$49,3,FALSE)/1000000000000*IFERROR(VLOOKUP(A90,'Kategorisering af kcal'!$A$2:$E$18,MATCH('Produktion &amp; forbrug'!F90,'Kategorisering af kcal'!$A$1:$E$1,0),FALSE),0))</f>
        <v>-0.72950095615117738</v>
      </c>
      <c r="AH90">
        <f>AE90*IFERROR(VLOOKUP(A90,[1]Tørstofindhold!A$2:B$25,2,FALSE),0)</f>
        <v>0</v>
      </c>
      <c r="AI90">
        <f>K90*IFERROR(VLOOKUP(A90,[1]Tørstofindhold!A$2:B$25,2,FALSE),0)</f>
        <v>0</v>
      </c>
    </row>
    <row r="91" spans="1:35" hidden="1" x14ac:dyDescent="0.25">
      <c r="A91" s="171" t="str">
        <f t="shared" si="12"/>
        <v>Slagteriaffald til andet</v>
      </c>
      <c r="B91" s="171" t="str">
        <f t="shared" si="13"/>
        <v/>
      </c>
      <c r="C91" s="171" t="str">
        <f>IFERROR(VLOOKUP(A91,'Kategorisering af kcal'!$A$2:$B$18,2,FALSE),"")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5"/>
        <v>0</v>
      </c>
      <c r="F91" s="171">
        <f t="shared" si="14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121153.17342766466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8"/>
        <v>121153.17342766466</v>
      </c>
      <c r="P91" s="94">
        <f t="shared" si="19"/>
        <v>0</v>
      </c>
      <c r="Q91" s="180">
        <f t="shared" si="20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1"/>
        <v>0</v>
      </c>
      <c r="V91" s="169">
        <f>P91*IFERROR(VLOOKUP(A91,[1]Tørstofindhold!A$2:B$25,2,FALSE),0)</f>
        <v>0</v>
      </c>
      <c r="W91">
        <f>IF(F91=År1,Q91,SUM(P91,Q91))*IFERROR(VLOOKUP(A91,[1]Tørstofindhold!A$2:B$25,2,FALSE),0)</f>
        <v>0</v>
      </c>
      <c r="X91">
        <f>K91*IFERROR(VLOOKUP(A91,[1]Tørstofindhold!A$2:B$25,2,FALSE),0)</f>
        <v>0</v>
      </c>
      <c r="Y91" s="170">
        <f t="shared" si="22"/>
        <v>0</v>
      </c>
      <c r="Z91">
        <f t="shared" si="16"/>
        <v>0</v>
      </c>
      <c r="AA91">
        <f t="shared" si="17"/>
        <v>1</v>
      </c>
      <c r="AC91" s="94">
        <f t="shared" si="23"/>
        <v>121153.17342766466</v>
      </c>
      <c r="AD91">
        <f>AC91*E91*10000*VLOOKUP(A91,[1]kcal!$A$2:$C$49,3,FALSE)/1000000000000*IFERROR(VLOOKUP(A91,'Kategorisering af kcal'!$A$2:$E$18,MATCH('Produktion &amp; forbrug'!F91,'Kategorisering af kcal'!$A$1:$E$1,0),FALSE),0)</f>
        <v>0</v>
      </c>
      <c r="AE91">
        <f>IF(C91&lt;&gt;"",AC91*(1-IF(A91&lt;&gt;"Græs",VLOOKUP(A91,'Kategorisering af kcal'!$A$2:$E$18,MATCH('Produktion &amp; forbrug'!F91,'Kategorisering af kcal'!$A$1:$E$1,0),FALSE),HLOOKUP(F91,Græsprotein!$C$2:$E$8,7))),'Produktion &amp; forbrug'!AC91)</f>
        <v>121153.17342766466</v>
      </c>
      <c r="AF91" s="94">
        <f t="shared" si="24"/>
        <v>0</v>
      </c>
      <c r="AG91">
        <f>IF(AC91&lt;0,AD91,G91*E91*10000*VLOOKUP(A91,[1]kcal!$A$2:$C$49,3,FALSE)/1000000000000*IFERROR(VLOOKUP(A91,'Kategorisering af kcal'!$A$2:$E$18,MATCH('Produktion &amp; forbrug'!F91,'Kategorisering af kcal'!$A$1:$E$1,0),FALSE),0))</f>
        <v>0</v>
      </c>
      <c r="AH91">
        <f>AE91*IFERROR(VLOOKUP(A91,[1]Tørstofindhold!A$2:B$25,2,FALSE),0)</f>
        <v>0</v>
      </c>
      <c r="AI91">
        <f>K91*IFERROR(VLOOKUP(A91,[1]Tørstofindhold!A$2:B$25,2,FALSE),0)</f>
        <v>0</v>
      </c>
    </row>
    <row r="92" spans="1:35" hidden="1" x14ac:dyDescent="0.25">
      <c r="A92" s="171" t="str">
        <f t="shared" si="12"/>
        <v>Slagteriaffald til foder</v>
      </c>
      <c r="B92" s="171" t="str">
        <f t="shared" si="13"/>
        <v/>
      </c>
      <c r="C92" s="171" t="str">
        <f>IFERROR(VLOOKUP(A92,'Kategorisering af kcal'!$A$2:$B$18,2,FALSE),"")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5"/>
        <v>0</v>
      </c>
      <c r="F92" s="171">
        <f t="shared" si="14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79389.930010790398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31087.701331546235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8"/>
        <v>48302.228679244159</v>
      </c>
      <c r="P92" s="94">
        <f t="shared" si="19"/>
        <v>0</v>
      </c>
      <c r="Q92" s="180">
        <f t="shared" si="20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1"/>
        <v>0</v>
      </c>
      <c r="V92" s="169">
        <f>P92*IFERROR(VLOOKUP(A92,[1]Tørstofindhold!A$2:B$25,2,FALSE),0)</f>
        <v>0</v>
      </c>
      <c r="W92">
        <f>IF(F92=År1,Q92,SUM(P92,Q92))*IFERROR(VLOOKUP(A92,[1]Tørstofindhold!A$2:B$25,2,FALSE),0)</f>
        <v>0</v>
      </c>
      <c r="X92">
        <f>K92*IFERROR(VLOOKUP(A92,[1]Tørstofindhold!A$2:B$25,2,FALSE),0)</f>
        <v>0</v>
      </c>
      <c r="Y92" s="170">
        <f t="shared" si="22"/>
        <v>0</v>
      </c>
      <c r="Z92">
        <f t="shared" si="16"/>
        <v>0</v>
      </c>
      <c r="AA92">
        <f t="shared" si="17"/>
        <v>1</v>
      </c>
      <c r="AC92" s="94">
        <f t="shared" si="23"/>
        <v>48302.228679244159</v>
      </c>
      <c r="AD92">
        <f>AC92*E92*10000*VLOOKUP(A92,[1]kcal!$A$2:$C$49,3,FALSE)/1000000000000*IFERROR(VLOOKUP(A92,'Kategorisering af kcal'!$A$2:$E$18,MATCH('Produktion &amp; forbrug'!F92,'Kategorisering af kcal'!$A$1:$E$1,0),FALSE),0)</f>
        <v>0</v>
      </c>
      <c r="AE92">
        <f>IF(C92&lt;&gt;"",AC92*(1-IF(A92&lt;&gt;"Græs",VLOOKUP(A92,'Kategorisering af kcal'!$A$2:$E$18,MATCH('Produktion &amp; forbrug'!F92,'Kategorisering af kcal'!$A$1:$E$1,0),FALSE),HLOOKUP(F92,Græsprotein!$C$2:$E$8,7))),'Produktion &amp; forbrug'!AC92)</f>
        <v>48302.228679244159</v>
      </c>
      <c r="AF92" s="94">
        <f t="shared" si="24"/>
        <v>0</v>
      </c>
      <c r="AG92">
        <f>IF(AC92&lt;0,AD92,G92*E92*10000*VLOOKUP(A92,[1]kcal!$A$2:$C$49,3,FALSE)/1000000000000*IFERROR(VLOOKUP(A92,'Kategorisering af kcal'!$A$2:$E$18,MATCH('Produktion &amp; forbrug'!F92,'Kategorisering af kcal'!$A$1:$E$1,0),FALSE),0))</f>
        <v>0</v>
      </c>
      <c r="AH92">
        <f>AE92*IFERROR(VLOOKUP(A92,[1]Tørstofindhold!A$2:B$25,2,FALSE),0)</f>
        <v>0</v>
      </c>
      <c r="AI92">
        <f>K92*IFERROR(VLOOKUP(A92,[1]Tørstofindhold!A$2:B$25,2,FALSE),0)</f>
        <v>0</v>
      </c>
    </row>
    <row r="93" spans="1:35" hidden="1" x14ac:dyDescent="0.25">
      <c r="A93" s="171" t="str">
        <f t="shared" si="12"/>
        <v>Spildevandsslam</v>
      </c>
      <c r="B93" s="171" t="str">
        <f t="shared" si="13"/>
        <v>Bionedbrydeligt affald</v>
      </c>
      <c r="C93" s="171" t="str">
        <f>IFERROR(VLOOKUP(A93,'Kategorisering af kcal'!$A$2:$B$18,2,FALSE),"")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5"/>
        <v>0</v>
      </c>
      <c r="F93" s="171">
        <f t="shared" si="14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7236520.991487165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0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8"/>
        <v>7236520.991487165</v>
      </c>
      <c r="P93" s="94">
        <f t="shared" si="19"/>
        <v>7236520.991487165</v>
      </c>
      <c r="Q93" s="180">
        <f t="shared" si="20"/>
        <v>0</v>
      </c>
      <c r="R93">
        <f>IFERROR(VLOOKUP(A93,[1]Energiindhold!$A$2:$C$11,3,FALSE),IFERROR(VLOOKUP(A93,[1]Biogasudbytte!$A$2:$B$18,2,FALSE)*[1]Energiindhold!$C$10,0))*P93</f>
        <v>3.6110963399620108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3.6110963399620108</v>
      </c>
      <c r="T93">
        <f>IFERROR(VLOOKUP(A93,[1]Biogasudbytte!$A$2:$B$18,2,FALSE)*[1]Energiindhold!$C$10,0)*K93*IFERROR(VLOOKUP(A93,Biogasanlæg!$F$3:$G$8,2,FALSE),1)</f>
        <v>0</v>
      </c>
      <c r="U93" s="170">
        <f t="shared" si="21"/>
        <v>3.6110963399620108</v>
      </c>
      <c r="V93" s="169">
        <f>P93*IFERROR(VLOOKUP(A93,[1]Tørstofindhold!A$2:B$25,2,FALSE),0)</f>
        <v>434191.25948922988</v>
      </c>
      <c r="W93">
        <f>IF(F93=År1,Q93,SUM(P93,Q93))*IFERROR(VLOOKUP(A93,[1]Tørstofindhold!A$2:B$25,2,FALSE),0)</f>
        <v>434191.25948922988</v>
      </c>
      <c r="X93">
        <f>K93*IFERROR(VLOOKUP(A93,[1]Tørstofindhold!A$2:B$25,2,FALSE),0)</f>
        <v>0</v>
      </c>
      <c r="Y93" s="170">
        <f t="shared" si="22"/>
        <v>434191.25948922988</v>
      </c>
      <c r="Z93">
        <f t="shared" si="16"/>
        <v>0</v>
      </c>
      <c r="AA93">
        <f t="shared" si="17"/>
        <v>1</v>
      </c>
      <c r="AC93" s="94">
        <f t="shared" si="23"/>
        <v>7236520.991487165</v>
      </c>
      <c r="AD93">
        <f>AC93*E93*10000*VLOOKUP(A93,[1]kcal!$A$2:$C$49,3,FALSE)/1000000000000*IFERROR(VLOOKUP(A93,'Kategorisering af kcal'!$A$2:$E$18,MATCH('Produktion &amp; forbrug'!F93,'Kategorisering af kcal'!$A$1:$E$1,0),FALSE),0)</f>
        <v>0</v>
      </c>
      <c r="AE93">
        <f>IF(C93&lt;&gt;"",AC93*(1-IF(A93&lt;&gt;"Græs",VLOOKUP(A93,'Kategorisering af kcal'!$A$2:$E$18,MATCH('Produktion &amp; forbrug'!F93,'Kategorisering af kcal'!$A$1:$E$1,0),FALSE),HLOOKUP(F93,Græsprotein!$C$2:$E$8,7))),'Produktion &amp; forbrug'!AC93)</f>
        <v>7236520.991487165</v>
      </c>
      <c r="AF93" s="94">
        <f t="shared" si="24"/>
        <v>0</v>
      </c>
      <c r="AG93">
        <f>IF(AC93&lt;0,AD93,G93*E93*10000*VLOOKUP(A93,[1]kcal!$A$2:$C$49,3,FALSE)/1000000000000*IFERROR(VLOOKUP(A93,'Kategorisering af kcal'!$A$2:$E$18,MATCH('Produktion &amp; forbrug'!F93,'Kategorisering af kcal'!$A$1:$E$1,0),FALSE),0))</f>
        <v>0</v>
      </c>
      <c r="AH93">
        <f>AE93*IFERROR(VLOOKUP(A93,[1]Tørstofindhold!A$2:B$25,2,FALSE),0)</f>
        <v>434191.25948922988</v>
      </c>
      <c r="AI93">
        <f>K93*IFERROR(VLOOKUP(A93,[1]Tørstofindhold!A$2:B$25,2,FALSE),0)</f>
        <v>0</v>
      </c>
    </row>
    <row r="94" spans="1:35" hidden="1" x14ac:dyDescent="0.25">
      <c r="A94" s="171" t="str">
        <f t="shared" si="12"/>
        <v>Svinegylle</v>
      </c>
      <c r="B94" s="171" t="str">
        <f t="shared" si="13"/>
        <v>Husdyrgødning</v>
      </c>
      <c r="C94" s="171" t="str">
        <f>IFERROR(VLOOKUP(A94,'Kategorisering af kcal'!$A$2:$B$18,2,FALSE),"")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5"/>
        <v>0</v>
      </c>
      <c r="F94" s="171">
        <f t="shared" si="14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7753646.2018730491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0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1938411.5504682623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8"/>
        <v>5815234.6514047869</v>
      </c>
      <c r="P94" s="94">
        <f t="shared" si="19"/>
        <v>5815234.6514047869</v>
      </c>
      <c r="Q94" s="180">
        <f t="shared" si="20"/>
        <v>0</v>
      </c>
      <c r="R94">
        <f>IFERROR(VLOOKUP(A94,[1]Energiindhold!$A$2:$C$11,3,FALSE),IFERROR(VLOOKUP(A94,[1]Biogasudbytte!$A$2:$B$18,2,FALSE)*[1]Energiindhold!$C$10,0))*P94</f>
        <v>2.5052030878251825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2.5052030878251825</v>
      </c>
      <c r="T94">
        <f>IFERROR(VLOOKUP(A94,[1]Biogasudbytte!$A$2:$B$18,2,FALSE)*[1]Energiindhold!$C$10,0)*K94*IFERROR(VLOOKUP(A94,Biogasanlæg!$F$3:$G$8,2,FALSE),1)</f>
        <v>0</v>
      </c>
      <c r="U94" s="170">
        <f t="shared" si="21"/>
        <v>2.5052030878251825</v>
      </c>
      <c r="V94" s="169">
        <f>P94*IFERROR(VLOOKUP(A94,[1]Tørstofindhold!A$2:B$25,2,FALSE),0)</f>
        <v>290761.73257023934</v>
      </c>
      <c r="W94">
        <f>IF(F94=År1,Q94,SUM(P94,Q94))*IFERROR(VLOOKUP(A94,[1]Tørstofindhold!A$2:B$25,2,FALSE),0)</f>
        <v>290761.73257023934</v>
      </c>
      <c r="X94">
        <f>K94*IFERROR(VLOOKUP(A94,[1]Tørstofindhold!A$2:B$25,2,FALSE),0)</f>
        <v>0</v>
      </c>
      <c r="Y94" s="170">
        <f t="shared" si="22"/>
        <v>290761.73257023934</v>
      </c>
      <c r="Z94">
        <f t="shared" si="16"/>
        <v>0</v>
      </c>
      <c r="AA94">
        <f t="shared" si="17"/>
        <v>1</v>
      </c>
      <c r="AC94" s="94">
        <f t="shared" si="23"/>
        <v>7753646.2018730491</v>
      </c>
      <c r="AD94">
        <f>AC94*E94*10000*VLOOKUP(A94,[1]kcal!$A$2:$C$49,3,FALSE)/1000000000000*IFERROR(VLOOKUP(A94,'Kategorisering af kcal'!$A$2:$E$18,MATCH('Produktion &amp; forbrug'!F94,'Kategorisering af kcal'!$A$1:$E$1,0),FALSE),0)</f>
        <v>0</v>
      </c>
      <c r="AE94">
        <f>IF(C94&lt;&gt;"",AC94*(1-IF(A94&lt;&gt;"Græs",VLOOKUP(A94,'Kategorisering af kcal'!$A$2:$E$18,MATCH('Produktion &amp; forbrug'!F94,'Kategorisering af kcal'!$A$1:$E$1,0),FALSE),HLOOKUP(F94,Græsprotein!$C$2:$E$8,7))),'Produktion &amp; forbrug'!AC94)</f>
        <v>7753646.2018730491</v>
      </c>
      <c r="AF94" s="94">
        <f t="shared" si="24"/>
        <v>0</v>
      </c>
      <c r="AG94">
        <f>IF(AC94&lt;0,AD94,G94*E94*10000*VLOOKUP(A94,[1]kcal!$A$2:$C$49,3,FALSE)/1000000000000*IFERROR(VLOOKUP(A94,'Kategorisering af kcal'!$A$2:$E$18,MATCH('Produktion &amp; forbrug'!F94,'Kategorisering af kcal'!$A$1:$E$1,0),FALSE),0))</f>
        <v>0</v>
      </c>
      <c r="AH94">
        <f>AE94*IFERROR(VLOOKUP(A94,[1]Tørstofindhold!A$2:B$25,2,FALSE),0)</f>
        <v>387682.31009365246</v>
      </c>
      <c r="AI94">
        <f>K94*IFERROR(VLOOKUP(A94,[1]Tørstofindhold!A$2:B$25,2,FALSE),0)</f>
        <v>0</v>
      </c>
    </row>
    <row r="95" spans="1:35" hidden="1" x14ac:dyDescent="0.25">
      <c r="A95" s="171" t="str">
        <f t="shared" si="12"/>
        <v>Svinekød</v>
      </c>
      <c r="B95" s="171" t="str">
        <f t="shared" si="13"/>
        <v/>
      </c>
      <c r="C95" s="171" t="str">
        <f>IFERROR(VLOOKUP(A95,'Kategorisering af kcal'!$A$2:$B$18,2,FALSE),"")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5"/>
        <v>1</v>
      </c>
      <c r="F95" s="171">
        <f t="shared" si="14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838511.19375041663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0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8"/>
        <v>838511.19375041663</v>
      </c>
      <c r="P95" s="94">
        <f t="shared" si="19"/>
        <v>0</v>
      </c>
      <c r="Q95" s="180">
        <f t="shared" si="20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1"/>
        <v>0</v>
      </c>
      <c r="V95" s="169">
        <f>P95*IFERROR(VLOOKUP(A95,[1]Tørstofindhold!A$2:B$25,2,FALSE),0)</f>
        <v>0</v>
      </c>
      <c r="W95">
        <f>IF(F95=År1,Q95,SUM(P95,Q95))*IFERROR(VLOOKUP(A95,[1]Tørstofindhold!A$2:B$25,2,FALSE),0)</f>
        <v>0</v>
      </c>
      <c r="X95">
        <f>K95*IFERROR(VLOOKUP(A95,[1]Tørstofindhold!A$2:B$25,2,FALSE),0)</f>
        <v>0</v>
      </c>
      <c r="Y95" s="170">
        <f t="shared" si="22"/>
        <v>0</v>
      </c>
      <c r="Z95">
        <f t="shared" si="16"/>
        <v>0</v>
      </c>
      <c r="AA95">
        <f t="shared" si="17"/>
        <v>1</v>
      </c>
      <c r="AC95" s="94">
        <f t="shared" si="23"/>
        <v>838511.19375041663</v>
      </c>
      <c r="AD95">
        <f>AC95*E95*10000*VLOOKUP(A95,[1]kcal!$A$2:$C$49,3,FALSE)/1000000000000*IFERROR(VLOOKUP(A95,'Kategorisering af kcal'!$A$2:$E$18,MATCH('Produktion &amp; forbrug'!F95,'Kategorisering af kcal'!$A$1:$E$1,0),FALSE),0)</f>
        <v>1.6350968278133124</v>
      </c>
      <c r="AE95">
        <f>IF(C95&lt;&gt;"",AC95*(1-IF(A95&lt;&gt;"Græs",VLOOKUP(A95,'Kategorisering af kcal'!$A$2:$E$18,MATCH('Produktion &amp; forbrug'!F95,'Kategorisering af kcal'!$A$1:$E$1,0),FALSE),HLOOKUP(F95,Græsprotein!$C$2:$E$8,7))),'Produktion &amp; forbrug'!AC95)</f>
        <v>0</v>
      </c>
      <c r="AF95" s="94">
        <f t="shared" si="24"/>
        <v>838511.19375041663</v>
      </c>
      <c r="AG95">
        <f>IF(AC95&lt;0,AD95,G95*E95*10000*VLOOKUP(A95,[1]kcal!$A$2:$C$49,3,FALSE)/1000000000000*IFERROR(VLOOKUP(A95,'Kategorisering af kcal'!$A$2:$E$18,MATCH('Produktion &amp; forbrug'!F95,'Kategorisering af kcal'!$A$1:$E$1,0),FALSE),0))</f>
        <v>1.6350968278133124</v>
      </c>
      <c r="AH95">
        <f>AE95*IFERROR(VLOOKUP(A95,[1]Tørstofindhold!A$2:B$25,2,FALSE),0)</f>
        <v>0</v>
      </c>
      <c r="AI95">
        <f>K95*IFERROR(VLOOKUP(A95,[1]Tørstofindhold!A$2:B$25,2,FALSE),0)</f>
        <v>0</v>
      </c>
    </row>
    <row r="96" spans="1:35" hidden="1" x14ac:dyDescent="0.25">
      <c r="A96" s="171" t="str">
        <f t="shared" si="12"/>
        <v>Tang</v>
      </c>
      <c r="B96" s="171" t="str">
        <f t="shared" si="13"/>
        <v>Havbiomasse</v>
      </c>
      <c r="C96" s="171" t="str">
        <f>IFERROR(VLOOKUP(A96,'Kategorisering af kcal'!$A$2:$B$18,2,FALSE),"")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5"/>
        <v>1</v>
      </c>
      <c r="F96" s="171">
        <f t="shared" si="14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76.5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8"/>
        <v>76.5</v>
      </c>
      <c r="P96" s="94">
        <f t="shared" si="19"/>
        <v>76.5</v>
      </c>
      <c r="Q96" s="180">
        <f t="shared" si="20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1"/>
        <v>6.8658750000000004E-5</v>
      </c>
      <c r="V96" s="169">
        <f>P96*IFERROR(VLOOKUP(A96,[1]Tørstofindhold!A$2:B$25,2,FALSE),0)</f>
        <v>11.475</v>
      </c>
      <c r="W96">
        <f>IF(F96=År1,Q96,SUM(P96,Q96))*IFERROR(VLOOKUP(A96,[1]Tørstofindhold!A$2:B$25,2,FALSE),0)</f>
        <v>11.475</v>
      </c>
      <c r="X96">
        <f>K96*IFERROR(VLOOKUP(A96,[1]Tørstofindhold!A$2:B$25,2,FALSE),0)</f>
        <v>0</v>
      </c>
      <c r="Y96" s="170">
        <f t="shared" si="22"/>
        <v>11.475</v>
      </c>
      <c r="Z96">
        <f t="shared" si="16"/>
        <v>0</v>
      </c>
      <c r="AA96">
        <f t="shared" si="17"/>
        <v>1</v>
      </c>
      <c r="AC96" s="94">
        <f t="shared" si="23"/>
        <v>76.5</v>
      </c>
      <c r="AD96">
        <f>AC96*E96*10000*VLOOKUP(A96,[1]kcal!$A$2:$C$49,3,FALSE)/1000000000000*IFERROR(VLOOKUP(A96,'Kategorisering af kcal'!$A$2:$E$18,MATCH('Produktion &amp; forbrug'!F96,'Kategorisering af kcal'!$A$1:$E$1,0),FALSE),0)</f>
        <v>3.1211999999999999E-5</v>
      </c>
      <c r="AE96">
        <f>IF(C96&lt;&gt;"",AC96*(1-IF(A96&lt;&gt;"Græs",VLOOKUP(A96,'Kategorisering af kcal'!$A$2:$E$18,MATCH('Produktion &amp; forbrug'!F96,'Kategorisering af kcal'!$A$1:$E$1,0),FALSE),HLOOKUP(F96,Græsprotein!$C$2:$E$8,7))),'Produktion &amp; forbrug'!AC96)</f>
        <v>0</v>
      </c>
      <c r="AF96" s="94">
        <f t="shared" si="24"/>
        <v>76.5</v>
      </c>
      <c r="AG96">
        <f>IF(AC96&lt;0,AD96,G96*E96*10000*VLOOKUP(A96,[1]kcal!$A$2:$C$49,3,FALSE)/1000000000000*IFERROR(VLOOKUP(A96,'Kategorisering af kcal'!$A$2:$E$18,MATCH('Produktion &amp; forbrug'!F96,'Kategorisering af kcal'!$A$1:$E$1,0),FALSE),0))</f>
        <v>3.1211999999999999E-5</v>
      </c>
      <c r="AH96">
        <f>AE96*IFERROR(VLOOKUP(A96,[1]Tørstofindhold!A$2:B$25,2,FALSE),0)</f>
        <v>0</v>
      </c>
      <c r="AI96">
        <f>K96*IFERROR(VLOOKUP(A96,[1]Tørstofindhold!A$2:B$25,2,FALSE),0)</f>
        <v>0</v>
      </c>
    </row>
    <row r="97" spans="1:35" hidden="1" x14ac:dyDescent="0.25">
      <c r="A97" s="171" t="str">
        <f t="shared" si="12"/>
        <v>Total til biogas</v>
      </c>
      <c r="B97" s="171" t="str">
        <f t="shared" si="13"/>
        <v/>
      </c>
      <c r="C97" s="171" t="str">
        <f>IFERROR(VLOOKUP(A97,'Kategorisering af kcal'!$A$2:$B$18,2,FALSE),"")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5"/>
        <v>0</v>
      </c>
      <c r="F97" s="171">
        <f t="shared" si="14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8"/>
        <v>0</v>
      </c>
      <c r="P97" s="94">
        <f t="shared" si="19"/>
        <v>0</v>
      </c>
      <c r="Q97" s="180">
        <f t="shared" si="20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1"/>
        <v>0</v>
      </c>
      <c r="V97" s="169">
        <f>P97*IFERROR(VLOOKUP(A97,[1]Tørstofindhold!A$2:B$25,2,FALSE),0)</f>
        <v>0</v>
      </c>
      <c r="W97">
        <f>IF(F97=År1,Q97,SUM(P97,Q97))*IFERROR(VLOOKUP(A97,[1]Tørstofindhold!A$2:B$25,2,FALSE),0)</f>
        <v>0</v>
      </c>
      <c r="X97">
        <f>K97*IFERROR(VLOOKUP(A97,[1]Tørstofindhold!A$2:B$25,2,FALSE),0)</f>
        <v>0</v>
      </c>
      <c r="Y97" s="170">
        <f t="shared" si="22"/>
        <v>0</v>
      </c>
      <c r="Z97">
        <f t="shared" si="16"/>
        <v>0</v>
      </c>
      <c r="AA97">
        <f t="shared" si="17"/>
        <v>0</v>
      </c>
      <c r="AC97" s="94">
        <f t="shared" si="23"/>
        <v>0</v>
      </c>
      <c r="AD97">
        <f>AC97*E97*10000*VLOOKUP(A97,[1]kcal!$A$2:$C$49,3,FALSE)/1000000000000*IFERROR(VLOOKUP(A97,'Kategorisering af kcal'!$A$2:$E$18,MATCH('Produktion &amp; forbrug'!F97,'Kategorisering af kcal'!$A$1:$E$1,0),FALSE),0)</f>
        <v>0</v>
      </c>
      <c r="AE97">
        <f>IF(C97&lt;&gt;"",AC97*(1-IF(A97&lt;&gt;"Græs",VLOOKUP(A97,'Kategorisering af kcal'!$A$2:$E$18,MATCH('Produktion &amp; forbrug'!F97,'Kategorisering af kcal'!$A$1:$E$1,0),FALSE),HLOOKUP(F97,Græsprotein!$C$2:$E$8,7))),'Produktion &amp; forbrug'!AC97)</f>
        <v>0</v>
      </c>
      <c r="AF97" s="94">
        <f t="shared" si="24"/>
        <v>0</v>
      </c>
      <c r="AG97">
        <f>IF(AC97&lt;0,AD97,G97*E97*10000*VLOOKUP(A97,[1]kcal!$A$2:$C$49,3,FALSE)/1000000000000*IFERROR(VLOOKUP(A97,'Kategorisering af kcal'!$A$2:$E$18,MATCH('Produktion &amp; forbrug'!F97,'Kategorisering af kcal'!$A$1:$E$1,0),FALSE),0))</f>
        <v>0</v>
      </c>
      <c r="AH97">
        <f>AE97*IFERROR(VLOOKUP(A97,[1]Tørstofindhold!A$2:B$25,2,FALSE),0)</f>
        <v>0</v>
      </c>
      <c r="AI97">
        <f>K97*IFERROR(VLOOKUP(A97,[1]Tørstofindhold!A$2:B$25,2,FALSE),0)</f>
        <v>0</v>
      </c>
    </row>
    <row r="98" spans="1:35" hidden="1" x14ac:dyDescent="0.25">
      <c r="A98" s="171" t="str">
        <f t="shared" si="12"/>
        <v>Træ til energi</v>
      </c>
      <c r="B98" s="171" t="str">
        <f t="shared" si="13"/>
        <v>Vedmasse</v>
      </c>
      <c r="C98" s="171" t="str">
        <f>IFERROR(VLOOKUP(A98,'Kategorisering af kcal'!$A$2:$B$18,2,FALSE),"")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5"/>
        <v>0</v>
      </c>
      <c r="F98" s="171">
        <f t="shared" si="14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2862895.9283603532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2862895.9283603532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8"/>
        <v>0</v>
      </c>
      <c r="P98" s="94">
        <f t="shared" ca="1" si="19"/>
        <v>0</v>
      </c>
      <c r="Q98" s="180">
        <f t="shared" ca="1" si="20"/>
        <v>2862895.9283603532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41.493579393439902</v>
      </c>
      <c r="T98">
        <f>IFERROR(VLOOKUP(A98,[1]Biogasudbytte!$A$2:$B$18,2,FALSE)*[1]Energiindhold!$C$10,0)*K98*IFERROR(VLOOKUP(A98,Biogasanlæg!$F$3:$G$8,2,FALSE),1)</f>
        <v>0</v>
      </c>
      <c r="U98" s="170">
        <f t="shared" ca="1" si="21"/>
        <v>41.493579393439902</v>
      </c>
      <c r="V98" s="169">
        <f ca="1">P98*IFERROR(VLOOKUP(A98,[1]Tørstofindhold!A$2:B$25,2,FALSE),0)</f>
        <v>0</v>
      </c>
      <c r="W98">
        <f ca="1">IF(F98=År1,Q98,SUM(P98,Q98))*IFERROR(VLOOKUP(A98,[1]Tørstofindhold!A$2:B$25,2,FALSE),0)</f>
        <v>1415940.6112348912</v>
      </c>
      <c r="X98">
        <f>K98*IFERROR(VLOOKUP(A98,[1]Tørstofindhold!A$2:B$25,2,FALSE),0)</f>
        <v>0</v>
      </c>
      <c r="Y98" s="170">
        <f t="shared" ca="1" si="22"/>
        <v>1415940.6112348912</v>
      </c>
      <c r="Z98">
        <f t="shared" ca="1" si="16"/>
        <v>0</v>
      </c>
      <c r="AA98">
        <f t="shared" ca="1" si="17"/>
        <v>0</v>
      </c>
      <c r="AC98" s="94">
        <f t="shared" ca="1" si="23"/>
        <v>2862895.9283603532</v>
      </c>
      <c r="AD98">
        <f ca="1">AC98*E98*10000*VLOOKUP(A98,[1]kcal!$A$2:$C$49,3,FALSE)/1000000000000*IFERROR(VLOOKUP(A98,'Kategorisering af kcal'!$A$2:$E$18,MATCH('Produktion &amp; forbrug'!F98,'Kategorisering af kcal'!$A$1:$E$1,0),FALSE),0)</f>
        <v>0</v>
      </c>
      <c r="AE98">
        <f ca="1">IF(C98&lt;&gt;"",AC98*(1-IF(A98&lt;&gt;"Græs",VLOOKUP(A98,'Kategorisering af kcal'!$A$2:$E$18,MATCH('Produktion &amp; forbrug'!F98,'Kategorisering af kcal'!$A$1:$E$1,0),FALSE),HLOOKUP(F98,Græsprotein!$C$2:$E$8,7))),'Produktion &amp; forbrug'!AC98)</f>
        <v>2862895.9283603532</v>
      </c>
      <c r="AF98" s="94">
        <f t="shared" ca="1" si="24"/>
        <v>0</v>
      </c>
      <c r="AG98">
        <f ca="1">IF(AC98&lt;0,AD98,G98*E98*10000*VLOOKUP(A98,[1]kcal!$A$2:$C$49,3,FALSE)/1000000000000*IFERROR(VLOOKUP(A98,'Kategorisering af kcal'!$A$2:$E$18,MATCH('Produktion &amp; forbrug'!F98,'Kategorisering af kcal'!$A$1:$E$1,0),FALSE),0))</f>
        <v>0</v>
      </c>
      <c r="AH98">
        <f ca="1">AE98*IFERROR(VLOOKUP(A98,[1]Tørstofindhold!A$2:B$25,2,FALSE),0)</f>
        <v>1415940.6112348912</v>
      </c>
      <c r="AI98">
        <f>K98*IFERROR(VLOOKUP(A98,[1]Tørstofindhold!A$2:B$25,2,FALSE),0)</f>
        <v>0</v>
      </c>
    </row>
    <row r="99" spans="1:35" hidden="1" x14ac:dyDescent="0.25">
      <c r="A99" s="171" t="str">
        <f t="shared" si="12"/>
        <v>Træmaterialer</v>
      </c>
      <c r="B99" s="171" t="str">
        <f t="shared" si="13"/>
        <v/>
      </c>
      <c r="C99" s="171" t="str">
        <f>IFERROR(VLOOKUP(A99,'Kategorisering af kcal'!$A$2:$B$18,2,FALSE),"")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5"/>
        <v>0</v>
      </c>
      <c r="F99" s="171">
        <f t="shared" si="14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792089.97208410688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792089.97208410688</v>
      </c>
      <c r="O99" s="179">
        <f t="shared" ca="1" si="18"/>
        <v>0</v>
      </c>
      <c r="P99" s="94">
        <f t="shared" si="19"/>
        <v>0</v>
      </c>
      <c r="Q99" s="180">
        <f t="shared" si="20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1"/>
        <v>0</v>
      </c>
      <c r="V99" s="169">
        <f>P99*IFERROR(VLOOKUP(A99,[1]Tørstofindhold!A$2:B$25,2,FALSE),0)</f>
        <v>0</v>
      </c>
      <c r="W99">
        <f>IF(F99=År1,Q99,SUM(P99,Q99))*IFERROR(VLOOKUP(A99,[1]Tørstofindhold!A$2:B$25,2,FALSE),0)</f>
        <v>0</v>
      </c>
      <c r="X99">
        <f>K99*IFERROR(VLOOKUP(A99,[1]Tørstofindhold!A$2:B$25,2,FALSE),0)</f>
        <v>0</v>
      </c>
      <c r="Y99" s="170">
        <f t="shared" si="22"/>
        <v>0</v>
      </c>
      <c r="Z99">
        <f t="shared" ca="1" si="16"/>
        <v>0</v>
      </c>
      <c r="AA99">
        <f t="shared" ca="1" si="17"/>
        <v>0</v>
      </c>
      <c r="AC99" s="94">
        <f t="shared" ca="1" si="23"/>
        <v>0</v>
      </c>
      <c r="AD99">
        <f ca="1">AC99*E99*10000*VLOOKUP(A99,[1]kcal!$A$2:$C$49,3,FALSE)/1000000000000*IFERROR(VLOOKUP(A99,'Kategorisering af kcal'!$A$2:$E$18,MATCH('Produktion &amp; forbrug'!F99,'Kategorisering af kcal'!$A$1:$E$1,0),FALSE),0)</f>
        <v>0</v>
      </c>
      <c r="AE99">
        <f ca="1">IF(C99&lt;&gt;"",AC99*(1-IF(A99&lt;&gt;"Græs",VLOOKUP(A99,'Kategorisering af kcal'!$A$2:$E$18,MATCH('Produktion &amp; forbrug'!F99,'Kategorisering af kcal'!$A$1:$E$1,0),FALSE),HLOOKUP(F99,Græsprotein!$C$2:$E$8,7))),'Produktion &amp; forbrug'!AC99)</f>
        <v>0</v>
      </c>
      <c r="AF99" s="94">
        <f t="shared" ca="1" si="24"/>
        <v>0</v>
      </c>
      <c r="AG99">
        <f ca="1">IF(AC99&lt;0,AD99,G99*E99*10000*VLOOKUP(A99,[1]kcal!$A$2:$C$49,3,FALSE)/1000000000000*IFERROR(VLOOKUP(A99,'Kategorisering af kcal'!$A$2:$E$18,MATCH('Produktion &amp; forbrug'!F99,'Kategorisering af kcal'!$A$1:$E$1,0),FALSE),0))</f>
        <v>0</v>
      </c>
      <c r="AH99">
        <f ca="1">AE99*IFERROR(VLOOKUP(A99,[1]Tørstofindhold!A$2:B$25,2,FALSE),0)</f>
        <v>0</v>
      </c>
      <c r="AI99">
        <f>K99*IFERROR(VLOOKUP(A99,[1]Tørstofindhold!A$2:B$25,2,FALSE),0)</f>
        <v>0</v>
      </c>
    </row>
    <row r="100" spans="1:35" hidden="1" x14ac:dyDescent="0.25">
      <c r="A100" s="171" t="str">
        <f t="shared" si="12"/>
        <v>Æg</v>
      </c>
      <c r="B100" s="171" t="str">
        <f t="shared" si="13"/>
        <v/>
      </c>
      <c r="C100" s="171" t="str">
        <f>IFERROR(VLOOKUP(A100,'Kategorisering af kcal'!$A$2:$B$18,2,FALSE),"")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5"/>
        <v>1</v>
      </c>
      <c r="F100" s="171">
        <f t="shared" ref="F100:F147" si="25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42217.628788690155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0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8"/>
        <v>42217.628788690155</v>
      </c>
      <c r="P100" s="94">
        <f t="shared" si="19"/>
        <v>0</v>
      </c>
      <c r="Q100" s="180">
        <f t="shared" si="20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1"/>
        <v>0</v>
      </c>
      <c r="V100" s="169">
        <f>P100*IFERROR(VLOOKUP(A100,[1]Tørstofindhold!A$2:B$25,2,FALSE),0)</f>
        <v>0</v>
      </c>
      <c r="W100">
        <f>IF(F100=År1,Q100,SUM(P100,Q100))*IFERROR(VLOOKUP(A100,[1]Tørstofindhold!A$2:B$25,2,FALSE),0)</f>
        <v>0</v>
      </c>
      <c r="X100">
        <f>K100*IFERROR(VLOOKUP(A100,[1]Tørstofindhold!A$2:B$25,2,FALSE),0)</f>
        <v>0</v>
      </c>
      <c r="Y100" s="170">
        <f t="shared" si="22"/>
        <v>0</v>
      </c>
      <c r="Z100">
        <f t="shared" ref="Z100:Z131" si="26">IF(SUMIFS($O$4:$O$147,$A$4:$A$147,A100,$F$4:$F$147,F100)&lt;0,1,0)</f>
        <v>0</v>
      </c>
      <c r="AA100">
        <f t="shared" ref="AA100:AA131" si="27">IF(SUMIFS($O$4:$O$147,$A$4:$A$147,A100,$F$4:$F$147,F100)&gt;0,1,0)</f>
        <v>1</v>
      </c>
      <c r="AC100" s="94">
        <f t="shared" si="23"/>
        <v>42217.628788690155</v>
      </c>
      <c r="AD100">
        <f>AC100*E100*10000*VLOOKUP(A100,[1]kcal!$A$2:$C$49,3,FALSE)/1000000000000*IFERROR(VLOOKUP(A100,'Kategorisering af kcal'!$A$2:$E$18,MATCH('Produktion &amp; forbrug'!F100,'Kategorisering af kcal'!$A$1:$E$1,0),FALSE),0)</f>
        <v>5.8260327728392416E-2</v>
      </c>
      <c r="AE100">
        <f>IF(C100&lt;&gt;"",AC100*(1-IF(A100&lt;&gt;"Græs",VLOOKUP(A100,'Kategorisering af kcal'!$A$2:$E$18,MATCH('Produktion &amp; forbrug'!F100,'Kategorisering af kcal'!$A$1:$E$1,0),FALSE),HLOOKUP(F100,Græsprotein!$C$2:$E$8,7))),'Produktion &amp; forbrug'!AC100)</f>
        <v>0</v>
      </c>
      <c r="AF100" s="94">
        <f t="shared" si="24"/>
        <v>42217.628788690155</v>
      </c>
      <c r="AG100">
        <f>IF(AC100&lt;0,AD100,G100*E100*10000*VLOOKUP(A100,[1]kcal!$A$2:$C$49,3,FALSE)/1000000000000*IFERROR(VLOOKUP(A100,'Kategorisering af kcal'!$A$2:$E$18,MATCH('Produktion &amp; forbrug'!F100,'Kategorisering af kcal'!$A$1:$E$1,0),FALSE),0))</f>
        <v>5.8260327728392416E-2</v>
      </c>
      <c r="AH100">
        <f>AE100*IFERROR(VLOOKUP(A100,[1]Tørstofindhold!A$2:B$25,2,FALSE),0)</f>
        <v>0</v>
      </c>
      <c r="AI100">
        <f>K100*IFERROR(VLOOKUP(A100,[1]Tørstofindhold!A$2:B$25,2,FALSE),0)</f>
        <v>0</v>
      </c>
    </row>
    <row r="101" spans="1:35" hidden="1" x14ac:dyDescent="0.25">
      <c r="A101" s="171" t="str">
        <f t="shared" si="12"/>
        <v>Bælgsæd</v>
      </c>
      <c r="B101" s="171" t="str">
        <f t="shared" si="13"/>
        <v/>
      </c>
      <c r="C101" s="171" t="str">
        <f>IFERROR(VLOOKUP(A101,'Kategorisering af kcal'!$A$2:$B$18,2,FALSE),"")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5"/>
        <v>1</v>
      </c>
      <c r="F101" s="171">
        <f t="shared" si="25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944508.27569419378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6127.8304883672272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8"/>
        <v>938380.44520582655</v>
      </c>
      <c r="P101" s="94">
        <f t="shared" si="19"/>
        <v>0</v>
      </c>
      <c r="Q101" s="180">
        <f t="shared" si="20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1"/>
        <v>0</v>
      </c>
      <c r="V101" s="169">
        <f>P101*IFERROR(VLOOKUP(A101,[1]Tørstofindhold!A$2:B$25,2,FALSE),0)</f>
        <v>0</v>
      </c>
      <c r="W101">
        <f>IF(F101=År1,Q101,SUM(P101,Q101))*IFERROR(VLOOKUP(A101,[1]Tørstofindhold!A$2:B$25,2,FALSE),0)</f>
        <v>0</v>
      </c>
      <c r="X101">
        <f>K101*IFERROR(VLOOKUP(A101,[1]Tørstofindhold!A$2:B$25,2,FALSE),0)</f>
        <v>0</v>
      </c>
      <c r="Y101" s="170">
        <f t="shared" si="22"/>
        <v>0</v>
      </c>
      <c r="Z101">
        <f t="shared" si="26"/>
        <v>0</v>
      </c>
      <c r="AA101">
        <f t="shared" si="27"/>
        <v>1</v>
      </c>
      <c r="AC101" s="94">
        <f t="shared" si="23"/>
        <v>938380.44520582655</v>
      </c>
      <c r="AD101">
        <f>AC101*E101*10000*VLOOKUP(A101,[1]kcal!$A$2:$C$49,3,FALSE)/1000000000000*IFERROR(VLOOKUP(A101,'Kategorisering af kcal'!$A$2:$E$18,MATCH('Produktion &amp; forbrug'!F101,'Kategorisering af kcal'!$A$1:$E$1,0),FALSE),0)</f>
        <v>6.5170521919544662</v>
      </c>
      <c r="AE101">
        <f>IF(C101&lt;&gt;"",AC101*(1-IF(A101&lt;&gt;"Græs",VLOOKUP(A101,'Kategorisering af kcal'!$A$2:$E$18,MATCH('Produktion &amp; forbrug'!F101,'Kategorisering af kcal'!$A$1:$E$1,0),FALSE),HLOOKUP(F101,Græsprotein!$C$2:$E$8,7))),'Produktion &amp; forbrug'!AC101)</f>
        <v>0</v>
      </c>
      <c r="AF101" s="94">
        <f t="shared" si="24"/>
        <v>938380.44520582655</v>
      </c>
      <c r="AG101">
        <f>IF(AC101&lt;0,AD101,G101*E101*10000*VLOOKUP(A101,[1]kcal!$A$2:$C$49,3,FALSE)/1000000000000*IFERROR(VLOOKUP(A101,'Kategorisering af kcal'!$A$2:$E$18,MATCH('Produktion &amp; forbrug'!F101,'Kategorisering af kcal'!$A$1:$E$1,0),FALSE),0))</f>
        <v>6.5596099746961753</v>
      </c>
      <c r="AH101">
        <f>AE101*IFERROR(VLOOKUP(A101,[1]Tørstofindhold!A$2:B$25,2,FALSE),0)</f>
        <v>0</v>
      </c>
      <c r="AI101">
        <f>K101*IFERROR(VLOOKUP(A101,[1]Tørstofindhold!A$2:B$25,2,FALSE),0)</f>
        <v>0</v>
      </c>
    </row>
    <row r="102" spans="1:35" hidden="1" x14ac:dyDescent="0.25">
      <c r="A102" s="171" t="str">
        <f t="shared" si="12"/>
        <v>Bioaffald</v>
      </c>
      <c r="B102" s="171" t="str">
        <f t="shared" si="13"/>
        <v>Bionedbrydeligt affald</v>
      </c>
      <c r="C102" s="171" t="str">
        <f>IFERROR(VLOOKUP(A102,'Kategorisering af kcal'!$A$2:$B$18,2,FALSE),"")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5"/>
        <v>0</v>
      </c>
      <c r="F102" s="171">
        <f t="shared" si="25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8"/>
        <v>0</v>
      </c>
      <c r="P102" s="94">
        <f t="shared" ca="1" si="19"/>
        <v>0</v>
      </c>
      <c r="Q102" s="180">
        <f t="shared" ca="1" si="20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>IFERROR(VLOOKUP(A102,[1]Biogasudbytte!$A$2:$B$18,2,FALSE)*[1]Energiindhold!$C$10,0)*K102*IFERROR(VLOOKUP(A102,Biogasanlæg!$F$3:$G$8,2,FALSE),1)</f>
        <v>0</v>
      </c>
      <c r="U102" s="170">
        <f t="shared" ca="1" si="21"/>
        <v>6.6013372467689999</v>
      </c>
      <c r="V102" s="169">
        <f ca="1">P102*IFERROR(VLOOKUP(A102,[1]Tørstofindhold!A$2:B$25,2,FALSE),0)</f>
        <v>0</v>
      </c>
      <c r="W102">
        <f ca="1">IF(F102=År1,Q102,SUM(P102,Q102))*IFERROR(VLOOKUP(A102,[1]Tørstofindhold!A$2:B$25,2,FALSE),0)</f>
        <v>103537.50823068788</v>
      </c>
      <c r="X102">
        <f>K102*IFERROR(VLOOKUP(A102,[1]Tørstofindhold!A$2:B$25,2,FALSE),0)</f>
        <v>0</v>
      </c>
      <c r="Y102" s="170">
        <f t="shared" ca="1" si="22"/>
        <v>103537.50823068788</v>
      </c>
      <c r="Z102">
        <f t="shared" ca="1" si="26"/>
        <v>0</v>
      </c>
      <c r="AA102">
        <f t="shared" ca="1" si="27"/>
        <v>0</v>
      </c>
      <c r="AC102" s="94">
        <f t="shared" ca="1" si="23"/>
        <v>369776.8151095995</v>
      </c>
      <c r="AD102">
        <f ca="1">AC102*E102*10000*VLOOKUP(A102,[1]kcal!$A$2:$C$49,3,FALSE)/1000000000000*IFERROR(VLOOKUP(A102,'Kategorisering af kcal'!$A$2:$E$18,MATCH('Produktion &amp; forbrug'!F102,'Kategorisering af kcal'!$A$1:$E$1,0),FALSE),0)</f>
        <v>0</v>
      </c>
      <c r="AE102">
        <f ca="1">IF(C102&lt;&gt;"",AC102*(1-IF(A102&lt;&gt;"Græs",VLOOKUP(A102,'Kategorisering af kcal'!$A$2:$E$18,MATCH('Produktion &amp; forbrug'!F102,'Kategorisering af kcal'!$A$1:$E$1,0),FALSE),HLOOKUP(F102,Græsprotein!$C$2:$E$8,7))),'Produktion &amp; forbrug'!AC102)</f>
        <v>369776.8151095995</v>
      </c>
      <c r="AF102" s="94">
        <f t="shared" ca="1" si="24"/>
        <v>0</v>
      </c>
      <c r="AG102">
        <f ca="1">IF(AC102&lt;0,AD102,G102*E102*10000*VLOOKUP(A102,[1]kcal!$A$2:$C$49,3,FALSE)/1000000000000*IFERROR(VLOOKUP(A102,'Kategorisering af kcal'!$A$2:$E$18,MATCH('Produktion &amp; forbrug'!F102,'Kategorisering af kcal'!$A$1:$E$1,0),FALSE),0))</f>
        <v>0</v>
      </c>
      <c r="AH102">
        <f ca="1">AE102*IFERROR(VLOOKUP(A102,[1]Tørstofindhold!A$2:B$25,2,FALSE),0)</f>
        <v>103537.50823068788</v>
      </c>
      <c r="AI102">
        <f>K102*IFERROR(VLOOKUP(A102,[1]Tørstofindhold!A$2:B$25,2,FALSE),0)</f>
        <v>0</v>
      </c>
    </row>
    <row r="103" spans="1:35" hidden="1" x14ac:dyDescent="0.25">
      <c r="A103" s="171" t="str">
        <f t="shared" si="12"/>
        <v>Biogas</v>
      </c>
      <c r="B103" s="171" t="str">
        <f t="shared" si="13"/>
        <v/>
      </c>
      <c r="C103" s="171" t="str">
        <f>IFERROR(VLOOKUP(A103,'Kategorisering af kcal'!$A$2:$B$18,2,FALSE),"")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5"/>
        <v>0</v>
      </c>
      <c r="F103" s="171">
        <f t="shared" si="25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76025579.276387095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76025579.276387095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8"/>
        <v>0</v>
      </c>
      <c r="P103" s="94">
        <f t="shared" ca="1" si="19"/>
        <v>0</v>
      </c>
      <c r="Q103" s="180">
        <f t="shared" ca="1" si="20"/>
        <v>76025579.276387095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1"/>
        <v>0</v>
      </c>
      <c r="V103" s="169">
        <f ca="1">P103*IFERROR(VLOOKUP(A103,[1]Tørstofindhold!A$2:B$25,2,FALSE),0)</f>
        <v>0</v>
      </c>
      <c r="W103">
        <f ca="1">IF(F103=År1,Q103,SUM(P103,Q103))*IFERROR(VLOOKUP(A103,[1]Tørstofindhold!A$2:B$25,2,FALSE),0)</f>
        <v>0</v>
      </c>
      <c r="X103">
        <f>K103*IFERROR(VLOOKUP(A103,[1]Tørstofindhold!A$2:B$25,2,FALSE),0)</f>
        <v>0</v>
      </c>
      <c r="Y103" s="170">
        <f t="shared" ca="1" si="22"/>
        <v>0</v>
      </c>
      <c r="Z103">
        <f t="shared" ca="1" si="26"/>
        <v>0</v>
      </c>
      <c r="AA103">
        <f t="shared" ca="1" si="27"/>
        <v>0</v>
      </c>
      <c r="AC103" s="94">
        <f t="shared" ca="1" si="23"/>
        <v>76025579.276387095</v>
      </c>
      <c r="AD103">
        <f ca="1">AC103*E103*10000*VLOOKUP(A103,[1]kcal!$A$2:$C$49,3,FALSE)/1000000000000*IFERROR(VLOOKUP(A103,'Kategorisering af kcal'!$A$2:$E$18,MATCH('Produktion &amp; forbrug'!F103,'Kategorisering af kcal'!$A$1:$E$1,0),FALSE),0)</f>
        <v>0</v>
      </c>
      <c r="AE103">
        <f ca="1">IF(C103&lt;&gt;"",AC103*(1-IF(A103&lt;&gt;"Græs",VLOOKUP(A103,'Kategorisering af kcal'!$A$2:$E$18,MATCH('Produktion &amp; forbrug'!F103,'Kategorisering af kcal'!$A$1:$E$1,0),FALSE),HLOOKUP(F103,Græsprotein!$C$2:$E$8,7))),'Produktion &amp; forbrug'!AC103)</f>
        <v>76025579.276387095</v>
      </c>
      <c r="AF103" s="94">
        <f t="shared" ca="1" si="24"/>
        <v>0</v>
      </c>
      <c r="AG103">
        <f ca="1">IF(AC103&lt;0,AD103,G103*E103*10000*VLOOKUP(A103,[1]kcal!$A$2:$C$49,3,FALSE)/1000000000000*IFERROR(VLOOKUP(A103,'Kategorisering af kcal'!$A$2:$E$18,MATCH('Produktion &amp; forbrug'!F103,'Kategorisering af kcal'!$A$1:$E$1,0),FALSE),0))</f>
        <v>0</v>
      </c>
      <c r="AH103">
        <f ca="1">AE103*IFERROR(VLOOKUP(A103,[1]Tørstofindhold!A$2:B$25,2,FALSE),0)</f>
        <v>0</v>
      </c>
      <c r="AI103">
        <f>K103*IFERROR(VLOOKUP(A103,[1]Tørstofindhold!A$2:B$25,2,FALSE),0)</f>
        <v>0</v>
      </c>
    </row>
    <row r="104" spans="1:35" hidden="1" x14ac:dyDescent="0.25">
      <c r="A104" s="171" t="str">
        <f t="shared" si="12"/>
        <v>Biogasgylle</v>
      </c>
      <c r="B104" s="171" t="str">
        <f t="shared" si="13"/>
        <v/>
      </c>
      <c r="C104" s="171" t="str">
        <f>IFERROR(VLOOKUP(A104,'Kategorisering af kcal'!$A$2:$B$18,2,FALSE),"")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5"/>
        <v>0</v>
      </c>
      <c r="F104" s="171">
        <f t="shared" si="25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3222864.1864066171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79356.668662266122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8"/>
        <v>3143507.5177443507</v>
      </c>
      <c r="P104" s="94">
        <f t="shared" si="19"/>
        <v>0</v>
      </c>
      <c r="Q104" s="180">
        <f t="shared" si="20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1"/>
        <v>0</v>
      </c>
      <c r="V104" s="169">
        <f>P104*IFERROR(VLOOKUP(A104,[1]Tørstofindhold!A$2:B$25,2,FALSE),0)</f>
        <v>0</v>
      </c>
      <c r="W104">
        <f>IF(F104=År1,Q104,SUM(P104,Q104))*IFERROR(VLOOKUP(A104,[1]Tørstofindhold!A$2:B$25,2,FALSE),0)</f>
        <v>0</v>
      </c>
      <c r="X104">
        <f>K104*IFERROR(VLOOKUP(A104,[1]Tørstofindhold!A$2:B$25,2,FALSE),0)</f>
        <v>0</v>
      </c>
      <c r="Y104" s="170">
        <f t="shared" si="22"/>
        <v>0</v>
      </c>
      <c r="Z104">
        <f t="shared" ca="1" si="26"/>
        <v>0</v>
      </c>
      <c r="AA104">
        <f t="shared" ca="1" si="27"/>
        <v>1</v>
      </c>
      <c r="AC104" s="94">
        <f t="shared" ca="1" si="23"/>
        <v>3222864.1864066171</v>
      </c>
      <c r="AD104">
        <f ca="1">AC104*E104*10000*VLOOKUP(A104,[1]kcal!$A$2:$C$49,3,FALSE)/1000000000000*IFERROR(VLOOKUP(A104,'Kategorisering af kcal'!$A$2:$E$18,MATCH('Produktion &amp; forbrug'!F104,'Kategorisering af kcal'!$A$1:$E$1,0),FALSE),0)</f>
        <v>0</v>
      </c>
      <c r="AE104">
        <f ca="1">IF(C104&lt;&gt;"",AC104*(1-IF(A104&lt;&gt;"Græs",VLOOKUP(A104,'Kategorisering af kcal'!$A$2:$E$18,MATCH('Produktion &amp; forbrug'!F104,'Kategorisering af kcal'!$A$1:$E$1,0),FALSE),HLOOKUP(F104,Græsprotein!$C$2:$E$8,7))),'Produktion &amp; forbrug'!AC104)</f>
        <v>3222864.1864066171</v>
      </c>
      <c r="AF104" s="94">
        <f t="shared" ca="1" si="24"/>
        <v>0</v>
      </c>
      <c r="AG104">
        <f ca="1">IF(AC104&lt;0,AD104,G104*E104*10000*VLOOKUP(A104,[1]kcal!$A$2:$C$49,3,FALSE)/1000000000000*IFERROR(VLOOKUP(A104,'Kategorisering af kcal'!$A$2:$E$18,MATCH('Produktion &amp; forbrug'!F104,'Kategorisering af kcal'!$A$1:$E$1,0),FALSE),0))</f>
        <v>0</v>
      </c>
      <c r="AH104">
        <f ca="1">AE104*IFERROR(VLOOKUP(A104,[1]Tørstofindhold!A$2:B$25,2,FALSE),0)</f>
        <v>0</v>
      </c>
      <c r="AI104">
        <f>K104*IFERROR(VLOOKUP(A104,[1]Tørstofindhold!A$2:B$25,2,FALSE),0)</f>
        <v>0</v>
      </c>
    </row>
    <row r="105" spans="1:35" hidden="1" x14ac:dyDescent="0.25">
      <c r="A105" s="171" t="str">
        <f t="shared" si="12"/>
        <v>Brun saft</v>
      </c>
      <c r="B105" s="171" t="str">
        <f t="shared" si="13"/>
        <v>Brun saft</v>
      </c>
      <c r="C105" s="171" t="str">
        <f>IFERROR(VLOOKUP(A105,'Kategorisering af kcal'!$A$2:$B$18,2,FALSE),"")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5"/>
        <v>0</v>
      </c>
      <c r="F105" s="171">
        <f t="shared" si="25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6303839.9494497506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8"/>
        <v>6303839.9494497506</v>
      </c>
      <c r="P105" s="94">
        <f t="shared" si="19"/>
        <v>6303839.9494497506</v>
      </c>
      <c r="Q105" s="180">
        <f t="shared" si="20"/>
        <v>0</v>
      </c>
      <c r="R105">
        <f>IFERROR(VLOOKUP(A105,[1]Energiindhold!$A$2:$C$11,3,FALSE),IFERROR(VLOOKUP(A105,[1]Biogasudbytte!$A$2:$B$18,2,FALSE)*[1]Energiindhold!$C$10,0))*P105</f>
        <v>3.580745476138476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3.580745476138476</v>
      </c>
      <c r="T105">
        <f>IFERROR(VLOOKUP(A105,[1]Biogasudbytte!$A$2:$B$18,2,FALSE)*[1]Energiindhold!$C$10,0)*K105*IFERROR(VLOOKUP(A105,Biogasanlæg!$F$3:$G$8,2,FALSE),1)</f>
        <v>0</v>
      </c>
      <c r="U105" s="170">
        <f t="shared" si="21"/>
        <v>3.580745476138476</v>
      </c>
      <c r="V105" s="169">
        <f>P105*IFERROR(VLOOKUP(A105,[1]Tørstofindhold!A$2:B$25,2,FALSE),0)</f>
        <v>269573.55086490064</v>
      </c>
      <c r="W105">
        <f>IF(F105=År1,Q105,SUM(P105,Q105))*IFERROR(VLOOKUP(A105,[1]Tørstofindhold!A$2:B$25,2,FALSE),0)</f>
        <v>269573.55086490064</v>
      </c>
      <c r="X105">
        <f>K105*IFERROR(VLOOKUP(A105,[1]Tørstofindhold!A$2:B$25,2,FALSE),0)</f>
        <v>0</v>
      </c>
      <c r="Y105" s="170">
        <f t="shared" si="22"/>
        <v>269573.55086490064</v>
      </c>
      <c r="Z105">
        <f t="shared" si="26"/>
        <v>0</v>
      </c>
      <c r="AA105">
        <f t="shared" si="27"/>
        <v>1</v>
      </c>
      <c r="AC105" s="94">
        <f t="shared" si="23"/>
        <v>6303839.9494497506</v>
      </c>
      <c r="AD105">
        <f>AC105*E105*10000*VLOOKUP(A105,[1]kcal!$A$2:$C$49,3,FALSE)/1000000000000*IFERROR(VLOOKUP(A105,'Kategorisering af kcal'!$A$2:$E$18,MATCH('Produktion &amp; forbrug'!F105,'Kategorisering af kcal'!$A$1:$E$1,0),FALSE),0)</f>
        <v>0</v>
      </c>
      <c r="AE105">
        <f>IF(C105&lt;&gt;"",AC105*(1-IF(A105&lt;&gt;"Græs",VLOOKUP(A105,'Kategorisering af kcal'!$A$2:$E$18,MATCH('Produktion &amp; forbrug'!F105,'Kategorisering af kcal'!$A$1:$E$1,0),FALSE),HLOOKUP(F105,Græsprotein!$C$2:$E$8,7))),'Produktion &amp; forbrug'!AC105)</f>
        <v>6303839.9494497506</v>
      </c>
      <c r="AF105" s="94">
        <f t="shared" si="24"/>
        <v>0</v>
      </c>
      <c r="AG105">
        <f>IF(AC105&lt;0,AD105,G105*E105*10000*VLOOKUP(A105,[1]kcal!$A$2:$C$49,3,FALSE)/1000000000000*IFERROR(VLOOKUP(A105,'Kategorisering af kcal'!$A$2:$E$18,MATCH('Produktion &amp; forbrug'!F105,'Kategorisering af kcal'!$A$1:$E$1,0),FALSE),0))</f>
        <v>0</v>
      </c>
      <c r="AH105">
        <f>AE105*IFERROR(VLOOKUP(A105,[1]Tørstofindhold!A$2:B$25,2,FALSE),0)</f>
        <v>269573.55086490064</v>
      </c>
      <c r="AI105">
        <f>K105*IFERROR(VLOOKUP(A105,[1]Tørstofindhold!A$2:B$25,2,FALSE),0)</f>
        <v>0</v>
      </c>
    </row>
    <row r="106" spans="1:35" hidden="1" x14ac:dyDescent="0.25">
      <c r="A106" s="171" t="str">
        <f t="shared" si="12"/>
        <v>Dybstrøelse</v>
      </c>
      <c r="B106" s="171" t="str">
        <f t="shared" si="13"/>
        <v>Husdyrgødning</v>
      </c>
      <c r="C106" s="171" t="str">
        <f>IFERROR(VLOOKUP(A106,'Kategorisering af kcal'!$A$2:$B$18,2,FALSE),"")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5"/>
        <v>0</v>
      </c>
      <c r="F106" s="171">
        <f t="shared" si="25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657661.09779742733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0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24897.170130902599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8"/>
        <v>632763.92766652477</v>
      </c>
      <c r="P106" s="94">
        <f t="shared" si="19"/>
        <v>632763.92766652477</v>
      </c>
      <c r="Q106" s="180">
        <f t="shared" si="20"/>
        <v>0</v>
      </c>
      <c r="R106">
        <f>IFERROR(VLOOKUP(A106,[1]Energiindhold!$A$2:$C$11,3,FALSE),IFERROR(VLOOKUP(A106,[1]Biogasudbytte!$A$2:$B$18,2,FALSE)*[1]Energiindhold!$C$10,0))*P106</f>
        <v>1.3629735001936945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1.3629735001936945</v>
      </c>
      <c r="T106">
        <f>IFERROR(VLOOKUP(A106,[1]Biogasudbytte!$A$2:$B$18,2,FALSE)*[1]Energiindhold!$C$10,0)*K106*IFERROR(VLOOKUP(A106,Biogasanlæg!$F$3:$G$8,2,FALSE),1)</f>
        <v>0</v>
      </c>
      <c r="U106" s="170">
        <f t="shared" si="21"/>
        <v>1.3629735001936945</v>
      </c>
      <c r="V106" s="169">
        <f>P106*IFERROR(VLOOKUP(A106,[1]Tørstofindhold!A$2:B$25,2,FALSE),0)</f>
        <v>189829.17829995742</v>
      </c>
      <c r="W106">
        <f>IF(F106=År1,Q106,SUM(P106,Q106))*IFERROR(VLOOKUP(A106,[1]Tørstofindhold!A$2:B$25,2,FALSE),0)</f>
        <v>189829.17829995742</v>
      </c>
      <c r="X106">
        <f>K106*IFERROR(VLOOKUP(A106,[1]Tørstofindhold!A$2:B$25,2,FALSE),0)</f>
        <v>0</v>
      </c>
      <c r="Y106" s="170">
        <f t="shared" si="22"/>
        <v>189829.17829995742</v>
      </c>
      <c r="Z106">
        <f t="shared" si="26"/>
        <v>0</v>
      </c>
      <c r="AA106">
        <f t="shared" si="27"/>
        <v>1</v>
      </c>
      <c r="AC106" s="94">
        <f t="shared" si="23"/>
        <v>657661.09779742733</v>
      </c>
      <c r="AD106">
        <f>AC106*E106*10000*VLOOKUP(A106,[1]kcal!$A$2:$C$49,3,FALSE)/1000000000000*IFERROR(VLOOKUP(A106,'Kategorisering af kcal'!$A$2:$E$18,MATCH('Produktion &amp; forbrug'!F106,'Kategorisering af kcal'!$A$1:$E$1,0),FALSE),0)</f>
        <v>0</v>
      </c>
      <c r="AE106">
        <f>IF(C106&lt;&gt;"",AC106*(1-IF(A106&lt;&gt;"Græs",VLOOKUP(A106,'Kategorisering af kcal'!$A$2:$E$18,MATCH('Produktion &amp; forbrug'!F106,'Kategorisering af kcal'!$A$1:$E$1,0),FALSE),HLOOKUP(F106,Græsprotein!$C$2:$E$8,7))),'Produktion &amp; forbrug'!AC106)</f>
        <v>657661.09779742733</v>
      </c>
      <c r="AF106" s="94">
        <f t="shared" si="24"/>
        <v>0</v>
      </c>
      <c r="AG106">
        <f>IF(AC106&lt;0,AD106,G106*E106*10000*VLOOKUP(A106,[1]kcal!$A$2:$C$49,3,FALSE)/1000000000000*IFERROR(VLOOKUP(A106,'Kategorisering af kcal'!$A$2:$E$18,MATCH('Produktion &amp; forbrug'!F106,'Kategorisering af kcal'!$A$1:$E$1,0),FALSE),0))</f>
        <v>0</v>
      </c>
      <c r="AH106">
        <f>AE106*IFERROR(VLOOKUP(A106,[1]Tørstofindhold!A$2:B$25,2,FALSE),0)</f>
        <v>197298.32933922819</v>
      </c>
      <c r="AI106">
        <f>K106*IFERROR(VLOOKUP(A106,[1]Tørstofindhold!A$2:B$25,2,FALSE),0)</f>
        <v>0</v>
      </c>
    </row>
    <row r="107" spans="1:35" hidden="1" x14ac:dyDescent="0.25">
      <c r="A107" s="171" t="str">
        <f t="shared" si="12"/>
        <v>Fiberfraktion</v>
      </c>
      <c r="B107" s="171" t="str">
        <f t="shared" si="13"/>
        <v>Fiberfraktion</v>
      </c>
      <c r="C107" s="171" t="str">
        <f>IFERROR(VLOOKUP(A107,'Kategorisering af kcal'!$A$2:$B$18,2,FALSE),"")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5"/>
        <v>0</v>
      </c>
      <c r="F107" s="171">
        <f t="shared" si="25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4440034.9554218939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0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8"/>
        <v>4440034.9554218939</v>
      </c>
      <c r="P107" s="94">
        <f t="shared" si="19"/>
        <v>0</v>
      </c>
      <c r="Q107" s="180">
        <f t="shared" si="20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1"/>
        <v>0</v>
      </c>
      <c r="V107" s="169">
        <f>P107*IFERROR(VLOOKUP(A107,[1]Tørstofindhold!A$2:B$25,2,FALSE),0)</f>
        <v>0</v>
      </c>
      <c r="W107">
        <f>IF(F107=År1,Q107,SUM(P107,Q107))*IFERROR(VLOOKUP(A107,[1]Tørstofindhold!A$2:B$25,2,FALSE),0)</f>
        <v>0</v>
      </c>
      <c r="X107">
        <f>K107*IFERROR(VLOOKUP(A107,[1]Tørstofindhold!A$2:B$25,2,FALSE),0)</f>
        <v>0</v>
      </c>
      <c r="Y107" s="170">
        <f t="shared" si="22"/>
        <v>0</v>
      </c>
      <c r="Z107">
        <f t="shared" si="26"/>
        <v>0</v>
      </c>
      <c r="AA107">
        <f t="shared" si="27"/>
        <v>1</v>
      </c>
      <c r="AC107" s="94">
        <f t="shared" si="23"/>
        <v>4440034.9554218939</v>
      </c>
      <c r="AD107">
        <f>AC107*E107*10000*VLOOKUP(A107,[1]kcal!$A$2:$C$49,3,FALSE)/1000000000000*IFERROR(VLOOKUP(A107,'Kategorisering af kcal'!$A$2:$E$18,MATCH('Produktion &amp; forbrug'!F107,'Kategorisering af kcal'!$A$1:$E$1,0),FALSE),0)</f>
        <v>0</v>
      </c>
      <c r="AE107">
        <f>IF(C107&lt;&gt;"",AC107*(1-IF(A107&lt;&gt;"Græs",VLOOKUP(A107,'Kategorisering af kcal'!$A$2:$E$18,MATCH('Produktion &amp; forbrug'!F107,'Kategorisering af kcal'!$A$1:$E$1,0),FALSE),HLOOKUP(F107,Græsprotein!$C$2:$E$8,7))),'Produktion &amp; forbrug'!AC107)</f>
        <v>4440034.9554218939</v>
      </c>
      <c r="AF107" s="94">
        <f t="shared" si="24"/>
        <v>0</v>
      </c>
      <c r="AG107">
        <f>IF(AC107&lt;0,AD107,G107*E107*10000*VLOOKUP(A107,[1]kcal!$A$2:$C$49,3,FALSE)/1000000000000*IFERROR(VLOOKUP(A107,'Kategorisering af kcal'!$A$2:$E$18,MATCH('Produktion &amp; forbrug'!F107,'Kategorisering af kcal'!$A$1:$E$1,0),FALSE),0))</f>
        <v>0</v>
      </c>
      <c r="AH107">
        <f>AE107*IFERROR(VLOOKUP(A107,[1]Tørstofindhold!A$2:B$25,2,FALSE),0)</f>
        <v>1509611.884843444</v>
      </c>
      <c r="AI107">
        <f>K107*IFERROR(VLOOKUP(A107,[1]Tørstofindhold!A$2:B$25,2,FALSE),0)</f>
        <v>0</v>
      </c>
    </row>
    <row r="108" spans="1:35" hidden="1" x14ac:dyDescent="0.25">
      <c r="A108" s="171" t="str">
        <f t="shared" si="12"/>
        <v>Fjerkrægylle</v>
      </c>
      <c r="B108" s="171" t="str">
        <f t="shared" si="13"/>
        <v>Husdyrgødning</v>
      </c>
      <c r="C108" s="171" t="str">
        <f>IFERROR(VLOOKUP(A108,'Kategorisering af kcal'!$A$2:$B$18,2,FALSE),"")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5"/>
        <v>0</v>
      </c>
      <c r="F108" s="171">
        <f t="shared" si="25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6089.9666820052507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0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608.99666820052505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8"/>
        <v>5480.9700138047256</v>
      </c>
      <c r="P108" s="94">
        <f t="shared" si="19"/>
        <v>5480.9700138047256</v>
      </c>
      <c r="Q108" s="180">
        <f t="shared" si="20"/>
        <v>0</v>
      </c>
      <c r="R108">
        <f>IFERROR(VLOOKUP(A108,[1]Energiindhold!$A$2:$C$11,3,FALSE),IFERROR(VLOOKUP(A108,[1]Biogasudbytte!$A$2:$B$18,2,FALSE)*[1]Energiindhold!$C$10,0))*P108</f>
        <v>2.5776453877922245E-3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2.5776453877922245E-3</v>
      </c>
      <c r="T108">
        <f>IFERROR(VLOOKUP(A108,[1]Biogasudbytte!$A$2:$B$18,2,FALSE)*[1]Energiindhold!$C$10,0)*K108*IFERROR(VLOOKUP(A108,Biogasanlæg!$F$3:$G$8,2,FALSE),1)</f>
        <v>0</v>
      </c>
      <c r="U108" s="170">
        <f t="shared" si="21"/>
        <v>2.5776453877922245E-3</v>
      </c>
      <c r="V108" s="169">
        <f>P108*IFERROR(VLOOKUP(A108,[1]Tørstofindhold!A$2:B$25,2,FALSE),0)</f>
        <v>345.30111086969771</v>
      </c>
      <c r="W108">
        <f>IF(F108=År1,Q108,SUM(P108,Q108))*IFERROR(VLOOKUP(A108,[1]Tørstofindhold!A$2:B$25,2,FALSE),0)</f>
        <v>345.30111086969771</v>
      </c>
      <c r="X108">
        <f>K108*IFERROR(VLOOKUP(A108,[1]Tørstofindhold!A$2:B$25,2,FALSE),0)</f>
        <v>0</v>
      </c>
      <c r="Y108" s="170">
        <f t="shared" si="22"/>
        <v>345.30111086969771</v>
      </c>
      <c r="Z108">
        <f t="shared" si="26"/>
        <v>0</v>
      </c>
      <c r="AA108">
        <f t="shared" si="27"/>
        <v>1</v>
      </c>
      <c r="AC108" s="94">
        <f t="shared" si="23"/>
        <v>6089.9666820052507</v>
      </c>
      <c r="AD108">
        <f>AC108*E108*10000*VLOOKUP(A108,[1]kcal!$A$2:$C$49,3,FALSE)/1000000000000*IFERROR(VLOOKUP(A108,'Kategorisering af kcal'!$A$2:$E$18,MATCH('Produktion &amp; forbrug'!F108,'Kategorisering af kcal'!$A$1:$E$1,0),FALSE),0)</f>
        <v>0</v>
      </c>
      <c r="AE108">
        <f>IF(C108&lt;&gt;"",AC108*(1-IF(A108&lt;&gt;"Græs",VLOOKUP(A108,'Kategorisering af kcal'!$A$2:$E$18,MATCH('Produktion &amp; forbrug'!F108,'Kategorisering af kcal'!$A$1:$E$1,0),FALSE),HLOOKUP(F108,Græsprotein!$C$2:$E$8,7))),'Produktion &amp; forbrug'!AC108)</f>
        <v>6089.9666820052507</v>
      </c>
      <c r="AF108" s="94">
        <f t="shared" si="24"/>
        <v>0</v>
      </c>
      <c r="AG108">
        <f>IF(AC108&lt;0,AD108,G108*E108*10000*VLOOKUP(A108,[1]kcal!$A$2:$C$49,3,FALSE)/1000000000000*IFERROR(VLOOKUP(A108,'Kategorisering af kcal'!$A$2:$E$18,MATCH('Produktion &amp; forbrug'!F108,'Kategorisering af kcal'!$A$1:$E$1,0),FALSE),0))</f>
        <v>0</v>
      </c>
      <c r="AH108">
        <f>AE108*IFERROR(VLOOKUP(A108,[1]Tørstofindhold!A$2:B$25,2,FALSE),0)</f>
        <v>383.66790096633082</v>
      </c>
      <c r="AI108">
        <f>K108*IFERROR(VLOOKUP(A108,[1]Tørstofindhold!A$2:B$25,2,FALSE),0)</f>
        <v>0</v>
      </c>
    </row>
    <row r="109" spans="1:35" hidden="1" x14ac:dyDescent="0.25">
      <c r="A109" s="171" t="str">
        <f t="shared" si="12"/>
        <v>Fjerkrækød</v>
      </c>
      <c r="B109" s="171" t="str">
        <f t="shared" si="13"/>
        <v/>
      </c>
      <c r="C109" s="171" t="str">
        <f>IFERROR(VLOOKUP(A109,'Kategorisering af kcal'!$A$2:$B$18,2,FALSE),"")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5"/>
        <v>1</v>
      </c>
      <c r="F109" s="171">
        <f t="shared" si="25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6505.3390543143432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0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8"/>
        <v>6505.3390543143432</v>
      </c>
      <c r="P109" s="94">
        <f t="shared" si="19"/>
        <v>0</v>
      </c>
      <c r="Q109" s="180">
        <f t="shared" si="20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1"/>
        <v>0</v>
      </c>
      <c r="V109" s="169">
        <f>P109*IFERROR(VLOOKUP(A109,[1]Tørstofindhold!A$2:B$25,2,FALSE),0)</f>
        <v>0</v>
      </c>
      <c r="W109">
        <f>IF(F109=År1,Q109,SUM(P109,Q109))*IFERROR(VLOOKUP(A109,[1]Tørstofindhold!A$2:B$25,2,FALSE),0)</f>
        <v>0</v>
      </c>
      <c r="X109">
        <f>K109*IFERROR(VLOOKUP(A109,[1]Tørstofindhold!A$2:B$25,2,FALSE),0)</f>
        <v>0</v>
      </c>
      <c r="Y109" s="170">
        <f t="shared" si="22"/>
        <v>0</v>
      </c>
      <c r="Z109">
        <f t="shared" si="26"/>
        <v>0</v>
      </c>
      <c r="AA109">
        <f t="shared" si="27"/>
        <v>1</v>
      </c>
      <c r="AC109" s="94">
        <f t="shared" si="23"/>
        <v>6505.3390543143432</v>
      </c>
      <c r="AD109">
        <f>AC109*E109*10000*VLOOKUP(A109,[1]kcal!$A$2:$C$49,3,FALSE)/1000000000000*IFERROR(VLOOKUP(A109,'Kategorisering af kcal'!$A$2:$E$18,MATCH('Produktion &amp; forbrug'!F109,'Kategorisering af kcal'!$A$1:$E$1,0),FALSE),0)</f>
        <v>9.8881153625578009E-3</v>
      </c>
      <c r="AE109">
        <f>IF(C109&lt;&gt;"",AC109*(1-IF(A109&lt;&gt;"Græs",VLOOKUP(A109,'Kategorisering af kcal'!$A$2:$E$18,MATCH('Produktion &amp; forbrug'!F109,'Kategorisering af kcal'!$A$1:$E$1,0),FALSE),HLOOKUP(F109,Græsprotein!$C$2:$E$8,7))),'Produktion &amp; forbrug'!AC109)</f>
        <v>0</v>
      </c>
      <c r="AF109" s="94">
        <f t="shared" si="24"/>
        <v>6505.3390543143432</v>
      </c>
      <c r="AG109">
        <f>IF(AC109&lt;0,AD109,G109*E109*10000*VLOOKUP(A109,[1]kcal!$A$2:$C$49,3,FALSE)/1000000000000*IFERROR(VLOOKUP(A109,'Kategorisering af kcal'!$A$2:$E$18,MATCH('Produktion &amp; forbrug'!F109,'Kategorisering af kcal'!$A$1:$E$1,0),FALSE),0))</f>
        <v>9.8881153625578009E-3</v>
      </c>
      <c r="AH109">
        <f>AE109*IFERROR(VLOOKUP(A109,[1]Tørstofindhold!A$2:B$25,2,FALSE),0)</f>
        <v>0</v>
      </c>
      <c r="AI109">
        <f>K109*IFERROR(VLOOKUP(A109,[1]Tørstofindhold!A$2:B$25,2,FALSE),0)</f>
        <v>0</v>
      </c>
    </row>
    <row r="110" spans="1:35" hidden="1" x14ac:dyDescent="0.25">
      <c r="A110" s="171" t="str">
        <f t="shared" si="12"/>
        <v>Frø</v>
      </c>
      <c r="B110" s="171" t="str">
        <f t="shared" si="13"/>
        <v/>
      </c>
      <c r="C110" s="171" t="str">
        <f>IFERROR(VLOOKUP(A110,'Kategorisering af kcal'!$A$2:$B$18,2,FALSE),"")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5"/>
        <v>0</v>
      </c>
      <c r="F110" s="171">
        <f t="shared" si="25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88686.455244518045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8"/>
        <v>88686.455244518045</v>
      </c>
      <c r="P110" s="94">
        <f t="shared" si="19"/>
        <v>0</v>
      </c>
      <c r="Q110" s="180">
        <f t="shared" si="20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1"/>
        <v>0</v>
      </c>
      <c r="V110" s="169">
        <f>P110*IFERROR(VLOOKUP(A110,[1]Tørstofindhold!A$2:B$25,2,FALSE),0)</f>
        <v>0</v>
      </c>
      <c r="W110">
        <f>IF(F110=År1,Q110,SUM(P110,Q110))*IFERROR(VLOOKUP(A110,[1]Tørstofindhold!A$2:B$25,2,FALSE),0)</f>
        <v>0</v>
      </c>
      <c r="X110">
        <f>K110*IFERROR(VLOOKUP(A110,[1]Tørstofindhold!A$2:B$25,2,FALSE),0)</f>
        <v>0</v>
      </c>
      <c r="Y110" s="170">
        <f t="shared" si="22"/>
        <v>0</v>
      </c>
      <c r="Z110">
        <f t="shared" si="26"/>
        <v>0</v>
      </c>
      <c r="AA110">
        <f t="shared" si="27"/>
        <v>1</v>
      </c>
      <c r="AC110" s="94">
        <f t="shared" si="23"/>
        <v>88686.455244518045</v>
      </c>
      <c r="AD110">
        <f>AC110*E110*10000*VLOOKUP(A110,[1]kcal!$A$2:$C$49,3,FALSE)/1000000000000*IFERROR(VLOOKUP(A110,'Kategorisering af kcal'!$A$2:$E$18,MATCH('Produktion &amp; forbrug'!F110,'Kategorisering af kcal'!$A$1:$E$1,0),FALSE),0)</f>
        <v>0</v>
      </c>
      <c r="AE110">
        <f>IF(C110&lt;&gt;"",AC110*(1-IF(A110&lt;&gt;"Græs",VLOOKUP(A110,'Kategorisering af kcal'!$A$2:$E$18,MATCH('Produktion &amp; forbrug'!F110,'Kategorisering af kcal'!$A$1:$E$1,0),FALSE),HLOOKUP(F110,Græsprotein!$C$2:$E$8,7))),'Produktion &amp; forbrug'!AC110)</f>
        <v>88686.455244518045</v>
      </c>
      <c r="AF110" s="94">
        <f t="shared" si="24"/>
        <v>0</v>
      </c>
      <c r="AG110">
        <f>IF(AC110&lt;0,AD110,G110*E110*10000*VLOOKUP(A110,[1]kcal!$A$2:$C$49,3,FALSE)/1000000000000*IFERROR(VLOOKUP(A110,'Kategorisering af kcal'!$A$2:$E$18,MATCH('Produktion &amp; forbrug'!F110,'Kategorisering af kcal'!$A$1:$E$1,0),FALSE),0))</f>
        <v>0</v>
      </c>
      <c r="AH110">
        <f>AE110*IFERROR(VLOOKUP(A110,[1]Tørstofindhold!A$2:B$25,2,FALSE),0)</f>
        <v>0</v>
      </c>
      <c r="AI110">
        <f>K110*IFERROR(VLOOKUP(A110,[1]Tørstofindhold!A$2:B$25,2,FALSE),0)</f>
        <v>0</v>
      </c>
    </row>
    <row r="111" spans="1:35" hidden="1" x14ac:dyDescent="0.25">
      <c r="A111" s="171" t="str">
        <f t="shared" si="12"/>
        <v>Frugt</v>
      </c>
      <c r="B111" s="171" t="str">
        <f t="shared" si="13"/>
        <v/>
      </c>
      <c r="C111" s="171" t="str">
        <f>IFERROR(VLOOKUP(A111,'Kategorisering af kcal'!$A$2:$B$18,2,FALSE),"")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5"/>
        <v>1</v>
      </c>
      <c r="F111" s="171">
        <f t="shared" si="25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1093650.863002714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0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8"/>
        <v>1093650.863002714</v>
      </c>
      <c r="P111" s="94">
        <f t="shared" si="19"/>
        <v>0</v>
      </c>
      <c r="Q111" s="180">
        <f t="shared" si="20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1"/>
        <v>0</v>
      </c>
      <c r="V111" s="169">
        <f>P111*IFERROR(VLOOKUP(A111,[1]Tørstofindhold!A$2:B$25,2,FALSE),0)</f>
        <v>0</v>
      </c>
      <c r="W111">
        <f>IF(F111=År1,Q111,SUM(P111,Q111))*IFERROR(VLOOKUP(A111,[1]Tørstofindhold!A$2:B$25,2,FALSE),0)</f>
        <v>0</v>
      </c>
      <c r="X111">
        <f>K111*IFERROR(VLOOKUP(A111,[1]Tørstofindhold!A$2:B$25,2,FALSE),0)</f>
        <v>0</v>
      </c>
      <c r="Y111" s="170">
        <f t="shared" si="22"/>
        <v>0</v>
      </c>
      <c r="Z111">
        <f t="shared" si="26"/>
        <v>0</v>
      </c>
      <c r="AA111">
        <f t="shared" si="27"/>
        <v>1</v>
      </c>
      <c r="AC111" s="94">
        <f t="shared" si="23"/>
        <v>1093650.863002714</v>
      </c>
      <c r="AD111">
        <f>AC111*E111*10000*VLOOKUP(A111,[1]kcal!$A$2:$C$49,3,FALSE)/1000000000000*IFERROR(VLOOKUP(A111,'Kategorisering af kcal'!$A$2:$E$18,MATCH('Produktion &amp; forbrug'!F111,'Kategorisering af kcal'!$A$1:$E$1,0),FALSE),0)</f>
        <v>0.56869844876141129</v>
      </c>
      <c r="AE111">
        <f>IF(C111&lt;&gt;"",AC111*(1-IF(A111&lt;&gt;"Græs",VLOOKUP(A111,'Kategorisering af kcal'!$A$2:$E$18,MATCH('Produktion &amp; forbrug'!F111,'Kategorisering af kcal'!$A$1:$E$1,0),FALSE),HLOOKUP(F111,Græsprotein!$C$2:$E$8,7))),'Produktion &amp; forbrug'!AC111)</f>
        <v>0</v>
      </c>
      <c r="AF111" s="94">
        <f t="shared" si="24"/>
        <v>1093650.863002714</v>
      </c>
      <c r="AG111">
        <f>IF(AC111&lt;0,AD111,G111*E111*10000*VLOOKUP(A111,[1]kcal!$A$2:$C$49,3,FALSE)/1000000000000*IFERROR(VLOOKUP(A111,'Kategorisering af kcal'!$A$2:$E$18,MATCH('Produktion &amp; forbrug'!F111,'Kategorisering af kcal'!$A$1:$E$1,0),FALSE),0))</f>
        <v>0.56869844876141129</v>
      </c>
      <c r="AH111">
        <f>AE111*IFERROR(VLOOKUP(A111,[1]Tørstofindhold!A$2:B$25,2,FALSE),0)</f>
        <v>0</v>
      </c>
      <c r="AI111">
        <f>K111*IFERROR(VLOOKUP(A111,[1]Tørstofindhold!A$2:B$25,2,FALSE),0)</f>
        <v>0</v>
      </c>
    </row>
    <row r="112" spans="1:35" hidden="1" x14ac:dyDescent="0.25">
      <c r="A112" s="171" t="str">
        <f t="shared" si="12"/>
        <v>Glycerin</v>
      </c>
      <c r="B112" s="171" t="str">
        <f t="shared" si="13"/>
        <v>Glycerin</v>
      </c>
      <c r="C112" s="171" t="str">
        <f>IFERROR(VLOOKUP(A112,'Kategorisering af kcal'!$A$2:$B$18,2,FALSE),"")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5"/>
        <v>0</v>
      </c>
      <c r="F112" s="171">
        <f t="shared" si="25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0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8"/>
        <v>0</v>
      </c>
      <c r="P112" s="94">
        <f t="shared" si="19"/>
        <v>0</v>
      </c>
      <c r="Q112" s="180">
        <f t="shared" si="20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1"/>
        <v>0</v>
      </c>
      <c r="V112" s="169">
        <f>P112*IFERROR(VLOOKUP(A112,[1]Tørstofindhold!A$2:B$25,2,FALSE),0)</f>
        <v>0</v>
      </c>
      <c r="W112">
        <f>IF(F112=År1,Q112,SUM(P112,Q112))*IFERROR(VLOOKUP(A112,[1]Tørstofindhold!A$2:B$25,2,FALSE),0)</f>
        <v>0</v>
      </c>
      <c r="X112">
        <f>K112*IFERROR(VLOOKUP(A112,[1]Tørstofindhold!A$2:B$25,2,FALSE),0)</f>
        <v>0</v>
      </c>
      <c r="Y112" s="170">
        <f t="shared" si="22"/>
        <v>0</v>
      </c>
      <c r="Z112">
        <f t="shared" si="26"/>
        <v>0</v>
      </c>
      <c r="AA112">
        <f t="shared" si="27"/>
        <v>0</v>
      </c>
      <c r="AC112" s="94">
        <f t="shared" si="23"/>
        <v>0</v>
      </c>
      <c r="AD112">
        <f>AC112*E112*10000*VLOOKUP(A112,[1]kcal!$A$2:$C$49,3,FALSE)/1000000000000*IFERROR(VLOOKUP(A112,'Kategorisering af kcal'!$A$2:$E$18,MATCH('Produktion &amp; forbrug'!F112,'Kategorisering af kcal'!$A$1:$E$1,0),FALSE),0)</f>
        <v>0</v>
      </c>
      <c r="AE112">
        <f>IF(C112&lt;&gt;"",AC112*(1-IF(A112&lt;&gt;"Græs",VLOOKUP(A112,'Kategorisering af kcal'!$A$2:$E$18,MATCH('Produktion &amp; forbrug'!F112,'Kategorisering af kcal'!$A$1:$E$1,0),FALSE),HLOOKUP(F112,Græsprotein!$C$2:$E$8,7))),'Produktion &amp; forbrug'!AC112)</f>
        <v>0</v>
      </c>
      <c r="AF112" s="94">
        <f t="shared" si="24"/>
        <v>0</v>
      </c>
      <c r="AG112">
        <f>IF(AC112&lt;0,AD112,G112*E112*10000*VLOOKUP(A112,[1]kcal!$A$2:$C$49,3,FALSE)/1000000000000*IFERROR(VLOOKUP(A112,'Kategorisering af kcal'!$A$2:$E$18,MATCH('Produktion &amp; forbrug'!F112,'Kategorisering af kcal'!$A$1:$E$1,0),FALSE),0))</f>
        <v>0</v>
      </c>
      <c r="AH112">
        <f>AE112*IFERROR(VLOOKUP(A112,[1]Tørstofindhold!A$2:B$25,2,FALSE),0)</f>
        <v>0</v>
      </c>
      <c r="AI112">
        <f>K112*IFERROR(VLOOKUP(A112,[1]Tørstofindhold!A$2:B$25,2,FALSE),0)</f>
        <v>0</v>
      </c>
    </row>
    <row r="113" spans="1:35" hidden="1" x14ac:dyDescent="0.25">
      <c r="A113" s="171" t="str">
        <f t="shared" si="12"/>
        <v>Græs</v>
      </c>
      <c r="B113" s="171" t="str">
        <f t="shared" si="13"/>
        <v>Græs</v>
      </c>
      <c r="C113" s="171" t="str">
        <f>IFERROR(VLOOKUP(A113,'Kategorisering af kcal'!$A$2:$B$18,2,FALSE),"")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5"/>
        <v>1</v>
      </c>
      <c r="F113" s="171">
        <f t="shared" si="25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40256316.929158494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1162670.7264108984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12900463.31179085</v>
      </c>
      <c r="O113" s="179">
        <f t="shared" si="18"/>
        <v>26193182.890956745</v>
      </c>
      <c r="P113" s="94">
        <f t="shared" si="19"/>
        <v>26193182.890956745</v>
      </c>
      <c r="Q113" s="180">
        <f t="shared" si="20"/>
        <v>0</v>
      </c>
      <c r="R113">
        <f>IFERROR(VLOOKUP(A113,[1]Energiindhold!$A$2:$C$11,3,FALSE),IFERROR(VLOOKUP(A113,[1]Biogasudbytte!$A$2:$B$18,2,FALSE)*[1]Energiindhold!$C$10,0))*P113</f>
        <v>48.192182371499044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48.192182371499044</v>
      </c>
      <c r="T113">
        <f>IFERROR(VLOOKUP(A113,[1]Biogasudbytte!$A$2:$B$18,2,FALSE)*[1]Energiindhold!$C$10,0)*K113*IFERROR(VLOOKUP(A113,Biogasanlæg!$F$3:$G$8,2,FALSE),1)</f>
        <v>0</v>
      </c>
      <c r="U113" s="170">
        <f t="shared" si="21"/>
        <v>48.192182371499044</v>
      </c>
      <c r="V113" s="169">
        <f>P113*IFERROR(VLOOKUP(A113,[1]Tørstofindhold!A$2:B$25,2,FALSE),0)</f>
        <v>7334091.2094678888</v>
      </c>
      <c r="W113">
        <f>IF(F113=År1,Q113,SUM(P113,Q113))*IFERROR(VLOOKUP(A113,[1]Tørstofindhold!A$2:B$25,2,FALSE),0)</f>
        <v>7334091.2094678888</v>
      </c>
      <c r="X113">
        <f>K113*IFERROR(VLOOKUP(A113,[1]Tørstofindhold!A$2:B$25,2,FALSE),0)</f>
        <v>0</v>
      </c>
      <c r="Y113" s="170">
        <f t="shared" si="22"/>
        <v>7334091.2094678888</v>
      </c>
      <c r="Z113">
        <f t="shared" si="26"/>
        <v>0</v>
      </c>
      <c r="AA113">
        <f t="shared" si="27"/>
        <v>1</v>
      </c>
      <c r="AC113" s="94">
        <f>G113-SUMPRODUCT($H$2:$N$2,H113:N113)</f>
        <v>26193182.890956745</v>
      </c>
      <c r="AD113">
        <f>AC113*E113*10000*VLOOKUP(A113,[1]kcal!$A$2:$C$49,3,FALSE)/1000000000000*IFERROR(VLOOKUP(A113,'Kategorisering af kcal'!$A$2:$E$18,MATCH('Produktion &amp; forbrug'!F113,'Kategorisering af kcal'!$A$1:$E$1,0),FALSE),0)</f>
        <v>4.0017362750072811</v>
      </c>
      <c r="AE113">
        <f>IF(C113&lt;&gt;"",AC113*(1-IF(A113&lt;&gt;"Græs",VLOOKUP(A113,'Kategorisering af kcal'!$A$2:$E$18,MATCH('Produktion &amp; forbrug'!F113,'Kategorisering af kcal'!$A$1:$E$1,0),FALSE),HLOOKUP(F113,Græsprotein!$C$2:$E$8,7))),'Produktion &amp; forbrug'!AC113)</f>
        <v>11641414.618202997</v>
      </c>
      <c r="AF113" s="94">
        <f>AC113-AE113</f>
        <v>14551768.272753747</v>
      </c>
      <c r="AG113">
        <f>IF(AC113&lt;0,AD113,G113*E113*10000*VLOOKUP(A113,[1]kcal!$A$2:$C$49,3,FALSE)/1000000000000*IFERROR(VLOOKUP(A113,'Kategorisering af kcal'!$A$2:$E$18,MATCH('Produktion &amp; forbrug'!F113,'Kategorisering af kcal'!$A$1:$E$1,0),FALSE),0))</f>
        <v>6.1502706419547719</v>
      </c>
      <c r="AH113">
        <f>AE113*IFERROR(VLOOKUP(A113,[1]Tørstofindhold!A$2:B$25,2,FALSE),0)</f>
        <v>3259596.0930968397</v>
      </c>
      <c r="AI113">
        <f>K113*IFERROR(VLOOKUP(A113,[1]Tørstofindhold!A$2:B$25,2,FALSE),0)</f>
        <v>0</v>
      </c>
    </row>
    <row r="114" spans="1:35" hidden="1" x14ac:dyDescent="0.25">
      <c r="A114" s="171" t="str">
        <f t="shared" si="12"/>
        <v>Græsprotein</v>
      </c>
      <c r="B114" s="171" t="str">
        <f t="shared" si="13"/>
        <v/>
      </c>
      <c r="C114" s="171" t="str">
        <f>IFERROR(VLOOKUP(A114,'Kategorisering af kcal'!$A$2:$B$18,2,FALSE),"")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5"/>
        <v>0</v>
      </c>
      <c r="F114" s="171">
        <f t="shared" si="25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2156588.4069192056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2156588.4069192056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8"/>
        <v>0</v>
      </c>
      <c r="P114" s="94">
        <f t="shared" si="19"/>
        <v>0</v>
      </c>
      <c r="Q114" s="180">
        <f t="shared" si="20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1"/>
        <v>0</v>
      </c>
      <c r="V114" s="169">
        <f>P114*IFERROR(VLOOKUP(A114,[1]Tørstofindhold!A$2:B$25,2,FALSE),0)</f>
        <v>0</v>
      </c>
      <c r="W114">
        <f>IF(F114=År1,Q114,SUM(P114,Q114))*IFERROR(VLOOKUP(A114,[1]Tørstofindhold!A$2:B$25,2,FALSE),0)</f>
        <v>0</v>
      </c>
      <c r="X114">
        <f>K114*IFERROR(VLOOKUP(A114,[1]Tørstofindhold!A$2:B$25,2,FALSE),0)</f>
        <v>0</v>
      </c>
      <c r="Y114" s="170">
        <f t="shared" si="22"/>
        <v>0</v>
      </c>
      <c r="Z114">
        <f t="shared" si="26"/>
        <v>0</v>
      </c>
      <c r="AA114">
        <f t="shared" si="27"/>
        <v>0</v>
      </c>
      <c r="AC114" s="94">
        <f t="shared" si="23"/>
        <v>0</v>
      </c>
      <c r="AD114">
        <f>AC114*E114*10000*VLOOKUP(A114,[1]kcal!$A$2:$C$49,3,FALSE)/1000000000000*IFERROR(VLOOKUP(A114,'Kategorisering af kcal'!$A$2:$E$18,MATCH('Produktion &amp; forbrug'!F114,'Kategorisering af kcal'!$A$1:$E$1,0),FALSE),0)</f>
        <v>0</v>
      </c>
      <c r="AE114">
        <f>IF(C114&lt;&gt;"",AC114*(1-IF(A114&lt;&gt;"Græs",VLOOKUP(A114,'Kategorisering af kcal'!$A$2:$E$18,MATCH('Produktion &amp; forbrug'!F114,'Kategorisering af kcal'!$A$1:$E$1,0),FALSE),HLOOKUP(F114,Græsprotein!$C$2:$E$8,7))),'Produktion &amp; forbrug'!AC114)</f>
        <v>0</v>
      </c>
      <c r="AF114" s="94">
        <f t="shared" si="24"/>
        <v>0</v>
      </c>
      <c r="AG114">
        <f>IF(AC114&lt;0,AD114,G114*E114*10000*VLOOKUP(A114,[1]kcal!$A$2:$C$49,3,FALSE)/1000000000000*IFERROR(VLOOKUP(A114,'Kategorisering af kcal'!$A$2:$E$18,MATCH('Produktion &amp; forbrug'!F114,'Kategorisering af kcal'!$A$1:$E$1,0),FALSE),0))</f>
        <v>0</v>
      </c>
      <c r="AH114">
        <f>AE114*IFERROR(VLOOKUP(A114,[1]Tørstofindhold!A$2:B$25,2,FALSE),0)</f>
        <v>0</v>
      </c>
      <c r="AI114">
        <f>K114*IFERROR(VLOOKUP(A114,[1]Tørstofindhold!A$2:B$25,2,FALSE),0)</f>
        <v>0</v>
      </c>
    </row>
    <row r="115" spans="1:35" hidden="1" x14ac:dyDescent="0.25">
      <c r="A115" s="171" t="str">
        <f t="shared" si="12"/>
        <v>Grøntsager</v>
      </c>
      <c r="B115" s="171" t="str">
        <f t="shared" si="13"/>
        <v/>
      </c>
      <c r="C115" s="171" t="str">
        <f>IFERROR(VLOOKUP(A115,'Kategorisering af kcal'!$A$2:$B$18,2,FALSE),"")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5"/>
        <v>1</v>
      </c>
      <c r="F115" s="171">
        <f t="shared" si="25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426005.5806566042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0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8"/>
        <v>426005.5806566042</v>
      </c>
      <c r="P115" s="94">
        <f t="shared" si="19"/>
        <v>0</v>
      </c>
      <c r="Q115" s="180">
        <f t="shared" si="20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1"/>
        <v>0</v>
      </c>
      <c r="V115" s="169">
        <f>P115*IFERROR(VLOOKUP(A115,[1]Tørstofindhold!A$2:B$25,2,FALSE),0)</f>
        <v>0</v>
      </c>
      <c r="W115">
        <f>IF(F115=År1,Q115,SUM(P115,Q115))*IFERROR(VLOOKUP(A115,[1]Tørstofindhold!A$2:B$25,2,FALSE),0)</f>
        <v>0</v>
      </c>
      <c r="X115">
        <f>K115*IFERROR(VLOOKUP(A115,[1]Tørstofindhold!A$2:B$25,2,FALSE),0)</f>
        <v>0</v>
      </c>
      <c r="Y115" s="170">
        <f t="shared" si="22"/>
        <v>0</v>
      </c>
      <c r="Z115">
        <f t="shared" si="26"/>
        <v>0</v>
      </c>
      <c r="AA115">
        <f t="shared" si="27"/>
        <v>1</v>
      </c>
      <c r="AC115" s="94">
        <f t="shared" si="23"/>
        <v>426005.5806566042</v>
      </c>
      <c r="AD115">
        <f>AC115*E115*10000*VLOOKUP(A115,[1]kcal!$A$2:$C$49,3,FALSE)/1000000000000*IFERROR(VLOOKUP(A115,'Kategorisering af kcal'!$A$2:$E$18,MATCH('Produktion &amp; forbrug'!F115,'Kategorisering af kcal'!$A$1:$E$1,0),FALSE),0)</f>
        <v>0.16614217645607562</v>
      </c>
      <c r="AE115">
        <f>IF(C115&lt;&gt;"",AC115*(1-IF(A115&lt;&gt;"Græs",VLOOKUP(A115,'Kategorisering af kcal'!$A$2:$E$18,MATCH('Produktion &amp; forbrug'!F115,'Kategorisering af kcal'!$A$1:$E$1,0),FALSE),HLOOKUP(F115,Græsprotein!$C$2:$E$8,7))),'Produktion &amp; forbrug'!AC115)</f>
        <v>0</v>
      </c>
      <c r="AF115" s="94">
        <f t="shared" si="24"/>
        <v>426005.5806566042</v>
      </c>
      <c r="AG115">
        <f>IF(AC115&lt;0,AD115,G115*E115*10000*VLOOKUP(A115,[1]kcal!$A$2:$C$49,3,FALSE)/1000000000000*IFERROR(VLOOKUP(A115,'Kategorisering af kcal'!$A$2:$E$18,MATCH('Produktion &amp; forbrug'!F115,'Kategorisering af kcal'!$A$1:$E$1,0),FALSE),0))</f>
        <v>0.16614217645607562</v>
      </c>
      <c r="AH115">
        <f>AE115*IFERROR(VLOOKUP(A115,[1]Tørstofindhold!A$2:B$25,2,FALSE),0)</f>
        <v>0</v>
      </c>
      <c r="AI115">
        <f>K115*IFERROR(VLOOKUP(A115,[1]Tørstofindhold!A$2:B$25,2,FALSE),0)</f>
        <v>0</v>
      </c>
    </row>
    <row r="116" spans="1:35" hidden="1" x14ac:dyDescent="0.25">
      <c r="A116" s="171" t="str">
        <f t="shared" ref="A116:A147" si="28">A68</f>
        <v>Halm</v>
      </c>
      <c r="B116" s="171" t="str">
        <f t="shared" ref="B116:B147" si="29">IF(B68&lt;&gt;"",B68,"")</f>
        <v>Halm og strå</v>
      </c>
      <c r="C116" s="171" t="str">
        <f>IFERROR(VLOOKUP(A116,'Kategorisering af kcal'!$A$2:$B$18,2,FALSE),"")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5"/>
        <v>0</v>
      </c>
      <c r="F116" s="171">
        <f t="shared" si="25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997071.39343760023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73448.857103623857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79956.439530000003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843666.09680397622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8"/>
        <v>0</v>
      </c>
      <c r="P116" s="94">
        <f t="shared" si="19"/>
        <v>0</v>
      </c>
      <c r="Q116" s="180">
        <f t="shared" si="20"/>
        <v>843666.09680397622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8.7199693914592853</v>
      </c>
      <c r="T116">
        <f>IFERROR(VLOOKUP(A116,[1]Biogasudbytte!$A$2:$B$18,2,FALSE)*[1]Energiindhold!$C$10,0)*K116*IFERROR(VLOOKUP(A116,Biogasanlæg!$F$3:$G$8,2,FALSE),1)</f>
        <v>0</v>
      </c>
      <c r="U116" s="170">
        <f t="shared" si="21"/>
        <v>8.7199693914592853</v>
      </c>
      <c r="V116" s="169">
        <f>P116*IFERROR(VLOOKUP(A116,[1]Tørstofindhold!A$2:B$25,2,FALSE),0)</f>
        <v>0</v>
      </c>
      <c r="W116">
        <f>IF(F116=År1,Q116,SUM(P116,Q116))*IFERROR(VLOOKUP(A116,[1]Tørstofindhold!A$2:B$25,2,FALSE),0)</f>
        <v>717116.18228337972</v>
      </c>
      <c r="X116">
        <f>K116*IFERROR(VLOOKUP(A116,[1]Tørstofindhold!A$2:B$25,2,FALSE),0)</f>
        <v>0</v>
      </c>
      <c r="Y116" s="170">
        <f t="shared" si="22"/>
        <v>717116.18228337972</v>
      </c>
      <c r="Z116">
        <f t="shared" si="26"/>
        <v>0</v>
      </c>
      <c r="AA116">
        <f t="shared" si="27"/>
        <v>0</v>
      </c>
      <c r="AC116" s="94">
        <f t="shared" si="23"/>
        <v>843666.09680397634</v>
      </c>
      <c r="AD116">
        <f>AC116*E116*10000*VLOOKUP(A116,[1]kcal!$A$2:$C$49,3,FALSE)/1000000000000*IFERROR(VLOOKUP(A116,'Kategorisering af kcal'!$A$2:$E$18,MATCH('Produktion &amp; forbrug'!F116,'Kategorisering af kcal'!$A$1:$E$1,0),FALSE),0)</f>
        <v>0</v>
      </c>
      <c r="AE116">
        <f>IF(C116&lt;&gt;"",AC116*(1-IF(A116&lt;&gt;"Græs",VLOOKUP(A116,'Kategorisering af kcal'!$A$2:$E$18,MATCH('Produktion &amp; forbrug'!F116,'Kategorisering af kcal'!$A$1:$E$1,0),FALSE),HLOOKUP(F116,Græsprotein!$C$2:$E$8,7))),'Produktion &amp; forbrug'!AC116)</f>
        <v>843666.09680397634</v>
      </c>
      <c r="AF116" s="94">
        <f t="shared" si="24"/>
        <v>0</v>
      </c>
      <c r="AG116">
        <f>IF(AC116&lt;0,AD116,G116*E116*10000*VLOOKUP(A116,[1]kcal!$A$2:$C$49,3,FALSE)/1000000000000*IFERROR(VLOOKUP(A116,'Kategorisering af kcal'!$A$2:$E$18,MATCH('Produktion &amp; forbrug'!F116,'Kategorisering af kcal'!$A$1:$E$1,0),FALSE),0))</f>
        <v>0</v>
      </c>
      <c r="AH116">
        <f>AE116*IFERROR(VLOOKUP(A116,[1]Tørstofindhold!A$2:B$25,2,FALSE),0)</f>
        <v>717116.18228337984</v>
      </c>
      <c r="AI116">
        <f>K116*IFERROR(VLOOKUP(A116,[1]Tørstofindhold!A$2:B$25,2,FALSE),0)</f>
        <v>0</v>
      </c>
    </row>
    <row r="117" spans="1:35" hidden="1" x14ac:dyDescent="0.25">
      <c r="A117" s="171" t="str">
        <f t="shared" si="28"/>
        <v>Have/parkaffald</v>
      </c>
      <c r="B117" s="171" t="str">
        <f t="shared" si="29"/>
        <v>Bionedbrydeligt affald</v>
      </c>
      <c r="C117" s="171" t="str">
        <f>IFERROR(VLOOKUP(A117,'Kategorisering af kcal'!$A$2:$B$18,2,FALSE),"")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30">E69</f>
        <v>0</v>
      </c>
      <c r="F117" s="171">
        <f t="shared" si="25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982809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8"/>
        <v>0</v>
      </c>
      <c r="P117" s="94">
        <f t="shared" si="19"/>
        <v>0</v>
      </c>
      <c r="Q117" s="180">
        <f t="shared" si="20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17.545322997702911</v>
      </c>
      <c r="T117">
        <f>IFERROR(VLOOKUP(A117,[1]Biogasudbytte!$A$2:$B$18,2,FALSE)*[1]Energiindhold!$C$10,0)*K117*IFERROR(VLOOKUP(A117,Biogasanlæg!$F$3:$G$8,2,FALSE),1)</f>
        <v>0</v>
      </c>
      <c r="U117" s="170">
        <f t="shared" si="21"/>
        <v>17.545322997702911</v>
      </c>
      <c r="V117" s="169">
        <f>P117*IFERROR(VLOOKUP(A117,[1]Tørstofindhold!A$2:B$25,2,FALSE),0)</f>
        <v>0</v>
      </c>
      <c r="W117">
        <f>IF(F117=År1,Q117,SUM(P117,Q117))*IFERROR(VLOOKUP(A117,[1]Tørstofindhold!A$2:B$25,2,FALSE),0)</f>
        <v>294842.7</v>
      </c>
      <c r="X117">
        <f>K117*IFERROR(VLOOKUP(A117,[1]Tørstofindhold!A$2:B$25,2,FALSE),0)</f>
        <v>0</v>
      </c>
      <c r="Y117" s="170">
        <f t="shared" si="22"/>
        <v>294842.7</v>
      </c>
      <c r="Z117">
        <f t="shared" si="26"/>
        <v>0</v>
      </c>
      <c r="AA117">
        <f t="shared" si="27"/>
        <v>0</v>
      </c>
      <c r="AC117" s="94">
        <f t="shared" si="23"/>
        <v>982809</v>
      </c>
      <c r="AD117">
        <f>AC117*E117*10000*VLOOKUP(A117,[1]kcal!$A$2:$C$49,3,FALSE)/1000000000000*IFERROR(VLOOKUP(A117,'Kategorisering af kcal'!$A$2:$E$18,MATCH('Produktion &amp; forbrug'!F117,'Kategorisering af kcal'!$A$1:$E$1,0),FALSE),0)</f>
        <v>0</v>
      </c>
      <c r="AE117">
        <f>IF(C117&lt;&gt;"",AC117*(1-IF(A117&lt;&gt;"Græs",VLOOKUP(A117,'Kategorisering af kcal'!$A$2:$E$18,MATCH('Produktion &amp; forbrug'!F117,'Kategorisering af kcal'!$A$1:$E$1,0),FALSE),HLOOKUP(F117,Græsprotein!$C$2:$E$8,7))),'Produktion &amp; forbrug'!AC117)</f>
        <v>982809</v>
      </c>
      <c r="AF117" s="94">
        <f t="shared" si="24"/>
        <v>0</v>
      </c>
      <c r="AG117">
        <f>IF(AC117&lt;0,AD117,G117*E117*10000*VLOOKUP(A117,[1]kcal!$A$2:$C$49,3,FALSE)/1000000000000*IFERROR(VLOOKUP(A117,'Kategorisering af kcal'!$A$2:$E$18,MATCH('Produktion &amp; forbrug'!F117,'Kategorisering af kcal'!$A$1:$E$1,0),FALSE),0))</f>
        <v>0</v>
      </c>
      <c r="AH117">
        <f>AE117*IFERROR(VLOOKUP(A117,[1]Tørstofindhold!A$2:B$25,2,FALSE),0)</f>
        <v>294842.7</v>
      </c>
      <c r="AI117">
        <f>K117*IFERROR(VLOOKUP(A117,[1]Tørstofindhold!A$2:B$25,2,FALSE),0)</f>
        <v>0</v>
      </c>
    </row>
    <row r="118" spans="1:35" hidden="1" x14ac:dyDescent="0.25">
      <c r="A118" s="171" t="str">
        <f t="shared" si="28"/>
        <v>Import af foder</v>
      </c>
      <c r="B118" s="171" t="str">
        <f t="shared" si="29"/>
        <v/>
      </c>
      <c r="C118" s="171" t="str">
        <f>IFERROR(VLOOKUP(A118,'Kategorisering af kcal'!$A$2:$B$18,2,FALSE),"")</f>
        <v>Import af foder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30"/>
        <v>1</v>
      </c>
      <c r="F118" s="171">
        <f t="shared" si="25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0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8"/>
        <v>0</v>
      </c>
      <c r="P118" s="94">
        <f t="shared" si="19"/>
        <v>0</v>
      </c>
      <c r="Q118" s="180">
        <f t="shared" si="20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1"/>
        <v>0</v>
      </c>
      <c r="V118" s="169">
        <f>P118*IFERROR(VLOOKUP(A118,[1]Tørstofindhold!A$2:B$25,2,FALSE),0)</f>
        <v>0</v>
      </c>
      <c r="W118">
        <f>IF(F118=År1,Q118,SUM(P118,Q118))*IFERROR(VLOOKUP(A118,[1]Tørstofindhold!A$2:B$25,2,FALSE),0)</f>
        <v>0</v>
      </c>
      <c r="X118">
        <f>K118*IFERROR(VLOOKUP(A118,[1]Tørstofindhold!A$2:B$25,2,FALSE),0)</f>
        <v>0</v>
      </c>
      <c r="Y118" s="170">
        <f t="shared" si="22"/>
        <v>0</v>
      </c>
      <c r="Z118">
        <f t="shared" si="26"/>
        <v>0</v>
      </c>
      <c r="AA118">
        <f t="shared" si="27"/>
        <v>0</v>
      </c>
      <c r="AC118" s="94">
        <f t="shared" si="23"/>
        <v>0</v>
      </c>
      <c r="AD118">
        <f>AC118*E118*10000*VLOOKUP(A118,[1]kcal!$A$2:$C$49,3,FALSE)/1000000000000*IFERROR(VLOOKUP(A118,'Kategorisering af kcal'!$A$2:$E$18,MATCH('Produktion &amp; forbrug'!F118,'Kategorisering af kcal'!$A$1:$E$1,0),FALSE),0)</f>
        <v>0</v>
      </c>
      <c r="AE118">
        <f>IF(C118&lt;&gt;"",AC118*(1-IF(A118&lt;&gt;"Græs",VLOOKUP(A118,'Kategorisering af kcal'!$A$2:$E$18,MATCH('Produktion &amp; forbrug'!F118,'Kategorisering af kcal'!$A$1:$E$1,0),FALSE),HLOOKUP(F118,Græsprotein!$C$2:$E$8,7))),'Produktion &amp; forbrug'!AC118)</f>
        <v>0</v>
      </c>
      <c r="AF118" s="94">
        <f t="shared" si="24"/>
        <v>0</v>
      </c>
      <c r="AG118">
        <f>IF(AC118&lt;0,AD118,G118*E118*10000*VLOOKUP(A118,[1]kcal!$A$2:$C$49,3,FALSE)/1000000000000*IFERROR(VLOOKUP(A118,'Kategorisering af kcal'!$A$2:$E$18,MATCH('Produktion &amp; forbrug'!F118,'Kategorisering af kcal'!$A$1:$E$1,0),FALSE),0))</f>
        <v>0</v>
      </c>
      <c r="AH118">
        <f>AE118*IFERROR(VLOOKUP(A118,[1]Tørstofindhold!A$2:B$25,2,FALSE),0)</f>
        <v>0</v>
      </c>
      <c r="AI118">
        <f>K118*IFERROR(VLOOKUP(A118,[1]Tørstofindhold!A$2:B$25,2,FALSE),0)</f>
        <v>0</v>
      </c>
    </row>
    <row r="119" spans="1:35" hidden="1" x14ac:dyDescent="0.25">
      <c r="A119" s="171" t="str">
        <f t="shared" si="28"/>
        <v>Industriaffald</v>
      </c>
      <c r="B119" s="171" t="str">
        <f t="shared" si="29"/>
        <v>Bionedbrydeligt affald</v>
      </c>
      <c r="C119" s="171" t="str">
        <f>IFERROR(VLOOKUP(A119,'Kategorisering af kcal'!$A$2:$B$18,2,FALSE),"")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30"/>
        <v>0</v>
      </c>
      <c r="F119" s="171">
        <f t="shared" si="25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386055.55758656352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8"/>
        <v>386055.55758656352</v>
      </c>
      <c r="P119" s="94">
        <f t="shared" si="19"/>
        <v>386055.55758656352</v>
      </c>
      <c r="Q119" s="180">
        <f t="shared" si="20"/>
        <v>0</v>
      </c>
      <c r="R119">
        <f>IFERROR(VLOOKUP(A119,[1]Energiindhold!$A$2:$C$11,3,FALSE),IFERROR(VLOOKUP(A119,[1]Biogasudbytte!$A$2:$B$18,2,FALSE)*[1]Energiindhold!$C$10,0))*P119</f>
        <v>1.6728289182450662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1.6728289182450662</v>
      </c>
      <c r="T119">
        <f>IFERROR(VLOOKUP(A119,[1]Biogasudbytte!$A$2:$B$18,2,FALSE)*[1]Energiindhold!$C$10,0)*K119*IFERROR(VLOOKUP(A119,Biogasanlæg!$F$3:$G$8,2,FALSE),1)</f>
        <v>0</v>
      </c>
      <c r="U119" s="170">
        <f t="shared" si="21"/>
        <v>1.6728289182450662</v>
      </c>
      <c r="V119" s="169">
        <f>P119*IFERROR(VLOOKUP(A119,[1]Tørstofindhold!A$2:B$25,2,FALSE),0)</f>
        <v>162143.33418635666</v>
      </c>
      <c r="W119">
        <f>IF(F119=År1,Q119,SUM(P119,Q119))*IFERROR(VLOOKUP(A119,[1]Tørstofindhold!A$2:B$25,2,FALSE),0)</f>
        <v>162143.33418635666</v>
      </c>
      <c r="X119">
        <f>K119*IFERROR(VLOOKUP(A119,[1]Tørstofindhold!A$2:B$25,2,FALSE),0)</f>
        <v>0</v>
      </c>
      <c r="Y119" s="170">
        <f t="shared" si="22"/>
        <v>162143.33418635666</v>
      </c>
      <c r="Z119">
        <f t="shared" si="26"/>
        <v>0</v>
      </c>
      <c r="AA119">
        <f t="shared" si="27"/>
        <v>1</v>
      </c>
      <c r="AC119" s="94">
        <f t="shared" si="23"/>
        <v>386055.55758656352</v>
      </c>
      <c r="AD119">
        <f>AC119*E119*10000*VLOOKUP(A119,[1]kcal!$A$2:$C$49,3,FALSE)/1000000000000*IFERROR(VLOOKUP(A119,'Kategorisering af kcal'!$A$2:$E$18,MATCH('Produktion &amp; forbrug'!F119,'Kategorisering af kcal'!$A$1:$E$1,0),FALSE),0)</f>
        <v>0</v>
      </c>
      <c r="AE119">
        <f>IF(C119&lt;&gt;"",AC119*(1-IF(A119&lt;&gt;"Græs",VLOOKUP(A119,'Kategorisering af kcal'!$A$2:$E$18,MATCH('Produktion &amp; forbrug'!F119,'Kategorisering af kcal'!$A$1:$E$1,0),FALSE),HLOOKUP(F119,Græsprotein!$C$2:$E$8,7))),'Produktion &amp; forbrug'!AC119)</f>
        <v>386055.55758656352</v>
      </c>
      <c r="AF119" s="94">
        <f t="shared" si="24"/>
        <v>0</v>
      </c>
      <c r="AG119">
        <f>IF(AC119&lt;0,AD119,G119*E119*10000*VLOOKUP(A119,[1]kcal!$A$2:$C$49,3,FALSE)/1000000000000*IFERROR(VLOOKUP(A119,'Kategorisering af kcal'!$A$2:$E$18,MATCH('Produktion &amp; forbrug'!F119,'Kategorisering af kcal'!$A$1:$E$1,0),FALSE),0))</f>
        <v>0</v>
      </c>
      <c r="AH119">
        <f>AE119*IFERROR(VLOOKUP(A119,[1]Tørstofindhold!A$2:B$25,2,FALSE),0)</f>
        <v>162143.33418635666</v>
      </c>
      <c r="AI119">
        <f>K119*IFERROR(VLOOKUP(A119,[1]Tørstofindhold!A$2:B$25,2,FALSE),0)</f>
        <v>0</v>
      </c>
    </row>
    <row r="120" spans="1:35" hidden="1" x14ac:dyDescent="0.25">
      <c r="A120" s="171" t="str">
        <f t="shared" si="28"/>
        <v>Juletræer</v>
      </c>
      <c r="B120" s="171" t="str">
        <f t="shared" si="29"/>
        <v/>
      </c>
      <c r="C120" s="171" t="str">
        <f>IFERROR(VLOOKUP(A120,'Kategorisering af kcal'!$A$2:$B$18,2,FALSE),"")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30"/>
        <v>0</v>
      </c>
      <c r="F120" s="171">
        <f t="shared" si="25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546016.67711508065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8"/>
        <v>546016.67711508065</v>
      </c>
      <c r="P120" s="94">
        <f t="shared" si="19"/>
        <v>0</v>
      </c>
      <c r="Q120" s="180">
        <f t="shared" si="20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1"/>
        <v>0</v>
      </c>
      <c r="V120" s="169">
        <f>P120*IFERROR(VLOOKUP(A120,[1]Tørstofindhold!A$2:B$25,2,FALSE),0)</f>
        <v>0</v>
      </c>
      <c r="W120">
        <f>IF(F120=År1,Q120,SUM(P120,Q120))*IFERROR(VLOOKUP(A120,[1]Tørstofindhold!A$2:B$25,2,FALSE),0)</f>
        <v>0</v>
      </c>
      <c r="X120">
        <f>K120*IFERROR(VLOOKUP(A120,[1]Tørstofindhold!A$2:B$25,2,FALSE),0)</f>
        <v>0</v>
      </c>
      <c r="Y120" s="170">
        <f t="shared" si="22"/>
        <v>0</v>
      </c>
      <c r="Z120">
        <f t="shared" si="26"/>
        <v>0</v>
      </c>
      <c r="AA120">
        <f t="shared" si="27"/>
        <v>1</v>
      </c>
      <c r="AC120" s="94">
        <f t="shared" si="23"/>
        <v>546016.67711508065</v>
      </c>
      <c r="AD120">
        <f>AC120*E120*10000*VLOOKUP(A120,[1]kcal!$A$2:$C$49,3,FALSE)/1000000000000*IFERROR(VLOOKUP(A120,'Kategorisering af kcal'!$A$2:$E$18,MATCH('Produktion &amp; forbrug'!F120,'Kategorisering af kcal'!$A$1:$E$1,0),FALSE),0)</f>
        <v>0</v>
      </c>
      <c r="AE120">
        <f>IF(C120&lt;&gt;"",AC120*(1-IF(A120&lt;&gt;"Græs",VLOOKUP(A120,'Kategorisering af kcal'!$A$2:$E$18,MATCH('Produktion &amp; forbrug'!F120,'Kategorisering af kcal'!$A$1:$E$1,0),FALSE),HLOOKUP(F120,Græsprotein!$C$2:$E$8,7))),'Produktion &amp; forbrug'!AC120)</f>
        <v>546016.67711508065</v>
      </c>
      <c r="AF120" s="94">
        <f t="shared" si="24"/>
        <v>0</v>
      </c>
      <c r="AG120">
        <f>IF(AC120&lt;0,AD120,G120*E120*10000*VLOOKUP(A120,[1]kcal!$A$2:$C$49,3,FALSE)/1000000000000*IFERROR(VLOOKUP(A120,'Kategorisering af kcal'!$A$2:$E$18,MATCH('Produktion &amp; forbrug'!F120,'Kategorisering af kcal'!$A$1:$E$1,0),FALSE),0))</f>
        <v>0</v>
      </c>
      <c r="AH120">
        <f>AE120*IFERROR(VLOOKUP(A120,[1]Tørstofindhold!A$2:B$25,2,FALSE),0)</f>
        <v>0</v>
      </c>
      <c r="AI120">
        <f>K120*IFERROR(VLOOKUP(A120,[1]Tørstofindhold!A$2:B$25,2,FALSE),0)</f>
        <v>0</v>
      </c>
    </row>
    <row r="121" spans="1:35" hidden="1" x14ac:dyDescent="0.25">
      <c r="A121" s="171" t="str">
        <f t="shared" si="28"/>
        <v>Kartofler</v>
      </c>
      <c r="B121" s="171" t="str">
        <f t="shared" si="29"/>
        <v/>
      </c>
      <c r="C121" s="171" t="str">
        <f>IFERROR(VLOOKUP(A121,'Kategorisering af kcal'!$A$2:$B$18,2,FALSE),"")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30"/>
        <v>1</v>
      </c>
      <c r="F121" s="171">
        <f t="shared" si="25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3299462.6181114498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0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8"/>
        <v>3299462.6181114498</v>
      </c>
      <c r="P121" s="94">
        <f t="shared" si="19"/>
        <v>0</v>
      </c>
      <c r="Q121" s="180">
        <f t="shared" si="20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1"/>
        <v>0</v>
      </c>
      <c r="V121" s="169">
        <f>P121*IFERROR(VLOOKUP(A121,[1]Tørstofindhold!A$2:B$25,2,FALSE),0)</f>
        <v>0</v>
      </c>
      <c r="W121">
        <f>IF(F121=År1,Q121,SUM(P121,Q121))*IFERROR(VLOOKUP(A121,[1]Tørstofindhold!A$2:B$25,2,FALSE),0)</f>
        <v>0</v>
      </c>
      <c r="X121">
        <f>K121*IFERROR(VLOOKUP(A121,[1]Tørstofindhold!A$2:B$25,2,FALSE),0)</f>
        <v>0</v>
      </c>
      <c r="Y121" s="170">
        <f t="shared" si="22"/>
        <v>0</v>
      </c>
      <c r="Z121">
        <f t="shared" si="26"/>
        <v>0</v>
      </c>
      <c r="AA121">
        <f t="shared" si="27"/>
        <v>1</v>
      </c>
      <c r="AC121" s="94">
        <f t="shared" si="23"/>
        <v>3299462.6181114498</v>
      </c>
      <c r="AD121">
        <f>AC121*E121*10000*VLOOKUP(A121,[1]kcal!$A$2:$C$49,3,FALSE)/1000000000000*IFERROR(VLOOKUP(A121,'Kategorisering af kcal'!$A$2:$E$18,MATCH('Produktion &amp; forbrug'!F121,'Kategorisering af kcal'!$A$1:$E$1,0),FALSE),0)</f>
        <v>2.5735808421269306</v>
      </c>
      <c r="AE121">
        <f>IF(C121&lt;&gt;"",AC121*(1-IF(A121&lt;&gt;"Græs",VLOOKUP(A121,'Kategorisering af kcal'!$A$2:$E$18,MATCH('Produktion &amp; forbrug'!F121,'Kategorisering af kcal'!$A$1:$E$1,0),FALSE),HLOOKUP(F121,Græsprotein!$C$2:$E$8,7))),'Produktion &amp; forbrug'!AC121)</f>
        <v>0</v>
      </c>
      <c r="AF121" s="94">
        <f t="shared" si="24"/>
        <v>3299462.6181114498</v>
      </c>
      <c r="AG121">
        <f>IF(AC121&lt;0,AD121,G121*E121*10000*VLOOKUP(A121,[1]kcal!$A$2:$C$49,3,FALSE)/1000000000000*IFERROR(VLOOKUP(A121,'Kategorisering af kcal'!$A$2:$E$18,MATCH('Produktion &amp; forbrug'!F121,'Kategorisering af kcal'!$A$1:$E$1,0),FALSE),0))</f>
        <v>2.5735808421269306</v>
      </c>
      <c r="AH121">
        <f>AE121*IFERROR(VLOOKUP(A121,[1]Tørstofindhold!A$2:B$25,2,FALSE),0)</f>
        <v>0</v>
      </c>
      <c r="AI121">
        <f>K121*IFERROR(VLOOKUP(A121,[1]Tørstofindhold!A$2:B$25,2,FALSE),0)</f>
        <v>0</v>
      </c>
    </row>
    <row r="122" spans="1:35" hidden="1" x14ac:dyDescent="0.25">
      <c r="A122" s="171" t="str">
        <f t="shared" si="28"/>
        <v>Korn</v>
      </c>
      <c r="B122" s="171" t="str">
        <f t="shared" si="29"/>
        <v>Halm og strå</v>
      </c>
      <c r="C122" s="171" t="str">
        <f>IFERROR(VLOOKUP(A122,'Kategorisering af kcal'!$A$2:$B$18,2,FALSE),"")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30"/>
        <v>1</v>
      </c>
      <c r="F122" s="171">
        <f t="shared" si="25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615841.59881012666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139661.10799021259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0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8"/>
        <v>476180.49081991403</v>
      </c>
      <c r="P122" s="94">
        <f t="shared" si="19"/>
        <v>476180.49081991403</v>
      </c>
      <c r="Q122" s="180">
        <f t="shared" si="20"/>
        <v>0</v>
      </c>
      <c r="R122">
        <f>IFERROR(VLOOKUP(A122,[1]Energiindhold!$A$2:$C$11,3,FALSE),IFERROR(VLOOKUP(A122,[1]Biogasudbytte!$A$2:$B$18,2,FALSE)*[1]Energiindhold!$C$10,0))*P122</f>
        <v>1.6308515157894912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1.6308515157894912</v>
      </c>
      <c r="T122">
        <f>IFERROR(VLOOKUP(A122,[1]Biogasudbytte!$A$2:$B$18,2,FALSE)*[1]Energiindhold!$C$10,0)*K122*IFERROR(VLOOKUP(A122,Biogasanlæg!$F$3:$G$8,2,FALSE),1)</f>
        <v>0</v>
      </c>
      <c r="U122" s="170">
        <f t="shared" si="21"/>
        <v>1.6308515157894912</v>
      </c>
      <c r="V122" s="169">
        <f>P122*IFERROR(VLOOKUP(A122,[1]Tørstofindhold!A$2:B$25,2,FALSE),0)</f>
        <v>147615.95215417334</v>
      </c>
      <c r="W122">
        <f>IF(F122=År1,Q122,SUM(P122,Q122))*IFERROR(VLOOKUP(A122,[1]Tørstofindhold!A$2:B$25,2,FALSE),0)</f>
        <v>147615.95215417334</v>
      </c>
      <c r="X122">
        <f>K122*IFERROR(VLOOKUP(A122,[1]Tørstofindhold!A$2:B$25,2,FALSE),0)</f>
        <v>0</v>
      </c>
      <c r="Y122" s="170">
        <f t="shared" si="22"/>
        <v>147615.95215417334</v>
      </c>
      <c r="Z122">
        <f t="shared" si="26"/>
        <v>0</v>
      </c>
      <c r="AA122">
        <f t="shared" si="27"/>
        <v>1</v>
      </c>
      <c r="AC122" s="94">
        <f t="shared" si="23"/>
        <v>476180.49081991403</v>
      </c>
      <c r="AD122">
        <f>AC122*E122*10000*VLOOKUP(A122,[1]kcal!$A$2:$C$49,3,FALSE)/1000000000000*IFERROR(VLOOKUP(A122,'Kategorisering af kcal'!$A$2:$E$18,MATCH('Produktion &amp; forbrug'!F122,'Kategorisering af kcal'!$A$1:$E$1,0),FALSE),0)</f>
        <v>1.1067095913992129</v>
      </c>
      <c r="AE122">
        <f>IF(C122&lt;&gt;"",AC122*(1-IF(A122&lt;&gt;"Græs",VLOOKUP(A122,'Kategorisering af kcal'!$A$2:$E$18,MATCH('Produktion &amp; forbrug'!F122,'Kategorisering af kcal'!$A$1:$E$1,0),FALSE),HLOOKUP(F122,Græsprotein!$C$2:$E$8,7))),'Produktion &amp; forbrug'!AC122)</f>
        <v>0</v>
      </c>
      <c r="AF122" s="94">
        <f t="shared" si="24"/>
        <v>476180.49081991403</v>
      </c>
      <c r="AG122">
        <f>IF(AC122&lt;0,AD122,G122*E122*10000*VLOOKUP(A122,[1]kcal!$A$2:$C$49,3,FALSE)/1000000000000*IFERROR(VLOOKUP(A122,'Kategorisering af kcal'!$A$2:$E$18,MATCH('Produktion &amp; forbrug'!F122,'Kategorisering af kcal'!$A$1:$E$1,0),FALSE),0))</f>
        <v>1.4313014021474275</v>
      </c>
      <c r="AH122">
        <f>AE122*IFERROR(VLOOKUP(A122,[1]Tørstofindhold!A$2:B$25,2,FALSE),0)</f>
        <v>0</v>
      </c>
      <c r="AI122">
        <f>K122*IFERROR(VLOOKUP(A122,[1]Tørstofindhold!A$2:B$25,2,FALSE),0)</f>
        <v>0</v>
      </c>
    </row>
    <row r="123" spans="1:35" hidden="1" x14ac:dyDescent="0.25">
      <c r="A123" s="171" t="str">
        <f t="shared" si="28"/>
        <v>Kunstgødning</v>
      </c>
      <c r="B123" s="171" t="str">
        <f t="shared" si="29"/>
        <v/>
      </c>
      <c r="C123" s="171" t="str">
        <f>IFERROR(VLOOKUP(A123,'Kategorisering af kcal'!$A$2:$B$18,2,FALSE),"")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30"/>
        <v>0</v>
      </c>
      <c r="F123" s="171">
        <f t="shared" si="25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1372714.6087495531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8"/>
        <v>-1372714.6087495531</v>
      </c>
      <c r="P123" s="94">
        <f t="shared" si="19"/>
        <v>0</v>
      </c>
      <c r="Q123" s="180">
        <f t="shared" si="20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1"/>
        <v>0</v>
      </c>
      <c r="V123" s="169">
        <f>P123*IFERROR(VLOOKUP(A123,[1]Tørstofindhold!A$2:B$25,2,FALSE),0)</f>
        <v>0</v>
      </c>
      <c r="W123">
        <f>IF(F123=År1,Q123,SUM(P123,Q123))*IFERROR(VLOOKUP(A123,[1]Tørstofindhold!A$2:B$25,2,FALSE),0)</f>
        <v>0</v>
      </c>
      <c r="X123">
        <f>K123*IFERROR(VLOOKUP(A123,[1]Tørstofindhold!A$2:B$25,2,FALSE),0)</f>
        <v>0</v>
      </c>
      <c r="Y123" s="170">
        <f t="shared" si="22"/>
        <v>0</v>
      </c>
      <c r="Z123">
        <f t="shared" ca="1" si="26"/>
        <v>1</v>
      </c>
      <c r="AA123">
        <f t="shared" ca="1" si="27"/>
        <v>0</v>
      </c>
      <c r="AC123" s="94">
        <f t="shared" ca="1" si="23"/>
        <v>0</v>
      </c>
      <c r="AD123">
        <f ca="1">AC123*E123*10000*VLOOKUP(A123,[1]kcal!$A$2:$C$49,3,FALSE)/1000000000000*IFERROR(VLOOKUP(A123,'Kategorisering af kcal'!$A$2:$E$18,MATCH('Produktion &amp; forbrug'!F123,'Kategorisering af kcal'!$A$1:$E$1,0),FALSE),0)</f>
        <v>0</v>
      </c>
      <c r="AE123">
        <f ca="1">IF(C123&lt;&gt;"",AC123*(1-IF(A123&lt;&gt;"Græs",VLOOKUP(A123,'Kategorisering af kcal'!$A$2:$E$18,MATCH('Produktion &amp; forbrug'!F123,'Kategorisering af kcal'!$A$1:$E$1,0),FALSE),HLOOKUP(F123,Græsprotein!$C$2:$E$8,7))),'Produktion &amp; forbrug'!AC123)</f>
        <v>0</v>
      </c>
      <c r="AF123" s="94">
        <f t="shared" ca="1" si="24"/>
        <v>0</v>
      </c>
      <c r="AG123">
        <f ca="1">IF(AC123&lt;0,AD123,G123*E123*10000*VLOOKUP(A123,[1]kcal!$A$2:$C$49,3,FALSE)/1000000000000*IFERROR(VLOOKUP(A123,'Kategorisering af kcal'!$A$2:$E$18,MATCH('Produktion &amp; forbrug'!F123,'Kategorisering af kcal'!$A$1:$E$1,0),FALSE),0))</f>
        <v>0</v>
      </c>
      <c r="AH123">
        <f ca="1">AE123*IFERROR(VLOOKUP(A123,[1]Tørstofindhold!A$2:B$25,2,FALSE),0)</f>
        <v>0</v>
      </c>
      <c r="AI123">
        <f>K123*IFERROR(VLOOKUP(A123,[1]Tørstofindhold!A$2:B$25,2,FALSE),0)</f>
        <v>0</v>
      </c>
    </row>
    <row r="124" spans="1:35" hidden="1" x14ac:dyDescent="0.25">
      <c r="A124" s="171" t="str">
        <f t="shared" si="28"/>
        <v>Kvæggylle</v>
      </c>
      <c r="B124" s="171" t="str">
        <f t="shared" si="29"/>
        <v>Husdyrgødning</v>
      </c>
      <c r="C124" s="171" t="str">
        <f>IFERROR(VLOOKUP(A124,'Kategorisering af kcal'!$A$2:$B$18,2,FALSE),"")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30"/>
        <v>0</v>
      </c>
      <c r="F124" s="171">
        <f t="shared" si="25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73630.792601451292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0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7363.0792601451285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8"/>
        <v>66267.713341306167</v>
      </c>
      <c r="P124" s="94">
        <f t="shared" si="19"/>
        <v>66267.713341306167</v>
      </c>
      <c r="Q124" s="180">
        <f t="shared" si="20"/>
        <v>0</v>
      </c>
      <c r="R124">
        <f>IFERROR(VLOOKUP(A124,[1]Energiindhold!$A$2:$C$11,3,FALSE),IFERROR(VLOOKUP(A124,[1]Biogasudbytte!$A$2:$B$18,2,FALSE)*[1]Energiindhold!$C$10,0))*P124</f>
        <v>3.3544053816235771E-2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3.3544053816235771E-2</v>
      </c>
      <c r="T124">
        <f>IFERROR(VLOOKUP(A124,[1]Biogasudbytte!$A$2:$B$18,2,FALSE)*[1]Energiindhold!$C$10,0)*K124*IFERROR(VLOOKUP(A124,Biogasanlæg!$F$3:$G$8,2,FALSE),1)</f>
        <v>0</v>
      </c>
      <c r="U124" s="170">
        <f t="shared" si="21"/>
        <v>3.3544053816235771E-2</v>
      </c>
      <c r="V124" s="169">
        <f>P124*IFERROR(VLOOKUP(A124,[1]Tørstofindhold!A$2:B$25,2,FALSE),0)</f>
        <v>5036.3462139392686</v>
      </c>
      <c r="W124">
        <f>IF(F124=År1,Q124,SUM(P124,Q124))*IFERROR(VLOOKUP(A124,[1]Tørstofindhold!A$2:B$25,2,FALSE),0)</f>
        <v>5036.3462139392686</v>
      </c>
      <c r="X124">
        <f>K124*IFERROR(VLOOKUP(A124,[1]Tørstofindhold!A$2:B$25,2,FALSE),0)</f>
        <v>0</v>
      </c>
      <c r="Y124" s="170">
        <f t="shared" si="22"/>
        <v>5036.3462139392686</v>
      </c>
      <c r="Z124">
        <f t="shared" si="26"/>
        <v>0</v>
      </c>
      <c r="AA124">
        <f t="shared" si="27"/>
        <v>1</v>
      </c>
      <c r="AC124" s="94">
        <f t="shared" si="23"/>
        <v>73630.792601451292</v>
      </c>
      <c r="AD124">
        <f>AC124*E124*10000*VLOOKUP(A124,[1]kcal!$A$2:$C$49,3,FALSE)/1000000000000*IFERROR(VLOOKUP(A124,'Kategorisering af kcal'!$A$2:$E$18,MATCH('Produktion &amp; forbrug'!F124,'Kategorisering af kcal'!$A$1:$E$1,0),FALSE),0)</f>
        <v>0</v>
      </c>
      <c r="AE124">
        <f>IF(C124&lt;&gt;"",AC124*(1-IF(A124&lt;&gt;"Græs",VLOOKUP(A124,'Kategorisering af kcal'!$A$2:$E$18,MATCH('Produktion &amp; forbrug'!F124,'Kategorisering af kcal'!$A$1:$E$1,0),FALSE),HLOOKUP(F124,Græsprotein!$C$2:$E$8,7))),'Produktion &amp; forbrug'!AC124)</f>
        <v>73630.792601451292</v>
      </c>
      <c r="AF124" s="94">
        <f t="shared" si="24"/>
        <v>0</v>
      </c>
      <c r="AG124">
        <f>IF(AC124&lt;0,AD124,G124*E124*10000*VLOOKUP(A124,[1]kcal!$A$2:$C$49,3,FALSE)/1000000000000*IFERROR(VLOOKUP(A124,'Kategorisering af kcal'!$A$2:$E$18,MATCH('Produktion &amp; forbrug'!F124,'Kategorisering af kcal'!$A$1:$E$1,0),FALSE),0))</f>
        <v>0</v>
      </c>
      <c r="AH124">
        <f>AE124*IFERROR(VLOOKUP(A124,[1]Tørstofindhold!A$2:B$25,2,FALSE),0)</f>
        <v>5595.9402377102979</v>
      </c>
      <c r="AI124">
        <f>K124*IFERROR(VLOOKUP(A124,[1]Tørstofindhold!A$2:B$25,2,FALSE),0)</f>
        <v>0</v>
      </c>
    </row>
    <row r="125" spans="1:35" hidden="1" x14ac:dyDescent="0.25">
      <c r="A125" s="171" t="str">
        <f t="shared" si="28"/>
        <v>Mælk til foder</v>
      </c>
      <c r="B125" s="171" t="str">
        <f t="shared" si="29"/>
        <v/>
      </c>
      <c r="C125" s="171" t="str">
        <f>IFERROR(VLOOKUP(A125,'Kategorisering af kcal'!$A$2:$B$18,2,FALSE),"")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30"/>
        <v>0</v>
      </c>
      <c r="F125" s="171">
        <f t="shared" si="25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0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0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8"/>
        <v>0</v>
      </c>
      <c r="P125" s="94">
        <f t="shared" si="19"/>
        <v>0</v>
      </c>
      <c r="Q125" s="180">
        <f t="shared" si="20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1"/>
        <v>0</v>
      </c>
      <c r="V125" s="169">
        <f>P125*IFERROR(VLOOKUP(A125,[1]Tørstofindhold!A$2:B$25,2,FALSE),0)</f>
        <v>0</v>
      </c>
      <c r="W125">
        <f>IF(F125=År1,Q125,SUM(P125,Q125))*IFERROR(VLOOKUP(A125,[1]Tørstofindhold!A$2:B$25,2,FALSE),0)</f>
        <v>0</v>
      </c>
      <c r="X125">
        <f>K125*IFERROR(VLOOKUP(A125,[1]Tørstofindhold!A$2:B$25,2,FALSE),0)</f>
        <v>0</v>
      </c>
      <c r="Y125" s="170">
        <f t="shared" si="22"/>
        <v>0</v>
      </c>
      <c r="Z125">
        <f t="shared" si="26"/>
        <v>0</v>
      </c>
      <c r="AA125">
        <f t="shared" si="27"/>
        <v>0</v>
      </c>
      <c r="AC125" s="94">
        <f t="shared" si="23"/>
        <v>0</v>
      </c>
      <c r="AD125">
        <f>AC125*E125*10000*VLOOKUP(A125,[1]kcal!$A$2:$C$49,3,FALSE)/1000000000000*IFERROR(VLOOKUP(A125,'Kategorisering af kcal'!$A$2:$E$18,MATCH('Produktion &amp; forbrug'!F125,'Kategorisering af kcal'!$A$1:$E$1,0),FALSE),0)</f>
        <v>0</v>
      </c>
      <c r="AE125">
        <f>IF(C125&lt;&gt;"",AC125*(1-IF(A125&lt;&gt;"Græs",VLOOKUP(A125,'Kategorisering af kcal'!$A$2:$E$18,MATCH('Produktion &amp; forbrug'!F125,'Kategorisering af kcal'!$A$1:$E$1,0),FALSE),HLOOKUP(F125,Græsprotein!$C$2:$E$8,7))),'Produktion &amp; forbrug'!AC125)</f>
        <v>0</v>
      </c>
      <c r="AF125" s="94">
        <f t="shared" si="24"/>
        <v>0</v>
      </c>
      <c r="AG125">
        <f>IF(AC125&lt;0,AD125,G125*E125*10000*VLOOKUP(A125,[1]kcal!$A$2:$C$49,3,FALSE)/1000000000000*IFERROR(VLOOKUP(A125,'Kategorisering af kcal'!$A$2:$E$18,MATCH('Produktion &amp; forbrug'!F125,'Kategorisering af kcal'!$A$1:$E$1,0),FALSE),0))</f>
        <v>0</v>
      </c>
      <c r="AH125">
        <f>AE125*IFERROR(VLOOKUP(A125,[1]Tørstofindhold!A$2:B$25,2,FALSE),0)</f>
        <v>0</v>
      </c>
      <c r="AI125">
        <f>K125*IFERROR(VLOOKUP(A125,[1]Tørstofindhold!A$2:B$25,2,FALSE),0)</f>
        <v>0</v>
      </c>
    </row>
    <row r="126" spans="1:35" hidden="1" x14ac:dyDescent="0.25">
      <c r="A126" s="171" t="str">
        <f t="shared" si="28"/>
        <v>Majs</v>
      </c>
      <c r="B126" s="171" t="str">
        <f t="shared" si="29"/>
        <v>Anden grøn biomasse</v>
      </c>
      <c r="C126" s="171" t="str">
        <f>IFERROR(VLOOKUP(A126,'Kategorisering af kcal'!$A$2:$B$18,2,FALSE),"")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30"/>
        <v>1</v>
      </c>
      <c r="F126" s="171">
        <f t="shared" si="25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579997.66352313058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536071.08053741162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8"/>
        <v>43926.582985718967</v>
      </c>
      <c r="P126" s="94">
        <f t="shared" si="19"/>
        <v>43926.582985718967</v>
      </c>
      <c r="Q126" s="180">
        <f t="shared" si="20"/>
        <v>0</v>
      </c>
      <c r="R126">
        <f>IFERROR(VLOOKUP(A126,[1]Energiindhold!$A$2:$C$11,3,FALSE),IFERROR(VLOOKUP(A126,[1]Biogasudbytte!$A$2:$B$18,2,FALSE)*[1]Energiindhold!$C$10,0))*P126</f>
        <v>0.15769643291873112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0.15769643291873112</v>
      </c>
      <c r="T126">
        <f>IFERROR(VLOOKUP(A126,[1]Biogasudbytte!$A$2:$B$18,2,FALSE)*[1]Energiindhold!$C$10,0)*K126*IFERROR(VLOOKUP(A126,Biogasanlæg!$F$3:$G$8,2,FALSE),1)</f>
        <v>0</v>
      </c>
      <c r="U126" s="170">
        <f t="shared" si="21"/>
        <v>0.15769643291873112</v>
      </c>
      <c r="V126" s="169">
        <f>P126*IFERROR(VLOOKUP(A126,[1]Tørstofindhold!A$2:B$25,2,FALSE),0)</f>
        <v>13177.97489571569</v>
      </c>
      <c r="W126">
        <f>IF(F126=År1,Q126,SUM(P126,Q126))*IFERROR(VLOOKUP(A126,[1]Tørstofindhold!A$2:B$25,2,FALSE),0)</f>
        <v>13177.97489571569</v>
      </c>
      <c r="X126">
        <f>K126*IFERROR(VLOOKUP(A126,[1]Tørstofindhold!A$2:B$25,2,FALSE),0)</f>
        <v>0</v>
      </c>
      <c r="Y126" s="170">
        <f t="shared" si="22"/>
        <v>13177.97489571569</v>
      </c>
      <c r="Z126">
        <f t="shared" si="26"/>
        <v>0</v>
      </c>
      <c r="AA126">
        <f t="shared" si="27"/>
        <v>1</v>
      </c>
      <c r="AC126" s="94">
        <f t="shared" si="23"/>
        <v>43926.582985718967</v>
      </c>
      <c r="AD126">
        <f>AC126*E126*10000*VLOOKUP(A126,[1]kcal!$A$2:$C$49,3,FALSE)/1000000000000*IFERROR(VLOOKUP(A126,'Kategorisering af kcal'!$A$2:$E$18,MATCH('Produktion &amp; forbrug'!F126,'Kategorisering af kcal'!$A$1:$E$1,0),FALSE),0)</f>
        <v>3.9973190517004258E-2</v>
      </c>
      <c r="AE126">
        <f>IF(C126&lt;&gt;"",AC126*(1-IF(A126&lt;&gt;"Græs",VLOOKUP(A126,'Kategorisering af kcal'!$A$2:$E$18,MATCH('Produktion &amp; forbrug'!F126,'Kategorisering af kcal'!$A$1:$E$1,0),FALSE),HLOOKUP(F126,Græsprotein!$C$2:$E$8,7))),'Produktion &amp; forbrug'!AC126)</f>
        <v>0</v>
      </c>
      <c r="AF126" s="94">
        <f t="shared" si="24"/>
        <v>43926.582985718967</v>
      </c>
      <c r="AG126">
        <f>IF(AC126&lt;0,AD126,G126*E126*10000*VLOOKUP(A126,[1]kcal!$A$2:$C$49,3,FALSE)/1000000000000*IFERROR(VLOOKUP(A126,'Kategorisering af kcal'!$A$2:$E$18,MATCH('Produktion &amp; forbrug'!F126,'Kategorisering af kcal'!$A$1:$E$1,0),FALSE),0))</f>
        <v>0.52779787380604881</v>
      </c>
      <c r="AH126">
        <f>AE126*IFERROR(VLOOKUP(A126,[1]Tørstofindhold!A$2:B$25,2,FALSE),0)</f>
        <v>0</v>
      </c>
      <c r="AI126">
        <f>K126*IFERROR(VLOOKUP(A126,[1]Tørstofindhold!A$2:B$25,2,FALSE),0)</f>
        <v>0</v>
      </c>
    </row>
    <row r="127" spans="1:35" hidden="1" x14ac:dyDescent="0.25">
      <c r="A127" s="171" t="str">
        <f t="shared" si="28"/>
        <v>Mejeriprodukter</v>
      </c>
      <c r="B127" s="171" t="str">
        <f t="shared" si="29"/>
        <v/>
      </c>
      <c r="C127" s="171" t="str">
        <f>IFERROR(VLOOKUP(A127,'Kategorisering af kcal'!$A$2:$B$18,2,FALSE),"")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30"/>
        <v>1</v>
      </c>
      <c r="F127" s="171">
        <f t="shared" si="25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0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0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8"/>
        <v>0</v>
      </c>
      <c r="P127" s="94">
        <f t="shared" si="19"/>
        <v>0</v>
      </c>
      <c r="Q127" s="180">
        <f t="shared" si="20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1"/>
        <v>0</v>
      </c>
      <c r="V127" s="169">
        <f>P127*IFERROR(VLOOKUP(A127,[1]Tørstofindhold!A$2:B$25,2,FALSE),0)</f>
        <v>0</v>
      </c>
      <c r="W127">
        <f>IF(F127=År1,Q127,SUM(P127,Q127))*IFERROR(VLOOKUP(A127,[1]Tørstofindhold!A$2:B$25,2,FALSE),0)</f>
        <v>0</v>
      </c>
      <c r="X127">
        <f>K127*IFERROR(VLOOKUP(A127,[1]Tørstofindhold!A$2:B$25,2,FALSE),0)</f>
        <v>0</v>
      </c>
      <c r="Y127" s="170">
        <f t="shared" si="22"/>
        <v>0</v>
      </c>
      <c r="Z127">
        <f t="shared" si="26"/>
        <v>0</v>
      </c>
      <c r="AA127">
        <f t="shared" si="27"/>
        <v>0</v>
      </c>
      <c r="AC127" s="94">
        <f t="shared" si="23"/>
        <v>0</v>
      </c>
      <c r="AD127">
        <f>AC127*E127*10000*VLOOKUP(A127,[1]kcal!$A$2:$C$49,3,FALSE)/1000000000000*IFERROR(VLOOKUP(A127,'Kategorisering af kcal'!$A$2:$E$18,MATCH('Produktion &amp; forbrug'!F127,'Kategorisering af kcal'!$A$1:$E$1,0),FALSE),0)</f>
        <v>0</v>
      </c>
      <c r="AE127">
        <f>IF(C127&lt;&gt;"",AC127*(1-IF(A127&lt;&gt;"Græs",VLOOKUP(A127,'Kategorisering af kcal'!$A$2:$E$18,MATCH('Produktion &amp; forbrug'!F127,'Kategorisering af kcal'!$A$1:$E$1,0),FALSE),HLOOKUP(F127,Græsprotein!$C$2:$E$8,7))),'Produktion &amp; forbrug'!AC127)</f>
        <v>0</v>
      </c>
      <c r="AF127" s="94">
        <f t="shared" si="24"/>
        <v>0</v>
      </c>
      <c r="AG127">
        <f>IF(AC127&lt;0,AD127,G127*E127*10000*VLOOKUP(A127,[1]kcal!$A$2:$C$49,3,FALSE)/1000000000000*IFERROR(VLOOKUP(A127,'Kategorisering af kcal'!$A$2:$E$18,MATCH('Produktion &amp; forbrug'!F127,'Kategorisering af kcal'!$A$1:$E$1,0),FALSE),0))</f>
        <v>0</v>
      </c>
      <c r="AH127">
        <f>AE127*IFERROR(VLOOKUP(A127,[1]Tørstofindhold!A$2:B$25,2,FALSE),0)</f>
        <v>0</v>
      </c>
      <c r="AI127">
        <f>K127*IFERROR(VLOOKUP(A127,[1]Tørstofindhold!A$2:B$25,2,FALSE),0)</f>
        <v>0</v>
      </c>
    </row>
    <row r="128" spans="1:35" hidden="1" x14ac:dyDescent="0.25">
      <c r="A128" s="171" t="str">
        <f t="shared" si="28"/>
        <v>Muslinger</v>
      </c>
      <c r="B128" s="171" t="str">
        <f t="shared" si="29"/>
        <v>Havbiomasse</v>
      </c>
      <c r="C128" s="171" t="str">
        <f>IFERROR(VLOOKUP(A128,'Kategorisering af kcal'!$A$2:$B$18,2,FALSE),"")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30"/>
        <v>1</v>
      </c>
      <c r="F128" s="171">
        <f t="shared" si="25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8"/>
        <v>880.09999999999991</v>
      </c>
      <c r="P128" s="94">
        <f t="shared" si="19"/>
        <v>880.09999999999991</v>
      </c>
      <c r="Q128" s="180">
        <f t="shared" si="20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1"/>
        <v>7.8988975000000004E-4</v>
      </c>
      <c r="V128" s="169">
        <f>P128*IFERROR(VLOOKUP(A128,[1]Tørstofindhold!A$2:B$25,2,FALSE),0)</f>
        <v>132.01499999999999</v>
      </c>
      <c r="W128">
        <f>IF(F128=År1,Q128,SUM(P128,Q128))*IFERROR(VLOOKUP(A128,[1]Tørstofindhold!A$2:B$25,2,FALSE),0)</f>
        <v>132.01499999999999</v>
      </c>
      <c r="X128">
        <f>K128*IFERROR(VLOOKUP(A128,[1]Tørstofindhold!A$2:B$25,2,FALSE),0)</f>
        <v>0</v>
      </c>
      <c r="Y128" s="170">
        <f t="shared" si="22"/>
        <v>132.01499999999999</v>
      </c>
      <c r="Z128">
        <f t="shared" si="26"/>
        <v>0</v>
      </c>
      <c r="AA128">
        <f t="shared" si="27"/>
        <v>1</v>
      </c>
      <c r="AC128" s="94">
        <f t="shared" si="23"/>
        <v>880.09999999999991</v>
      </c>
      <c r="AD128">
        <f>AC128*E128*10000*VLOOKUP(A128,[1]kcal!$A$2:$C$49,3,FALSE)/1000000000000*IFERROR(VLOOKUP(A128,'Kategorisering af kcal'!$A$2:$E$18,MATCH('Produktion &amp; forbrug'!F128,'Kategorisering af kcal'!$A$1:$E$1,0),FALSE),0)</f>
        <v>7.3048299999999998E-4</v>
      </c>
      <c r="AE128">
        <f>IF(C128&lt;&gt;"",AC128*(1-IF(A128&lt;&gt;"Græs",VLOOKUP(A128,'Kategorisering af kcal'!$A$2:$E$18,MATCH('Produktion &amp; forbrug'!F128,'Kategorisering af kcal'!$A$1:$E$1,0),FALSE),HLOOKUP(F128,Græsprotein!$C$2:$E$8,7))),'Produktion &amp; forbrug'!AC128)</f>
        <v>0</v>
      </c>
      <c r="AF128" s="94">
        <f t="shared" si="24"/>
        <v>880.09999999999991</v>
      </c>
      <c r="AG128">
        <f>IF(AC128&lt;0,AD128,G128*E128*10000*VLOOKUP(A128,[1]kcal!$A$2:$C$49,3,FALSE)/1000000000000*IFERROR(VLOOKUP(A128,'Kategorisering af kcal'!$A$2:$E$18,MATCH('Produktion &amp; forbrug'!F128,'Kategorisering af kcal'!$A$1:$E$1,0),FALSE),0))</f>
        <v>7.3048299999999998E-4</v>
      </c>
      <c r="AH128">
        <f>AE128*IFERROR(VLOOKUP(A128,[1]Tørstofindhold!A$2:B$25,2,FALSE),0)</f>
        <v>0</v>
      </c>
      <c r="AI128">
        <f>K128*IFERROR(VLOOKUP(A128,[1]Tørstofindhold!A$2:B$25,2,FALSE),0)</f>
        <v>0</v>
      </c>
    </row>
    <row r="129" spans="1:35" hidden="1" x14ac:dyDescent="0.25">
      <c r="A129" s="171" t="str">
        <f t="shared" si="28"/>
        <v>Oksekød</v>
      </c>
      <c r="B129" s="171" t="str">
        <f t="shared" si="29"/>
        <v/>
      </c>
      <c r="C129" s="171" t="str">
        <f>IFERROR(VLOOKUP(A129,'Kategorisering af kcal'!$A$2:$B$18,2,FALSE),"")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30"/>
        <v>1</v>
      </c>
      <c r="F129" s="171">
        <f t="shared" si="25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4193.3637747548428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0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8"/>
        <v>4193.3637747548428</v>
      </c>
      <c r="P129" s="94">
        <f t="shared" si="19"/>
        <v>0</v>
      </c>
      <c r="Q129" s="180">
        <f t="shared" si="20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1"/>
        <v>0</v>
      </c>
      <c r="V129" s="169">
        <f>P129*IFERROR(VLOOKUP(A129,[1]Tørstofindhold!A$2:B$25,2,FALSE),0)</f>
        <v>0</v>
      </c>
      <c r="W129">
        <f>IF(F129=År1,Q129,SUM(P129,Q129))*IFERROR(VLOOKUP(A129,[1]Tørstofindhold!A$2:B$25,2,FALSE),0)</f>
        <v>0</v>
      </c>
      <c r="X129">
        <f>K129*IFERROR(VLOOKUP(A129,[1]Tørstofindhold!A$2:B$25,2,FALSE),0)</f>
        <v>0</v>
      </c>
      <c r="Y129" s="170">
        <f t="shared" si="22"/>
        <v>0</v>
      </c>
      <c r="Z129">
        <f t="shared" si="26"/>
        <v>0</v>
      </c>
      <c r="AA129">
        <f t="shared" si="27"/>
        <v>1</v>
      </c>
      <c r="AC129" s="94">
        <f t="shared" si="23"/>
        <v>4193.3637747548428</v>
      </c>
      <c r="AD129">
        <f>AC129*E129*10000*VLOOKUP(A129,[1]kcal!$A$2:$C$49,3,FALSE)/1000000000000*IFERROR(VLOOKUP(A129,'Kategorisering af kcal'!$A$2:$E$18,MATCH('Produktion &amp; forbrug'!F129,'Kategorisering af kcal'!$A$1:$E$1,0),FALSE),0)</f>
        <v>8.177059360771944E-3</v>
      </c>
      <c r="AE129">
        <f>IF(C129&lt;&gt;"",AC129*(1-IF(A129&lt;&gt;"Græs",VLOOKUP(A129,'Kategorisering af kcal'!$A$2:$E$18,MATCH('Produktion &amp; forbrug'!F129,'Kategorisering af kcal'!$A$1:$E$1,0),FALSE),HLOOKUP(F129,Græsprotein!$C$2:$E$8,7))),'Produktion &amp; forbrug'!AC129)</f>
        <v>0</v>
      </c>
      <c r="AF129" s="94">
        <f t="shared" si="24"/>
        <v>4193.3637747548428</v>
      </c>
      <c r="AG129">
        <f>IF(AC129&lt;0,AD129,G129*E129*10000*VLOOKUP(A129,[1]kcal!$A$2:$C$49,3,FALSE)/1000000000000*IFERROR(VLOOKUP(A129,'Kategorisering af kcal'!$A$2:$E$18,MATCH('Produktion &amp; forbrug'!F129,'Kategorisering af kcal'!$A$1:$E$1,0),FALSE),0))</f>
        <v>8.177059360771944E-3</v>
      </c>
      <c r="AH129">
        <f>AE129*IFERROR(VLOOKUP(A129,[1]Tørstofindhold!A$2:B$25,2,FALSE),0)</f>
        <v>0</v>
      </c>
      <c r="AI129">
        <f>K129*IFERROR(VLOOKUP(A129,[1]Tørstofindhold!A$2:B$25,2,FALSE),0)</f>
        <v>0</v>
      </c>
    </row>
    <row r="130" spans="1:35" hidden="1" x14ac:dyDescent="0.25">
      <c r="A130" s="171" t="str">
        <f t="shared" si="28"/>
        <v>Øvrige</v>
      </c>
      <c r="B130" s="171" t="str">
        <f t="shared" si="29"/>
        <v/>
      </c>
      <c r="C130" s="171" t="str">
        <f>IFERROR(VLOOKUP(A130,'Kategorisering af kcal'!$A$2:$B$18,2,FALSE),"")</f>
        <v/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30"/>
        <v>1</v>
      </c>
      <c r="F130" s="171">
        <f t="shared" si="25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128043.55885384713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8"/>
        <v>128043.55885384713</v>
      </c>
      <c r="P130" s="94">
        <f t="shared" si="19"/>
        <v>0</v>
      </c>
      <c r="Q130" s="180">
        <f t="shared" si="20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1"/>
        <v>0</v>
      </c>
      <c r="V130" s="169">
        <f>P130*IFERROR(VLOOKUP(A130,[1]Tørstofindhold!A$2:B$25,2,FALSE),0)</f>
        <v>0</v>
      </c>
      <c r="W130">
        <f>IF(F130=År1,Q130,SUM(P130,Q130))*IFERROR(VLOOKUP(A130,[1]Tørstofindhold!A$2:B$25,2,FALSE),0)</f>
        <v>0</v>
      </c>
      <c r="X130">
        <f>K130*IFERROR(VLOOKUP(A130,[1]Tørstofindhold!A$2:B$25,2,FALSE),0)</f>
        <v>0</v>
      </c>
      <c r="Y130" s="170">
        <f t="shared" si="22"/>
        <v>0</v>
      </c>
      <c r="Z130">
        <f t="shared" si="26"/>
        <v>0</v>
      </c>
      <c r="AA130">
        <f t="shared" si="27"/>
        <v>1</v>
      </c>
      <c r="AC130" s="94">
        <f t="shared" si="23"/>
        <v>128043.55885384713</v>
      </c>
      <c r="AD130">
        <f>AC130*E130*10000*VLOOKUP(A130,[1]kcal!$A$2:$C$49,3,FALSE)/1000000000000*IFERROR(VLOOKUP(A130,'Kategorisering af kcal'!$A$2:$E$18,MATCH('Produktion &amp; forbrug'!F130,'Kategorisering af kcal'!$A$1:$E$1,0),FALSE),0)</f>
        <v>0</v>
      </c>
      <c r="AE130">
        <f>IF(C130&lt;&gt;"",AC130*(1-IF(A130&lt;&gt;"Græs",VLOOKUP(A130,'Kategorisering af kcal'!$A$2:$E$18,MATCH('Produktion &amp; forbrug'!F130,'Kategorisering af kcal'!$A$1:$E$1,0),FALSE),HLOOKUP(F130,Græsprotein!$C$2:$E$8,7))),'Produktion &amp; forbrug'!AC130)</f>
        <v>128043.55885384713</v>
      </c>
      <c r="AF130" s="94">
        <f t="shared" si="24"/>
        <v>0</v>
      </c>
      <c r="AG130">
        <f>IF(AC130&lt;0,AD130,G130*E130*10000*VLOOKUP(A130,[1]kcal!$A$2:$C$49,3,FALSE)/1000000000000*IFERROR(VLOOKUP(A130,'Kategorisering af kcal'!$A$2:$E$18,MATCH('Produktion &amp; forbrug'!F130,'Kategorisering af kcal'!$A$1:$E$1,0),FALSE),0))</f>
        <v>0</v>
      </c>
      <c r="AH130">
        <f>AE130*IFERROR(VLOOKUP(A130,[1]Tørstofindhold!A$2:B$25,2,FALSE),0)</f>
        <v>0</v>
      </c>
      <c r="AI130">
        <f>K130*IFERROR(VLOOKUP(A130,[1]Tørstofindhold!A$2:B$25,2,FALSE),0)</f>
        <v>0</v>
      </c>
    </row>
    <row r="131" spans="1:35" hidden="1" x14ac:dyDescent="0.25">
      <c r="A131" s="171" t="str">
        <f t="shared" si="28"/>
        <v>Pil &amp; poppel</v>
      </c>
      <c r="B131" s="171" t="str">
        <f t="shared" si="29"/>
        <v>Vedmasse</v>
      </c>
      <c r="C131" s="171" t="str">
        <f>IFERROR(VLOOKUP(A131,'Kategorisering af kcal'!$A$2:$B$18,2,FALSE),"")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30"/>
        <v>0</v>
      </c>
      <c r="F131" s="171">
        <f t="shared" si="25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1857740.6365169021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1857740.6365169021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8"/>
        <v>0</v>
      </c>
      <c r="P131" s="94">
        <f t="shared" si="19"/>
        <v>0</v>
      </c>
      <c r="Q131" s="180">
        <f t="shared" si="20"/>
        <v>1857740.6365169021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34.182427711910989</v>
      </c>
      <c r="T131">
        <f>IFERROR(VLOOKUP(A131,[1]Biogasudbytte!$A$2:$B$18,2,FALSE)*[1]Energiindhold!$C$10,0)*K131*IFERROR(VLOOKUP(A131,Biogasanlæg!$F$3:$G$8,2,FALSE),1)</f>
        <v>0</v>
      </c>
      <c r="U131" s="170">
        <f t="shared" si="21"/>
        <v>34.182427711910989</v>
      </c>
      <c r="V131" s="169">
        <f>P131*IFERROR(VLOOKUP(A131,[1]Tørstofindhold!A$2:B$25,2,FALSE),0)</f>
        <v>0</v>
      </c>
      <c r="W131">
        <f>IF(F131=År1,Q131,SUM(P131,Q131))*IFERROR(VLOOKUP(A131,[1]Tørstofindhold!A$2:B$25,2,FALSE),0)</f>
        <v>770962.36415451451</v>
      </c>
      <c r="X131">
        <f>K131*IFERROR(VLOOKUP(A131,[1]Tørstofindhold!A$2:B$25,2,FALSE),0)</f>
        <v>0</v>
      </c>
      <c r="Y131" s="170">
        <f t="shared" si="22"/>
        <v>770962.36415451451</v>
      </c>
      <c r="Z131">
        <f t="shared" si="26"/>
        <v>0</v>
      </c>
      <c r="AA131">
        <f t="shared" si="27"/>
        <v>0</v>
      </c>
      <c r="AC131" s="94">
        <f t="shared" si="23"/>
        <v>1857740.6365169021</v>
      </c>
      <c r="AD131">
        <f>AC131*E131*10000*VLOOKUP(A131,[1]kcal!$A$2:$C$49,3,FALSE)/1000000000000*IFERROR(VLOOKUP(A131,'Kategorisering af kcal'!$A$2:$E$18,MATCH('Produktion &amp; forbrug'!F131,'Kategorisering af kcal'!$A$1:$E$1,0),FALSE),0)</f>
        <v>0</v>
      </c>
      <c r="AE131">
        <f>IF(C131&lt;&gt;"",AC131*(1-IF(A131&lt;&gt;"Græs",VLOOKUP(A131,'Kategorisering af kcal'!$A$2:$E$18,MATCH('Produktion &amp; forbrug'!F131,'Kategorisering af kcal'!$A$1:$E$1,0),FALSE),HLOOKUP(F131,Græsprotein!$C$2:$E$8,7))),'Produktion &amp; forbrug'!AC131)</f>
        <v>1857740.6365169021</v>
      </c>
      <c r="AF131" s="94">
        <f t="shared" si="24"/>
        <v>0</v>
      </c>
      <c r="AG131">
        <f>IF(AC131&lt;0,AD131,G131*E131*10000*VLOOKUP(A131,[1]kcal!$A$2:$C$49,3,FALSE)/1000000000000*IFERROR(VLOOKUP(A131,'Kategorisering af kcal'!$A$2:$E$18,MATCH('Produktion &amp; forbrug'!F131,'Kategorisering af kcal'!$A$1:$E$1,0),FALSE),0))</f>
        <v>0</v>
      </c>
      <c r="AH131">
        <f>AE131*IFERROR(VLOOKUP(A131,[1]Tørstofindhold!A$2:B$25,2,FALSE),0)</f>
        <v>770962.36415451451</v>
      </c>
      <c r="AI131">
        <f>K131*IFERROR(VLOOKUP(A131,[1]Tørstofindhold!A$2:B$25,2,FALSE),0)</f>
        <v>0</v>
      </c>
    </row>
    <row r="132" spans="1:35" hidden="1" x14ac:dyDescent="0.25">
      <c r="A132" s="171" t="str">
        <f t="shared" si="28"/>
        <v>Pyrolysegas</v>
      </c>
      <c r="B132" s="171" t="str">
        <f t="shared" si="29"/>
        <v>Pyrolyseprodukter</v>
      </c>
      <c r="C132" s="171" t="str">
        <f>IFERROR(VLOOKUP(A132,'Kategorisering af kcal'!$A$2:$B$18,2,FALSE),"")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30"/>
        <v>0</v>
      </c>
      <c r="F132" s="171">
        <f t="shared" si="25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8"/>
        <v>0</v>
      </c>
      <c r="P132" s="94">
        <f t="shared" si="19"/>
        <v>0</v>
      </c>
      <c r="Q132" s="180">
        <f t="shared" si="20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1"/>
        <v>0</v>
      </c>
      <c r="V132" s="169">
        <f>P132*IFERROR(VLOOKUP(A132,[1]Tørstofindhold!A$2:B$25,2,FALSE),0)</f>
        <v>0</v>
      </c>
      <c r="W132">
        <f>IF(F132=År1,Q132,SUM(P132,Q132))*IFERROR(VLOOKUP(A132,[1]Tørstofindhold!A$2:B$25,2,FALSE),0)</f>
        <v>0</v>
      </c>
      <c r="X132">
        <f>K132*IFERROR(VLOOKUP(A132,[1]Tørstofindhold!A$2:B$25,2,FALSE),0)</f>
        <v>0</v>
      </c>
      <c r="Y132" s="170">
        <f t="shared" si="22"/>
        <v>0</v>
      </c>
      <c r="Z132">
        <f t="shared" ref="Z132:Z147" si="31">IF(SUMIFS($O$4:$O$147,$A$4:$A$147,A132,$F$4:$F$147,F132)&lt;0,1,0)</f>
        <v>0</v>
      </c>
      <c r="AA132">
        <f t="shared" ref="AA132:AA147" si="32">IF(SUMIFS($O$4:$O$147,$A$4:$A$147,A132,$F$4:$F$147,F132)&gt;0,1,0)</f>
        <v>0</v>
      </c>
      <c r="AC132" s="94">
        <f t="shared" si="23"/>
        <v>0</v>
      </c>
      <c r="AD132">
        <f>AC132*E132*10000*VLOOKUP(A132,[1]kcal!$A$2:$C$49,3,FALSE)/1000000000000*IFERROR(VLOOKUP(A132,'Kategorisering af kcal'!$A$2:$E$18,MATCH('Produktion &amp; forbrug'!F132,'Kategorisering af kcal'!$A$1:$E$1,0),FALSE),0)</f>
        <v>0</v>
      </c>
      <c r="AE132">
        <f>IF(C132&lt;&gt;"",AC132*(1-IF(A132&lt;&gt;"Græs",VLOOKUP(A132,'Kategorisering af kcal'!$A$2:$E$18,MATCH('Produktion &amp; forbrug'!F132,'Kategorisering af kcal'!$A$1:$E$1,0),FALSE),HLOOKUP(F132,Græsprotein!$C$2:$E$8,7))),'Produktion &amp; forbrug'!AC132)</f>
        <v>0</v>
      </c>
      <c r="AF132" s="94">
        <f t="shared" si="24"/>
        <v>0</v>
      </c>
      <c r="AG132">
        <f>IF(AC132&lt;0,AD132,G132*E132*10000*VLOOKUP(A132,[1]kcal!$A$2:$C$49,3,FALSE)/1000000000000*IFERROR(VLOOKUP(A132,'Kategorisering af kcal'!$A$2:$E$18,MATCH('Produktion &amp; forbrug'!F132,'Kategorisering af kcal'!$A$1:$E$1,0),FALSE),0))</f>
        <v>0</v>
      </c>
      <c r="AH132">
        <f>AE132*IFERROR(VLOOKUP(A132,[1]Tørstofindhold!A$2:B$25,2,FALSE),0)</f>
        <v>0</v>
      </c>
      <c r="AI132">
        <f>K132*IFERROR(VLOOKUP(A132,[1]Tørstofindhold!A$2:B$25,2,FALSE),0)</f>
        <v>0</v>
      </c>
    </row>
    <row r="133" spans="1:35" hidden="1" x14ac:dyDescent="0.25">
      <c r="A133" s="171" t="str">
        <f t="shared" si="28"/>
        <v>Pyrolyseolie</v>
      </c>
      <c r="B133" s="171" t="str">
        <f t="shared" si="29"/>
        <v>Pyrolyseprodukter</v>
      </c>
      <c r="C133" s="171" t="str">
        <f>IFERROR(VLOOKUP(A133,'Kategorisering af kcal'!$A$2:$B$18,2,FALSE),"")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30"/>
        <v>0</v>
      </c>
      <c r="F133" s="171">
        <f t="shared" si="25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8"/>
        <v>0</v>
      </c>
      <c r="P133" s="94">
        <f t="shared" ref="P133:P147" si="33">IF(D133=1,MAX(O133,0),0)</f>
        <v>0</v>
      </c>
      <c r="Q133" s="180">
        <f t="shared" si="20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1"/>
        <v>0</v>
      </c>
      <c r="V133" s="169">
        <f>P133*IFERROR(VLOOKUP(A133,[1]Tørstofindhold!A$2:B$25,2,FALSE),0)</f>
        <v>0</v>
      </c>
      <c r="W133">
        <f>IF(F133=År1,Q133,SUM(P133,Q133))*IFERROR(VLOOKUP(A133,[1]Tørstofindhold!A$2:B$25,2,FALSE),0)</f>
        <v>0</v>
      </c>
      <c r="X133">
        <f>K133*IFERROR(VLOOKUP(A133,[1]Tørstofindhold!A$2:B$25,2,FALSE),0)</f>
        <v>0</v>
      </c>
      <c r="Y133" s="170">
        <f t="shared" si="22"/>
        <v>0</v>
      </c>
      <c r="Z133">
        <f t="shared" si="31"/>
        <v>0</v>
      </c>
      <c r="AA133">
        <f t="shared" si="32"/>
        <v>0</v>
      </c>
      <c r="AC133" s="94">
        <f t="shared" ref="AC133:AC147" si="34">G133-SUMPRODUCT($H$2:$N$2,H133:N133)</f>
        <v>0</v>
      </c>
      <c r="AD133">
        <f>AC133*E133*10000*VLOOKUP(A133,[1]kcal!$A$2:$C$49,3,FALSE)/1000000000000*IFERROR(VLOOKUP(A133,'Kategorisering af kcal'!$A$2:$E$18,MATCH('Produktion &amp; forbrug'!F133,'Kategorisering af kcal'!$A$1:$E$1,0),FALSE),0)</f>
        <v>0</v>
      </c>
      <c r="AE133">
        <f>IF(C133&lt;&gt;"",AC133*(1-IF(A133&lt;&gt;"Græs",VLOOKUP(A133,'Kategorisering af kcal'!$A$2:$E$18,MATCH('Produktion &amp; forbrug'!F133,'Kategorisering af kcal'!$A$1:$E$1,0),FALSE),HLOOKUP(F133,Græsprotein!$C$2:$E$8,7))),'Produktion &amp; forbrug'!AC133)</f>
        <v>0</v>
      </c>
      <c r="AF133" s="94">
        <f t="shared" ref="AF133:AF147" si="35">AC133-AE133</f>
        <v>0</v>
      </c>
      <c r="AG133">
        <f>IF(AC133&lt;0,AD133,G133*E133*10000*VLOOKUP(A133,[1]kcal!$A$2:$C$49,3,FALSE)/1000000000000*IFERROR(VLOOKUP(A133,'Kategorisering af kcal'!$A$2:$E$18,MATCH('Produktion &amp; forbrug'!F133,'Kategorisering af kcal'!$A$1:$E$1,0),FALSE),0))</f>
        <v>0</v>
      </c>
      <c r="AH133">
        <f>AE133*IFERROR(VLOOKUP(A133,[1]Tørstofindhold!A$2:B$25,2,FALSE),0)</f>
        <v>0</v>
      </c>
      <c r="AI133">
        <f>K133*IFERROR(VLOOKUP(A133,[1]Tørstofindhold!A$2:B$25,2,FALSE),0)</f>
        <v>0</v>
      </c>
    </row>
    <row r="134" spans="1:35" hidden="1" x14ac:dyDescent="0.25">
      <c r="A134" s="171" t="str">
        <f t="shared" si="28"/>
        <v>Råmælk</v>
      </c>
      <c r="B134" s="171" t="str">
        <f t="shared" si="29"/>
        <v/>
      </c>
      <c r="C134" s="171" t="str">
        <f>IFERROR(VLOOKUP(A134,'Kategorisering af kcal'!$A$2:$B$18,2,FALSE),"")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30"/>
        <v>0</v>
      </c>
      <c r="F134" s="171">
        <f t="shared" si="25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0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8"/>
        <v>0</v>
      </c>
      <c r="P134" s="94">
        <f t="shared" si="33"/>
        <v>0</v>
      </c>
      <c r="Q134" s="180">
        <f t="shared" si="20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1"/>
        <v>0</v>
      </c>
      <c r="V134" s="169">
        <f>P134*IFERROR(VLOOKUP(A134,[1]Tørstofindhold!A$2:B$25,2,FALSE),0)</f>
        <v>0</v>
      </c>
      <c r="W134">
        <f>IF(F134=År1,Q134,SUM(P134,Q134))*IFERROR(VLOOKUP(A134,[1]Tørstofindhold!A$2:B$25,2,FALSE),0)</f>
        <v>0</v>
      </c>
      <c r="X134">
        <f>K134*IFERROR(VLOOKUP(A134,[1]Tørstofindhold!A$2:B$25,2,FALSE),0)</f>
        <v>0</v>
      </c>
      <c r="Y134" s="170">
        <f t="shared" si="22"/>
        <v>0</v>
      </c>
      <c r="Z134">
        <f t="shared" si="31"/>
        <v>0</v>
      </c>
      <c r="AA134">
        <f t="shared" si="32"/>
        <v>0</v>
      </c>
      <c r="AC134" s="94">
        <f t="shared" si="34"/>
        <v>0</v>
      </c>
      <c r="AD134">
        <f>AC134*E134*10000*VLOOKUP(A134,[1]kcal!$A$2:$C$49,3,FALSE)/1000000000000*IFERROR(VLOOKUP(A134,'Kategorisering af kcal'!$A$2:$E$18,MATCH('Produktion &amp; forbrug'!F134,'Kategorisering af kcal'!$A$1:$E$1,0),FALSE),0)</f>
        <v>0</v>
      </c>
      <c r="AE134">
        <f>IF(C134&lt;&gt;"",AC134*(1-IF(A134&lt;&gt;"Græs",VLOOKUP(A134,'Kategorisering af kcal'!$A$2:$E$18,MATCH('Produktion &amp; forbrug'!F134,'Kategorisering af kcal'!$A$1:$E$1,0),FALSE),HLOOKUP(F134,Græsprotein!$C$2:$E$8,7))),'Produktion &amp; forbrug'!AC134)</f>
        <v>0</v>
      </c>
      <c r="AF134" s="94">
        <f t="shared" si="35"/>
        <v>0</v>
      </c>
      <c r="AG134">
        <f>IF(AC134&lt;0,AD134,G134*E134*10000*VLOOKUP(A134,[1]kcal!$A$2:$C$49,3,FALSE)/1000000000000*IFERROR(VLOOKUP(A134,'Kategorisering af kcal'!$A$2:$E$18,MATCH('Produktion &amp; forbrug'!F134,'Kategorisering af kcal'!$A$1:$E$1,0),FALSE),0))</f>
        <v>0</v>
      </c>
      <c r="AH134">
        <f>AE134*IFERROR(VLOOKUP(A134,[1]Tørstofindhold!A$2:B$25,2,FALSE),0)</f>
        <v>0</v>
      </c>
      <c r="AI134">
        <f>K134*IFERROR(VLOOKUP(A134,[1]Tørstofindhold!A$2:B$25,2,FALSE),0)</f>
        <v>0</v>
      </c>
    </row>
    <row r="135" spans="1:35" hidden="1" x14ac:dyDescent="0.25">
      <c r="A135" s="171" t="str">
        <f t="shared" si="28"/>
        <v>Raps</v>
      </c>
      <c r="B135" s="171" t="str">
        <f t="shared" si="29"/>
        <v/>
      </c>
      <c r="C135" s="171" t="str">
        <f>IFERROR(VLOOKUP(A135,'Kategorisering af kcal'!$A$2:$B$18,2,FALSE),"")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30"/>
        <v>0</v>
      </c>
      <c r="F135" s="171">
        <f t="shared" si="25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937876.21650533774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937876.21650533774</v>
      </c>
      <c r="O135" s="179">
        <f t="shared" ref="O135:O147" si="36">G135-SUM(H135:N135)</f>
        <v>0</v>
      </c>
      <c r="P135" s="94">
        <f t="shared" si="33"/>
        <v>0</v>
      </c>
      <c r="Q135" s="180">
        <f t="shared" ref="Q135:Q147" si="37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8">S135-T135</f>
        <v>0</v>
      </c>
      <c r="V135" s="169">
        <f>P135*IFERROR(VLOOKUP(A135,[1]Tørstofindhold!A$2:B$25,2,FALSE),0)</f>
        <v>0</v>
      </c>
      <c r="W135">
        <f>IF(F135=År1,Q135,SUM(P135,Q135))*IFERROR(VLOOKUP(A135,[1]Tørstofindhold!A$2:B$25,2,FALSE),0)</f>
        <v>0</v>
      </c>
      <c r="X135">
        <f>K135*IFERROR(VLOOKUP(A135,[1]Tørstofindhold!A$2:B$25,2,FALSE),0)</f>
        <v>0</v>
      </c>
      <c r="Y135" s="170">
        <f t="shared" ref="Y135:Y147" si="39">W135-X135</f>
        <v>0</v>
      </c>
      <c r="Z135">
        <f t="shared" si="31"/>
        <v>0</v>
      </c>
      <c r="AA135">
        <f t="shared" si="32"/>
        <v>0</v>
      </c>
      <c r="AC135" s="94">
        <f t="shared" si="34"/>
        <v>0</v>
      </c>
      <c r="AD135">
        <f>AC135*E135*10000*VLOOKUP(A135,[1]kcal!$A$2:$C$49,3,FALSE)/1000000000000*IFERROR(VLOOKUP(A135,'Kategorisering af kcal'!$A$2:$E$18,MATCH('Produktion &amp; forbrug'!F135,'Kategorisering af kcal'!$A$1:$E$1,0),FALSE),0)</f>
        <v>0</v>
      </c>
      <c r="AE135">
        <f>IF(C135&lt;&gt;"",AC135*(1-IF(A135&lt;&gt;"Græs",VLOOKUP(A135,'Kategorisering af kcal'!$A$2:$E$18,MATCH('Produktion &amp; forbrug'!F135,'Kategorisering af kcal'!$A$1:$E$1,0),FALSE),HLOOKUP(F135,Græsprotein!$C$2:$E$8,7))),'Produktion &amp; forbrug'!AC135)</f>
        <v>0</v>
      </c>
      <c r="AF135" s="94">
        <f t="shared" si="35"/>
        <v>0</v>
      </c>
      <c r="AG135">
        <f>IF(AC135&lt;0,AD135,G135*E135*10000*VLOOKUP(A135,[1]kcal!$A$2:$C$49,3,FALSE)/1000000000000*IFERROR(VLOOKUP(A135,'Kategorisering af kcal'!$A$2:$E$18,MATCH('Produktion &amp; forbrug'!F135,'Kategorisering af kcal'!$A$1:$E$1,0),FALSE),0))</f>
        <v>0</v>
      </c>
      <c r="AH135">
        <f>AE135*IFERROR(VLOOKUP(A135,[1]Tørstofindhold!A$2:B$25,2,FALSE),0)</f>
        <v>0</v>
      </c>
      <c r="AI135">
        <f>K135*IFERROR(VLOOKUP(A135,[1]Tørstofindhold!A$2:B$25,2,FALSE),0)</f>
        <v>0</v>
      </c>
    </row>
    <row r="136" spans="1:35" hidden="1" x14ac:dyDescent="0.25">
      <c r="A136" s="171" t="str">
        <f t="shared" si="28"/>
        <v>Rapskage</v>
      </c>
      <c r="B136" s="171" t="str">
        <f t="shared" si="29"/>
        <v/>
      </c>
      <c r="C136" s="171" t="str">
        <f>IFERROR(VLOOKUP(A136,'Kategorisering af kcal'!$A$2:$B$18,2,FALSE),"")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30"/>
        <v>0</v>
      </c>
      <c r="F136" s="171">
        <f t="shared" si="25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468938.10825266887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20340.992871107879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6"/>
        <v>448597.11538156099</v>
      </c>
      <c r="P136" s="94">
        <f t="shared" si="33"/>
        <v>0</v>
      </c>
      <c r="Q136" s="180">
        <f t="shared" si="3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8"/>
        <v>0</v>
      </c>
      <c r="V136" s="169">
        <f>P136*IFERROR(VLOOKUP(A136,[1]Tørstofindhold!A$2:B$25,2,FALSE),0)</f>
        <v>0</v>
      </c>
      <c r="W136">
        <f>IF(F136=År1,Q136,SUM(P136,Q136))*IFERROR(VLOOKUP(A136,[1]Tørstofindhold!A$2:B$25,2,FALSE),0)</f>
        <v>0</v>
      </c>
      <c r="X136">
        <f>K136*IFERROR(VLOOKUP(A136,[1]Tørstofindhold!A$2:B$25,2,FALSE),0)</f>
        <v>0</v>
      </c>
      <c r="Y136" s="170">
        <f t="shared" si="39"/>
        <v>0</v>
      </c>
      <c r="Z136">
        <f t="shared" si="31"/>
        <v>0</v>
      </c>
      <c r="AA136">
        <f t="shared" si="32"/>
        <v>1</v>
      </c>
      <c r="AC136" s="94">
        <f t="shared" si="34"/>
        <v>448597.11538156099</v>
      </c>
      <c r="AD136">
        <f>AC136*E136*10000*VLOOKUP(A136,[1]kcal!$A$2:$C$49,3,FALSE)/1000000000000*IFERROR(VLOOKUP(A136,'Kategorisering af kcal'!$A$2:$E$18,MATCH('Produktion &amp; forbrug'!F136,'Kategorisering af kcal'!$A$1:$E$1,0),FALSE),0)</f>
        <v>0</v>
      </c>
      <c r="AE136">
        <f>IF(C136&lt;&gt;"",AC136*(1-IF(A136&lt;&gt;"Græs",VLOOKUP(A136,'Kategorisering af kcal'!$A$2:$E$18,MATCH('Produktion &amp; forbrug'!F136,'Kategorisering af kcal'!$A$1:$E$1,0),FALSE),HLOOKUP(F136,Græsprotein!$C$2:$E$8,7))),'Produktion &amp; forbrug'!AC136)</f>
        <v>448597.11538156099</v>
      </c>
      <c r="AF136" s="94">
        <f t="shared" si="35"/>
        <v>0</v>
      </c>
      <c r="AG136">
        <f>IF(AC136&lt;0,AD136,G136*E136*10000*VLOOKUP(A136,[1]kcal!$A$2:$C$49,3,FALSE)/1000000000000*IFERROR(VLOOKUP(A136,'Kategorisering af kcal'!$A$2:$E$18,MATCH('Produktion &amp; forbrug'!F136,'Kategorisering af kcal'!$A$1:$E$1,0),FALSE),0))</f>
        <v>0</v>
      </c>
      <c r="AH136">
        <f>AE136*IFERROR(VLOOKUP(A136,[1]Tørstofindhold!A$2:B$25,2,FALSE),0)</f>
        <v>408223.37499722053</v>
      </c>
      <c r="AI136">
        <f>K136*IFERROR(VLOOKUP(A136,[1]Tørstofindhold!A$2:B$25,2,FALSE),0)</f>
        <v>0</v>
      </c>
    </row>
    <row r="137" spans="1:35" hidden="1" x14ac:dyDescent="0.25">
      <c r="A137" s="171" t="str">
        <f t="shared" si="28"/>
        <v>Rapsolie</v>
      </c>
      <c r="B137" s="171" t="str">
        <f t="shared" si="29"/>
        <v>Rapsolie</v>
      </c>
      <c r="C137" s="171" t="str">
        <f>IFERROR(VLOOKUP(A137,'Kategorisering af kcal'!$A$2:$B$18,2,FALSE),"")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30"/>
        <v>1</v>
      </c>
      <c r="F137" s="171">
        <f t="shared" si="25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300120.38928170811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300120.38928170811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6"/>
        <v>0</v>
      </c>
      <c r="P137" s="94">
        <f t="shared" si="33"/>
        <v>0</v>
      </c>
      <c r="Q137" s="180">
        <f t="shared" si="37"/>
        <v>300120.38928170811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10.504213624859783</v>
      </c>
      <c r="T137">
        <f>IFERROR(VLOOKUP(A137,[1]Biogasudbytte!$A$2:$B$18,2,FALSE)*[1]Energiindhold!$C$10,0)*K137*IFERROR(VLOOKUP(A137,Biogasanlæg!$F$3:$G$8,2,FALSE),1)</f>
        <v>0</v>
      </c>
      <c r="U137" s="170">
        <f t="shared" si="38"/>
        <v>10.504213624859783</v>
      </c>
      <c r="V137" s="169">
        <f>P137*IFERROR(VLOOKUP(A137,[1]Tørstofindhold!A$2:B$25,2,FALSE),0)</f>
        <v>0</v>
      </c>
      <c r="W137">
        <f>IF(F137=År1,Q137,SUM(P137,Q137))*IFERROR(VLOOKUP(A137,[1]Tørstofindhold!A$2:B$25,2,FALSE),0)</f>
        <v>0</v>
      </c>
      <c r="X137">
        <f>K137*IFERROR(VLOOKUP(A137,[1]Tørstofindhold!A$2:B$25,2,FALSE),0)</f>
        <v>0</v>
      </c>
      <c r="Y137" s="170">
        <f t="shared" si="39"/>
        <v>0</v>
      </c>
      <c r="Z137">
        <f t="shared" si="31"/>
        <v>0</v>
      </c>
      <c r="AA137">
        <f t="shared" si="32"/>
        <v>0</v>
      </c>
      <c r="AC137" s="94">
        <f t="shared" si="34"/>
        <v>300120.38928170811</v>
      </c>
      <c r="AD137">
        <f>AC137*E137*10000*VLOOKUP(A137,[1]kcal!$A$2:$C$49,3,FALSE)/1000000000000*IFERROR(VLOOKUP(A137,'Kategorisering af kcal'!$A$2:$E$18,MATCH('Produktion &amp; forbrug'!F137,'Kategorisering af kcal'!$A$1:$E$1,0),FALSE),0)</f>
        <v>2.7010835035353731</v>
      </c>
      <c r="AE137">
        <f>IF(C137&lt;&gt;"",AC137*(1-IF(A137&lt;&gt;"Græs",VLOOKUP(A137,'Kategorisering af kcal'!$A$2:$E$18,MATCH('Produktion &amp; forbrug'!F137,'Kategorisering af kcal'!$A$1:$E$1,0),FALSE),HLOOKUP(F137,Græsprotein!$C$2:$E$8,7))),'Produktion &amp; forbrug'!AC137)</f>
        <v>0</v>
      </c>
      <c r="AF137" s="94">
        <f t="shared" si="35"/>
        <v>300120.38928170811</v>
      </c>
      <c r="AG137">
        <f>IF(AC137&lt;0,AD137,G137*E137*10000*VLOOKUP(A137,[1]kcal!$A$2:$C$49,3,FALSE)/1000000000000*IFERROR(VLOOKUP(A137,'Kategorisering af kcal'!$A$2:$E$18,MATCH('Produktion &amp; forbrug'!F137,'Kategorisering af kcal'!$A$1:$E$1,0),FALSE),0))</f>
        <v>2.7010835035353731</v>
      </c>
      <c r="AH137">
        <f>AE137*IFERROR(VLOOKUP(A137,[1]Tørstofindhold!A$2:B$25,2,FALSE),0)</f>
        <v>0</v>
      </c>
      <c r="AI137">
        <f>K137*IFERROR(VLOOKUP(A137,[1]Tørstofindhold!A$2:B$25,2,FALSE),0)</f>
        <v>0</v>
      </c>
    </row>
    <row r="138" spans="1:35" hidden="1" x14ac:dyDescent="0.25">
      <c r="A138" s="171" t="str">
        <f t="shared" si="28"/>
        <v>Roer</v>
      </c>
      <c r="B138" s="171" t="str">
        <f t="shared" si="29"/>
        <v>Anden grøn biomasse</v>
      </c>
      <c r="C138" s="171" t="str">
        <f>IFERROR(VLOOKUP(A138,'Kategorisering af kcal'!$A$2:$B$18,2,FALSE),"")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30"/>
        <v>1</v>
      </c>
      <c r="F138" s="171">
        <f t="shared" si="25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3882154.8684538179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2063175.0869171035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6"/>
        <v>1818979.7815367144</v>
      </c>
      <c r="P138" s="94">
        <f t="shared" si="33"/>
        <v>1818979.7815367144</v>
      </c>
      <c r="Q138" s="180">
        <f t="shared" si="37"/>
        <v>0</v>
      </c>
      <c r="R138">
        <f>IFERROR(VLOOKUP(A138,[1]Energiindhold!$A$2:$C$11,3,FALSE),IFERROR(VLOOKUP(A138,[1]Biogasudbytte!$A$2:$B$18,2,FALSE)*[1]Energiindhold!$C$10,0))*P138</f>
        <v>4.936783886281904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4.936783886281904</v>
      </c>
      <c r="T138">
        <f>IFERROR(VLOOKUP(A138,[1]Biogasudbytte!$A$2:$B$18,2,FALSE)*[1]Energiindhold!$C$10,0)*K138*IFERROR(VLOOKUP(A138,Biogasanlæg!$F$3:$G$8,2,FALSE),1)</f>
        <v>0</v>
      </c>
      <c r="U138" s="170">
        <f t="shared" si="38"/>
        <v>4.936783886281904</v>
      </c>
      <c r="V138" s="169">
        <f>P138*IFERROR(VLOOKUP(A138,[1]Tørstofindhold!A$2:B$25,2,FALSE),0)</f>
        <v>363795.95630734292</v>
      </c>
      <c r="W138">
        <f>IF(F138=År1,Q138,SUM(P138,Q138))*IFERROR(VLOOKUP(A138,[1]Tørstofindhold!A$2:B$25,2,FALSE),0)</f>
        <v>363795.95630734292</v>
      </c>
      <c r="X138">
        <f>K138*IFERROR(VLOOKUP(A138,[1]Tørstofindhold!A$2:B$25,2,FALSE),0)</f>
        <v>0</v>
      </c>
      <c r="Y138" s="170">
        <f t="shared" si="39"/>
        <v>363795.95630734292</v>
      </c>
      <c r="Z138">
        <f t="shared" si="31"/>
        <v>0</v>
      </c>
      <c r="AA138">
        <f t="shared" si="32"/>
        <v>1</v>
      </c>
      <c r="AC138" s="94">
        <f t="shared" si="34"/>
        <v>1818979.7815367144</v>
      </c>
      <c r="AD138">
        <f>AC138*E138*10000*VLOOKUP(A138,[1]kcal!$A$2:$C$49,3,FALSE)/1000000000000*IFERROR(VLOOKUP(A138,'Kategorisering af kcal'!$A$2:$E$18,MATCH('Produktion &amp; forbrug'!F138,'Kategorisering af kcal'!$A$1:$E$1,0),FALSE),0)</f>
        <v>0.54569393446101433</v>
      </c>
      <c r="AE138">
        <f>IF(C138&lt;&gt;"",AC138*(1-IF(A138&lt;&gt;"Græs",VLOOKUP(A138,'Kategorisering af kcal'!$A$2:$E$18,MATCH('Produktion &amp; forbrug'!F138,'Kategorisering af kcal'!$A$1:$E$1,0),FALSE),HLOOKUP(F138,Græsprotein!$C$2:$E$8,7))),'Produktion &amp; forbrug'!AC138)</f>
        <v>0</v>
      </c>
      <c r="AF138" s="94">
        <f t="shared" si="35"/>
        <v>1818979.7815367144</v>
      </c>
      <c r="AG138">
        <f>IF(AC138&lt;0,AD138,G138*E138*10000*VLOOKUP(A138,[1]kcal!$A$2:$C$49,3,FALSE)/1000000000000*IFERROR(VLOOKUP(A138,'Kategorisering af kcal'!$A$2:$E$18,MATCH('Produktion &amp; forbrug'!F138,'Kategorisering af kcal'!$A$1:$E$1,0),FALSE),0))</f>
        <v>1.1646464605361453</v>
      </c>
      <c r="AH138">
        <f>AE138*IFERROR(VLOOKUP(A138,[1]Tørstofindhold!A$2:B$25,2,FALSE),0)</f>
        <v>0</v>
      </c>
      <c r="AI138">
        <f>K138*IFERROR(VLOOKUP(A138,[1]Tørstofindhold!A$2:B$25,2,FALSE),0)</f>
        <v>0</v>
      </c>
    </row>
    <row r="139" spans="1:35" hidden="1" x14ac:dyDescent="0.25">
      <c r="A139" s="171" t="str">
        <f t="shared" si="28"/>
        <v>Slagteriaffald til andet</v>
      </c>
      <c r="B139" s="171" t="str">
        <f t="shared" si="29"/>
        <v/>
      </c>
      <c r="C139" s="171" t="str">
        <f>IFERROR(VLOOKUP(A139,'Kategorisering af kcal'!$A$2:$B$18,2,FALSE),"")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30"/>
        <v>0</v>
      </c>
      <c r="F139" s="171">
        <f t="shared" si="25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7693.1684467145769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6"/>
        <v>7693.1684467145769</v>
      </c>
      <c r="P139" s="94">
        <f t="shared" si="33"/>
        <v>0</v>
      </c>
      <c r="Q139" s="180">
        <f t="shared" si="3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8"/>
        <v>0</v>
      </c>
      <c r="V139" s="169">
        <f>P139*IFERROR(VLOOKUP(A139,[1]Tørstofindhold!A$2:B$25,2,FALSE),0)</f>
        <v>0</v>
      </c>
      <c r="W139">
        <f>IF(F139=År1,Q139,SUM(P139,Q139))*IFERROR(VLOOKUP(A139,[1]Tørstofindhold!A$2:B$25,2,FALSE),0)</f>
        <v>0</v>
      </c>
      <c r="X139">
        <f>K139*IFERROR(VLOOKUP(A139,[1]Tørstofindhold!A$2:B$25,2,FALSE),0)</f>
        <v>0</v>
      </c>
      <c r="Y139" s="170">
        <f t="shared" si="39"/>
        <v>0</v>
      </c>
      <c r="Z139">
        <f t="shared" si="31"/>
        <v>0</v>
      </c>
      <c r="AA139">
        <f t="shared" si="32"/>
        <v>1</v>
      </c>
      <c r="AC139" s="94">
        <f t="shared" si="34"/>
        <v>7693.1684467145769</v>
      </c>
      <c r="AD139">
        <f>AC139*E139*10000*VLOOKUP(A139,[1]kcal!$A$2:$C$49,3,FALSE)/1000000000000*IFERROR(VLOOKUP(A139,'Kategorisering af kcal'!$A$2:$E$18,MATCH('Produktion &amp; forbrug'!F139,'Kategorisering af kcal'!$A$1:$E$1,0),FALSE),0)</f>
        <v>0</v>
      </c>
      <c r="AE139">
        <f>IF(C139&lt;&gt;"",AC139*(1-IF(A139&lt;&gt;"Græs",VLOOKUP(A139,'Kategorisering af kcal'!$A$2:$E$18,MATCH('Produktion &amp; forbrug'!F139,'Kategorisering af kcal'!$A$1:$E$1,0),FALSE),HLOOKUP(F139,Græsprotein!$C$2:$E$8,7))),'Produktion &amp; forbrug'!AC139)</f>
        <v>7693.1684467145769</v>
      </c>
      <c r="AF139" s="94">
        <f t="shared" si="35"/>
        <v>0</v>
      </c>
      <c r="AG139">
        <f>IF(AC139&lt;0,AD139,G139*E139*10000*VLOOKUP(A139,[1]kcal!$A$2:$C$49,3,FALSE)/1000000000000*IFERROR(VLOOKUP(A139,'Kategorisering af kcal'!$A$2:$E$18,MATCH('Produktion &amp; forbrug'!F139,'Kategorisering af kcal'!$A$1:$E$1,0),FALSE),0))</f>
        <v>0</v>
      </c>
      <c r="AH139">
        <f>AE139*IFERROR(VLOOKUP(A139,[1]Tørstofindhold!A$2:B$25,2,FALSE),0)</f>
        <v>0</v>
      </c>
      <c r="AI139">
        <f>K139*IFERROR(VLOOKUP(A139,[1]Tørstofindhold!A$2:B$25,2,FALSE),0)</f>
        <v>0</v>
      </c>
    </row>
    <row r="140" spans="1:35" hidden="1" x14ac:dyDescent="0.25">
      <c r="A140" s="171" t="str">
        <f t="shared" si="28"/>
        <v>Slagteriaffald til foder</v>
      </c>
      <c r="B140" s="171" t="str">
        <f t="shared" si="29"/>
        <v/>
      </c>
      <c r="C140" s="171" t="str">
        <f>IFERROR(VLOOKUP(A140,'Kategorisering af kcal'!$A$2:$B$18,2,FALSE),"")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30"/>
        <v>0</v>
      </c>
      <c r="F140" s="171">
        <f t="shared" si="25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5268.7991071934384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5027.2040456510467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6"/>
        <v>241.5950615423917</v>
      </c>
      <c r="P140" s="94">
        <f t="shared" si="33"/>
        <v>0</v>
      </c>
      <c r="Q140" s="180">
        <f t="shared" si="3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8"/>
        <v>0</v>
      </c>
      <c r="V140" s="169">
        <f>P140*IFERROR(VLOOKUP(A140,[1]Tørstofindhold!A$2:B$25,2,FALSE),0)</f>
        <v>0</v>
      </c>
      <c r="W140">
        <f>IF(F140=År1,Q140,SUM(P140,Q140))*IFERROR(VLOOKUP(A140,[1]Tørstofindhold!A$2:B$25,2,FALSE),0)</f>
        <v>0</v>
      </c>
      <c r="X140">
        <f>K140*IFERROR(VLOOKUP(A140,[1]Tørstofindhold!A$2:B$25,2,FALSE),0)</f>
        <v>0</v>
      </c>
      <c r="Y140" s="170">
        <f t="shared" si="39"/>
        <v>0</v>
      </c>
      <c r="Z140">
        <f t="shared" si="31"/>
        <v>0</v>
      </c>
      <c r="AA140">
        <f t="shared" si="32"/>
        <v>1</v>
      </c>
      <c r="AC140" s="94">
        <f t="shared" si="34"/>
        <v>241.5950615423917</v>
      </c>
      <c r="AD140">
        <f>AC140*E140*10000*VLOOKUP(A140,[1]kcal!$A$2:$C$49,3,FALSE)/1000000000000*IFERROR(VLOOKUP(A140,'Kategorisering af kcal'!$A$2:$E$18,MATCH('Produktion &amp; forbrug'!F140,'Kategorisering af kcal'!$A$1:$E$1,0),FALSE),0)</f>
        <v>0</v>
      </c>
      <c r="AE140">
        <f>IF(C140&lt;&gt;"",AC140*(1-IF(A140&lt;&gt;"Græs",VLOOKUP(A140,'Kategorisering af kcal'!$A$2:$E$18,MATCH('Produktion &amp; forbrug'!F140,'Kategorisering af kcal'!$A$1:$E$1,0),FALSE),HLOOKUP(F140,Græsprotein!$C$2:$E$8,7))),'Produktion &amp; forbrug'!AC140)</f>
        <v>241.5950615423917</v>
      </c>
      <c r="AF140" s="94">
        <f t="shared" si="35"/>
        <v>0</v>
      </c>
      <c r="AG140">
        <f>IF(AC140&lt;0,AD140,G140*E140*10000*VLOOKUP(A140,[1]kcal!$A$2:$C$49,3,FALSE)/1000000000000*IFERROR(VLOOKUP(A140,'Kategorisering af kcal'!$A$2:$E$18,MATCH('Produktion &amp; forbrug'!F140,'Kategorisering af kcal'!$A$1:$E$1,0),FALSE),0))</f>
        <v>0</v>
      </c>
      <c r="AH140">
        <f>AE140*IFERROR(VLOOKUP(A140,[1]Tørstofindhold!A$2:B$25,2,FALSE),0)</f>
        <v>0</v>
      </c>
      <c r="AI140">
        <f>K140*IFERROR(VLOOKUP(A140,[1]Tørstofindhold!A$2:B$25,2,FALSE),0)</f>
        <v>0</v>
      </c>
    </row>
    <row r="141" spans="1:35" hidden="1" x14ac:dyDescent="0.25">
      <c r="A141" s="171" t="str">
        <f t="shared" si="28"/>
        <v>Spildevandsslam</v>
      </c>
      <c r="B141" s="171" t="str">
        <f t="shared" si="29"/>
        <v>Bionedbrydeligt affald</v>
      </c>
      <c r="C141" s="171" t="str">
        <f>IFERROR(VLOOKUP(A141,'Kategorisering af kcal'!$A$2:$B$18,2,FALSE),"")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30"/>
        <v>0</v>
      </c>
      <c r="F141" s="171">
        <f t="shared" si="25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7494121.763909651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0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6"/>
        <v>7494121.763909651</v>
      </c>
      <c r="P141" s="94">
        <f t="shared" si="33"/>
        <v>7494121.763909651</v>
      </c>
      <c r="Q141" s="180">
        <f t="shared" si="37"/>
        <v>0</v>
      </c>
      <c r="R141">
        <f>IFERROR(VLOOKUP(A141,[1]Energiindhold!$A$2:$C$11,3,FALSE),IFERROR(VLOOKUP(A141,[1]Biogasudbytte!$A$2:$B$18,2,FALSE)*[1]Energiindhold!$C$10,0))*P141</f>
        <v>3.7396417014085555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3.7396417014085555</v>
      </c>
      <c r="T141">
        <f>IFERROR(VLOOKUP(A141,[1]Biogasudbytte!$A$2:$B$18,2,FALSE)*[1]Energiindhold!$C$10,0)*K141*IFERROR(VLOOKUP(A141,Biogasanlæg!$F$3:$G$8,2,FALSE),1)</f>
        <v>0</v>
      </c>
      <c r="U141" s="170">
        <f t="shared" si="38"/>
        <v>3.7396417014085555</v>
      </c>
      <c r="V141" s="169">
        <f>P141*IFERROR(VLOOKUP(A141,[1]Tørstofindhold!A$2:B$25,2,FALSE),0)</f>
        <v>449647.30583457905</v>
      </c>
      <c r="W141">
        <f>IF(F141=År1,Q141,SUM(P141,Q141))*IFERROR(VLOOKUP(A141,[1]Tørstofindhold!A$2:B$25,2,FALSE),0)</f>
        <v>449647.30583457905</v>
      </c>
      <c r="X141">
        <f>K141*IFERROR(VLOOKUP(A141,[1]Tørstofindhold!A$2:B$25,2,FALSE),0)</f>
        <v>0</v>
      </c>
      <c r="Y141" s="170">
        <f t="shared" si="39"/>
        <v>449647.30583457905</v>
      </c>
      <c r="Z141">
        <f t="shared" si="31"/>
        <v>0</v>
      </c>
      <c r="AA141">
        <f t="shared" si="32"/>
        <v>1</v>
      </c>
      <c r="AC141" s="94">
        <f t="shared" si="34"/>
        <v>7494121.763909651</v>
      </c>
      <c r="AD141">
        <f>AC141*E141*10000*VLOOKUP(A141,[1]kcal!$A$2:$C$49,3,FALSE)/1000000000000*IFERROR(VLOOKUP(A141,'Kategorisering af kcal'!$A$2:$E$18,MATCH('Produktion &amp; forbrug'!F141,'Kategorisering af kcal'!$A$1:$E$1,0),FALSE),0)</f>
        <v>0</v>
      </c>
      <c r="AE141">
        <f>IF(C141&lt;&gt;"",AC141*(1-IF(A141&lt;&gt;"Græs",VLOOKUP(A141,'Kategorisering af kcal'!$A$2:$E$18,MATCH('Produktion &amp; forbrug'!F141,'Kategorisering af kcal'!$A$1:$E$1,0),FALSE),HLOOKUP(F141,Græsprotein!$C$2:$E$8,7))),'Produktion &amp; forbrug'!AC141)</f>
        <v>7494121.763909651</v>
      </c>
      <c r="AF141" s="94">
        <f t="shared" si="35"/>
        <v>0</v>
      </c>
      <c r="AG141">
        <f>IF(AC141&lt;0,AD141,G141*E141*10000*VLOOKUP(A141,[1]kcal!$A$2:$C$49,3,FALSE)/1000000000000*IFERROR(VLOOKUP(A141,'Kategorisering af kcal'!$A$2:$E$18,MATCH('Produktion &amp; forbrug'!F141,'Kategorisering af kcal'!$A$1:$E$1,0),FALSE),0))</f>
        <v>0</v>
      </c>
      <c r="AH141">
        <f>AE141*IFERROR(VLOOKUP(A141,[1]Tørstofindhold!A$2:B$25,2,FALSE),0)</f>
        <v>449647.30583457905</v>
      </c>
      <c r="AI141">
        <f>K141*IFERROR(VLOOKUP(A141,[1]Tørstofindhold!A$2:B$25,2,FALSE),0)</f>
        <v>0</v>
      </c>
    </row>
    <row r="142" spans="1:35" hidden="1" x14ac:dyDescent="0.25">
      <c r="A142" s="171" t="str">
        <f t="shared" si="28"/>
        <v>Svinegylle</v>
      </c>
      <c r="B142" s="171" t="str">
        <f t="shared" si="29"/>
        <v>Husdyrgødning</v>
      </c>
      <c r="C142" s="171" t="str">
        <f>IFERROR(VLOOKUP(A142,'Kategorisering af kcal'!$A$2:$B$18,2,FALSE),"")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30"/>
        <v>0</v>
      </c>
      <c r="F142" s="171">
        <f t="shared" si="25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6"/>
        <v>0</v>
      </c>
      <c r="P142" s="94">
        <f t="shared" si="33"/>
        <v>0</v>
      </c>
      <c r="Q142" s="180">
        <f t="shared" si="37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8"/>
        <v>0</v>
      </c>
      <c r="V142" s="169">
        <f>P142*IFERROR(VLOOKUP(A142,[1]Tørstofindhold!A$2:B$25,2,FALSE),0)</f>
        <v>0</v>
      </c>
      <c r="W142">
        <f>IF(F142=År1,Q142,SUM(P142,Q142))*IFERROR(VLOOKUP(A142,[1]Tørstofindhold!A$2:B$25,2,FALSE),0)</f>
        <v>0</v>
      </c>
      <c r="X142">
        <f>K142*IFERROR(VLOOKUP(A142,[1]Tørstofindhold!A$2:B$25,2,FALSE),0)</f>
        <v>0</v>
      </c>
      <c r="Y142" s="170">
        <f t="shared" si="39"/>
        <v>0</v>
      </c>
      <c r="Z142">
        <f t="shared" si="31"/>
        <v>0</v>
      </c>
      <c r="AA142">
        <f t="shared" si="32"/>
        <v>0</v>
      </c>
      <c r="AC142" s="94">
        <f t="shared" si="34"/>
        <v>0</v>
      </c>
      <c r="AD142">
        <f>AC142*E142*10000*VLOOKUP(A142,[1]kcal!$A$2:$C$49,3,FALSE)/1000000000000*IFERROR(VLOOKUP(A142,'Kategorisering af kcal'!$A$2:$E$18,MATCH('Produktion &amp; forbrug'!F142,'Kategorisering af kcal'!$A$1:$E$1,0),FALSE),0)</f>
        <v>0</v>
      </c>
      <c r="AE142">
        <f>IF(C142&lt;&gt;"",AC142*(1-IF(A142&lt;&gt;"Græs",VLOOKUP(A142,'Kategorisering af kcal'!$A$2:$E$18,MATCH('Produktion &amp; forbrug'!F142,'Kategorisering af kcal'!$A$1:$E$1,0),FALSE),HLOOKUP(F142,Græsprotein!$C$2:$E$8,7))),'Produktion &amp; forbrug'!AC142)</f>
        <v>0</v>
      </c>
      <c r="AF142" s="94">
        <f t="shared" si="35"/>
        <v>0</v>
      </c>
      <c r="AG142">
        <f>IF(AC142&lt;0,AD142,G142*E142*10000*VLOOKUP(A142,[1]kcal!$A$2:$C$49,3,FALSE)/1000000000000*IFERROR(VLOOKUP(A142,'Kategorisering af kcal'!$A$2:$E$18,MATCH('Produktion &amp; forbrug'!F142,'Kategorisering af kcal'!$A$1:$E$1,0),FALSE),0))</f>
        <v>0</v>
      </c>
      <c r="AH142">
        <f>AE142*IFERROR(VLOOKUP(A142,[1]Tørstofindhold!A$2:B$25,2,FALSE),0)</f>
        <v>0</v>
      </c>
      <c r="AI142">
        <f>K142*IFERROR(VLOOKUP(A142,[1]Tørstofindhold!A$2:B$25,2,FALSE),0)</f>
        <v>0</v>
      </c>
    </row>
    <row r="143" spans="1:35" hidden="1" x14ac:dyDescent="0.25">
      <c r="A143" s="171" t="str">
        <f t="shared" si="28"/>
        <v>Svinekød</v>
      </c>
      <c r="B143" s="171" t="str">
        <f t="shared" si="29"/>
        <v/>
      </c>
      <c r="C143" s="171" t="str">
        <f>IFERROR(VLOOKUP(A143,'Kategorisering af kcal'!$A$2:$B$18,2,FALSE),"")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30"/>
        <v>1</v>
      </c>
      <c r="F143" s="171">
        <f t="shared" si="25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56067.802327067431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0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6"/>
        <v>56067.802327067431</v>
      </c>
      <c r="P143" s="94">
        <f t="shared" si="33"/>
        <v>0</v>
      </c>
      <c r="Q143" s="180">
        <f t="shared" si="3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8"/>
        <v>0</v>
      </c>
      <c r="V143" s="169">
        <f>P143*IFERROR(VLOOKUP(A143,[1]Tørstofindhold!A$2:B$25,2,FALSE),0)</f>
        <v>0</v>
      </c>
      <c r="W143">
        <f>IF(F143=År1,Q143,SUM(P143,Q143))*IFERROR(VLOOKUP(A143,[1]Tørstofindhold!A$2:B$25,2,FALSE),0)</f>
        <v>0</v>
      </c>
      <c r="X143">
        <f>K143*IFERROR(VLOOKUP(A143,[1]Tørstofindhold!A$2:B$25,2,FALSE),0)</f>
        <v>0</v>
      </c>
      <c r="Y143" s="170">
        <f t="shared" si="39"/>
        <v>0</v>
      </c>
      <c r="Z143">
        <f t="shared" si="31"/>
        <v>0</v>
      </c>
      <c r="AA143">
        <f t="shared" si="32"/>
        <v>1</v>
      </c>
      <c r="AC143" s="94">
        <f t="shared" si="34"/>
        <v>56067.802327067431</v>
      </c>
      <c r="AD143">
        <f>AC143*E143*10000*VLOOKUP(A143,[1]kcal!$A$2:$C$49,3,FALSE)/1000000000000*IFERROR(VLOOKUP(A143,'Kategorisering af kcal'!$A$2:$E$18,MATCH('Produktion &amp; forbrug'!F143,'Kategorisering af kcal'!$A$1:$E$1,0),FALSE),0)</f>
        <v>0.1093322145377815</v>
      </c>
      <c r="AE143">
        <f>IF(C143&lt;&gt;"",AC143*(1-IF(A143&lt;&gt;"Græs",VLOOKUP(A143,'Kategorisering af kcal'!$A$2:$E$18,MATCH('Produktion &amp; forbrug'!F143,'Kategorisering af kcal'!$A$1:$E$1,0),FALSE),HLOOKUP(F143,Græsprotein!$C$2:$E$8,7))),'Produktion &amp; forbrug'!AC143)</f>
        <v>0</v>
      </c>
      <c r="AF143" s="94">
        <f t="shared" si="35"/>
        <v>56067.802327067431</v>
      </c>
      <c r="AG143">
        <f>IF(AC143&lt;0,AD143,G143*E143*10000*VLOOKUP(A143,[1]kcal!$A$2:$C$49,3,FALSE)/1000000000000*IFERROR(VLOOKUP(A143,'Kategorisering af kcal'!$A$2:$E$18,MATCH('Produktion &amp; forbrug'!F143,'Kategorisering af kcal'!$A$1:$E$1,0),FALSE),0))</f>
        <v>0.1093322145377815</v>
      </c>
      <c r="AH143">
        <f>AE143*IFERROR(VLOOKUP(A143,[1]Tørstofindhold!A$2:B$25,2,FALSE),0)</f>
        <v>0</v>
      </c>
      <c r="AI143">
        <f>K143*IFERROR(VLOOKUP(A143,[1]Tørstofindhold!A$2:B$25,2,FALSE),0)</f>
        <v>0</v>
      </c>
    </row>
    <row r="144" spans="1:35" hidden="1" x14ac:dyDescent="0.25">
      <c r="A144" s="171" t="str">
        <f t="shared" si="28"/>
        <v>Tang</v>
      </c>
      <c r="B144" s="171" t="str">
        <f t="shared" si="29"/>
        <v>Havbiomasse</v>
      </c>
      <c r="C144" s="171" t="str">
        <f>IFERROR(VLOOKUP(A144,'Kategorisering af kcal'!$A$2:$B$18,2,FALSE),"")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30"/>
        <v>1</v>
      </c>
      <c r="F144" s="171">
        <f t="shared" si="25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76.5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6"/>
        <v>76.5</v>
      </c>
      <c r="P144" s="94">
        <f t="shared" si="33"/>
        <v>76.5</v>
      </c>
      <c r="Q144" s="180">
        <f t="shared" si="37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38"/>
        <v>6.8658750000000004E-5</v>
      </c>
      <c r="V144" s="169">
        <f>P144*IFERROR(VLOOKUP(A144,[1]Tørstofindhold!A$2:B$25,2,FALSE),0)</f>
        <v>11.475</v>
      </c>
      <c r="W144">
        <f>IF(F144=År1,Q144,SUM(P144,Q144))*IFERROR(VLOOKUP(A144,[1]Tørstofindhold!A$2:B$25,2,FALSE),0)</f>
        <v>11.475</v>
      </c>
      <c r="X144">
        <f>K144*IFERROR(VLOOKUP(A144,[1]Tørstofindhold!A$2:B$25,2,FALSE),0)</f>
        <v>0</v>
      </c>
      <c r="Y144" s="170">
        <f t="shared" si="39"/>
        <v>11.475</v>
      </c>
      <c r="Z144">
        <f t="shared" si="31"/>
        <v>0</v>
      </c>
      <c r="AA144">
        <f t="shared" si="32"/>
        <v>1</v>
      </c>
      <c r="AC144" s="94">
        <f t="shared" si="34"/>
        <v>76.5</v>
      </c>
      <c r="AD144">
        <f>AC144*E144*10000*VLOOKUP(A144,[1]kcal!$A$2:$C$49,3,FALSE)/1000000000000*IFERROR(VLOOKUP(A144,'Kategorisering af kcal'!$A$2:$E$18,MATCH('Produktion &amp; forbrug'!F144,'Kategorisering af kcal'!$A$1:$E$1,0),FALSE),0)</f>
        <v>3.1211999999999999E-5</v>
      </c>
      <c r="AE144">
        <f>IF(C144&lt;&gt;"",AC144*(1-IF(A144&lt;&gt;"Græs",VLOOKUP(A144,'Kategorisering af kcal'!$A$2:$E$18,MATCH('Produktion &amp; forbrug'!F144,'Kategorisering af kcal'!$A$1:$E$1,0),FALSE),HLOOKUP(F144,Græsprotein!$C$2:$E$8,7))),'Produktion &amp; forbrug'!AC144)</f>
        <v>0</v>
      </c>
      <c r="AF144" s="94">
        <f t="shared" si="35"/>
        <v>76.5</v>
      </c>
      <c r="AG144">
        <f>IF(AC144&lt;0,AD144,G144*E144*10000*VLOOKUP(A144,[1]kcal!$A$2:$C$49,3,FALSE)/1000000000000*IFERROR(VLOOKUP(A144,'Kategorisering af kcal'!$A$2:$E$18,MATCH('Produktion &amp; forbrug'!F144,'Kategorisering af kcal'!$A$1:$E$1,0),FALSE),0))</f>
        <v>3.1211999999999999E-5</v>
      </c>
      <c r="AH144">
        <f>AE144*IFERROR(VLOOKUP(A144,[1]Tørstofindhold!A$2:B$25,2,FALSE),0)</f>
        <v>0</v>
      </c>
      <c r="AI144">
        <f>K144*IFERROR(VLOOKUP(A144,[1]Tørstofindhold!A$2:B$25,2,FALSE),0)</f>
        <v>0</v>
      </c>
    </row>
    <row r="145" spans="1:35" hidden="1" x14ac:dyDescent="0.25">
      <c r="A145" s="171" t="str">
        <f t="shared" si="28"/>
        <v>Total til biogas</v>
      </c>
      <c r="B145" s="171" t="str">
        <f t="shared" si="29"/>
        <v/>
      </c>
      <c r="C145" s="171" t="str">
        <f>IFERROR(VLOOKUP(A145,'Kategorisering af kcal'!$A$2:$B$18,2,FALSE),"")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30"/>
        <v>0</v>
      </c>
      <c r="F145" s="171">
        <f t="shared" si="25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6"/>
        <v>0</v>
      </c>
      <c r="P145" s="94">
        <f t="shared" si="33"/>
        <v>0</v>
      </c>
      <c r="Q145" s="180">
        <f t="shared" si="3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8"/>
        <v>0</v>
      </c>
      <c r="V145" s="169">
        <f>P145*IFERROR(VLOOKUP(A145,[1]Tørstofindhold!A$2:B$25,2,FALSE),0)</f>
        <v>0</v>
      </c>
      <c r="W145">
        <f>IF(F145=År1,Q145,SUM(P145,Q145))*IFERROR(VLOOKUP(A145,[1]Tørstofindhold!A$2:B$25,2,FALSE),0)</f>
        <v>0</v>
      </c>
      <c r="X145">
        <f>K145*IFERROR(VLOOKUP(A145,[1]Tørstofindhold!A$2:B$25,2,FALSE),0)</f>
        <v>0</v>
      </c>
      <c r="Y145" s="170">
        <f t="shared" si="39"/>
        <v>0</v>
      </c>
      <c r="Z145">
        <f t="shared" si="31"/>
        <v>0</v>
      </c>
      <c r="AA145">
        <f t="shared" si="32"/>
        <v>0</v>
      </c>
      <c r="AC145" s="94">
        <f t="shared" si="34"/>
        <v>0</v>
      </c>
      <c r="AD145">
        <f>AC145*E145*10000*VLOOKUP(A145,[1]kcal!$A$2:$C$49,3,FALSE)/1000000000000*IFERROR(VLOOKUP(A145,'Kategorisering af kcal'!$A$2:$E$18,MATCH('Produktion &amp; forbrug'!F145,'Kategorisering af kcal'!$A$1:$E$1,0),FALSE),0)</f>
        <v>0</v>
      </c>
      <c r="AE145">
        <f>IF(C145&lt;&gt;"",AC145*(1-IF(A145&lt;&gt;"Græs",VLOOKUP(A145,'Kategorisering af kcal'!$A$2:$E$18,MATCH('Produktion &amp; forbrug'!F145,'Kategorisering af kcal'!$A$1:$E$1,0),FALSE),HLOOKUP(F145,Græsprotein!$C$2:$E$8,7))),'Produktion &amp; forbrug'!AC145)</f>
        <v>0</v>
      </c>
      <c r="AF145" s="94">
        <f t="shared" si="35"/>
        <v>0</v>
      </c>
      <c r="AG145">
        <f>IF(AC145&lt;0,AD145,G145*E145*10000*VLOOKUP(A145,[1]kcal!$A$2:$C$49,3,FALSE)/1000000000000*IFERROR(VLOOKUP(A145,'Kategorisering af kcal'!$A$2:$E$18,MATCH('Produktion &amp; forbrug'!F145,'Kategorisering af kcal'!$A$1:$E$1,0),FALSE),0))</f>
        <v>0</v>
      </c>
      <c r="AH145">
        <f>AE145*IFERROR(VLOOKUP(A145,[1]Tørstofindhold!A$2:B$25,2,FALSE),0)</f>
        <v>0</v>
      </c>
      <c r="AI145">
        <f>K145*IFERROR(VLOOKUP(A145,[1]Tørstofindhold!A$2:B$25,2,FALSE),0)</f>
        <v>0</v>
      </c>
    </row>
    <row r="146" spans="1:35" hidden="1" x14ac:dyDescent="0.25">
      <c r="A146" s="171" t="str">
        <f t="shared" si="28"/>
        <v>Træ til energi</v>
      </c>
      <c r="B146" s="171" t="str">
        <f t="shared" si="29"/>
        <v>Vedmasse</v>
      </c>
      <c r="C146" s="171" t="str">
        <f>IFERROR(VLOOKUP(A146,'Kategorisering af kcal'!$A$2:$B$18,2,FALSE),"")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30"/>
        <v>0</v>
      </c>
      <c r="F146" s="171">
        <f t="shared" si="25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2876725.401789723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2876725.401789723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6"/>
        <v>0</v>
      </c>
      <c r="P146" s="94">
        <f t="shared" ca="1" si="33"/>
        <v>0</v>
      </c>
      <c r="Q146" s="180">
        <f t="shared" ca="1" si="37"/>
        <v>2876725.401789723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41.694017819449918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8"/>
        <v>41.694017819449918</v>
      </c>
      <c r="V146" s="169">
        <f ca="1">P146*IFERROR(VLOOKUP(A146,[1]Tørstofindhold!A$2:B$25,2,FALSE),0)</f>
        <v>0</v>
      </c>
      <c r="W146">
        <f ca="1">IF(F146=År1,Q146,SUM(P146,Q146))*IFERROR(VLOOKUP(A146,[1]Tørstofindhold!A$2:B$25,2,FALSE),0)</f>
        <v>1422780.4383018338</v>
      </c>
      <c r="X146">
        <f>K146*IFERROR(VLOOKUP(A146,[1]Tørstofindhold!A$2:B$25,2,FALSE),0)</f>
        <v>0</v>
      </c>
      <c r="Y146" s="170">
        <f t="shared" ca="1" si="39"/>
        <v>1422780.4383018338</v>
      </c>
      <c r="Z146">
        <f t="shared" ca="1" si="31"/>
        <v>0</v>
      </c>
      <c r="AA146">
        <f t="shared" ca="1" si="32"/>
        <v>0</v>
      </c>
      <c r="AC146" s="94">
        <f t="shared" ca="1" si="34"/>
        <v>2876725.401789723</v>
      </c>
      <c r="AD146">
        <f ca="1">AC146*E146*10000*VLOOKUP(A146,[1]kcal!$A$2:$C$49,3,FALSE)/1000000000000*IFERROR(VLOOKUP(A146,'Kategorisering af kcal'!$A$2:$E$18,MATCH('Produktion &amp; forbrug'!F146,'Kategorisering af kcal'!$A$1:$E$1,0),FALSE),0)</f>
        <v>0</v>
      </c>
      <c r="AE146">
        <f ca="1">IF(C146&lt;&gt;"",AC146*(1-IF(A146&lt;&gt;"Græs",VLOOKUP(A146,'Kategorisering af kcal'!$A$2:$E$18,MATCH('Produktion &amp; forbrug'!F146,'Kategorisering af kcal'!$A$1:$E$1,0),FALSE),HLOOKUP(F146,Græsprotein!$C$2:$E$8,7))),'Produktion &amp; forbrug'!AC146)</f>
        <v>2876725.401789723</v>
      </c>
      <c r="AF146" s="94">
        <f t="shared" ca="1" si="35"/>
        <v>0</v>
      </c>
      <c r="AG146">
        <f ca="1">IF(AC146&lt;0,AD146,G146*E146*10000*VLOOKUP(A146,[1]kcal!$A$2:$C$49,3,FALSE)/1000000000000*IFERROR(VLOOKUP(A146,'Kategorisering af kcal'!$A$2:$E$18,MATCH('Produktion &amp; forbrug'!F146,'Kategorisering af kcal'!$A$1:$E$1,0),FALSE),0))</f>
        <v>0</v>
      </c>
      <c r="AH146">
        <f ca="1">AE146*IFERROR(VLOOKUP(A146,[1]Tørstofindhold!A$2:B$25,2,FALSE),0)</f>
        <v>1422780.4383018338</v>
      </c>
      <c r="AI146">
        <f>K146*IFERROR(VLOOKUP(A146,[1]Tørstofindhold!A$2:B$25,2,FALSE),0)</f>
        <v>0</v>
      </c>
    </row>
    <row r="147" spans="1:35" hidden="1" x14ac:dyDescent="0.25">
      <c r="A147" s="171" t="str">
        <f t="shared" si="28"/>
        <v>Træmaterialer</v>
      </c>
      <c r="B147" s="171" t="str">
        <f t="shared" si="29"/>
        <v/>
      </c>
      <c r="C147" s="171" t="str">
        <f>IFERROR(VLOOKUP(A147,'Kategorisering af kcal'!$A$2:$B$18,2,FALSE),"")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30"/>
        <v>0</v>
      </c>
      <c r="F147" s="171">
        <f t="shared" si="25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882756.40881976672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882756.40881976672</v>
      </c>
      <c r="O147" s="179">
        <f t="shared" ca="1" si="36"/>
        <v>0</v>
      </c>
      <c r="P147" s="94">
        <f t="shared" si="33"/>
        <v>0</v>
      </c>
      <c r="Q147" s="180">
        <f t="shared" si="3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8"/>
        <v>0</v>
      </c>
      <c r="V147" s="169">
        <f>P147*IFERROR(VLOOKUP(A147,[1]Tørstofindhold!A$2:B$25,2,FALSE),0)</f>
        <v>0</v>
      </c>
      <c r="W147">
        <f>IF(F147=År1,Q147,SUM(P147,Q147))*IFERROR(VLOOKUP(A147,[1]Tørstofindhold!A$2:B$25,2,FALSE),0)</f>
        <v>0</v>
      </c>
      <c r="X147">
        <f>K147*IFERROR(VLOOKUP(A147,[1]Tørstofindhold!A$2:B$25,2,FALSE),0)</f>
        <v>0</v>
      </c>
      <c r="Y147" s="170">
        <f t="shared" si="39"/>
        <v>0</v>
      </c>
      <c r="Z147">
        <f t="shared" ca="1" si="31"/>
        <v>0</v>
      </c>
      <c r="AA147">
        <f t="shared" ca="1" si="32"/>
        <v>0</v>
      </c>
      <c r="AC147" s="94">
        <f t="shared" ca="1" si="34"/>
        <v>0</v>
      </c>
      <c r="AD147">
        <f ca="1">AC147*E147*10000*VLOOKUP(A147,[1]kcal!$A$2:$C$49,3,FALSE)/1000000000000*IFERROR(VLOOKUP(A147,'Kategorisering af kcal'!$A$2:$E$18,MATCH('Produktion &amp; forbrug'!F147,'Kategorisering af kcal'!$A$1:$E$1,0),FALSE),0)</f>
        <v>0</v>
      </c>
      <c r="AE147">
        <f ca="1">IF(C147&lt;&gt;"",AC147*(1-IF(A147&lt;&gt;"Græs",VLOOKUP(A147,'Kategorisering af kcal'!$A$2:$E$18,MATCH('Produktion &amp; forbrug'!F147,'Kategorisering af kcal'!$A$1:$E$1,0),FALSE),HLOOKUP(F147,Græsprotein!$C$2:$E$8,7))),'Produktion &amp; forbrug'!AC147)</f>
        <v>0</v>
      </c>
      <c r="AF147" s="94">
        <f t="shared" ca="1" si="35"/>
        <v>0</v>
      </c>
      <c r="AG147">
        <f ca="1">IF(AC147&lt;0,AD147,G147*E147*10000*VLOOKUP(A147,[1]kcal!$A$2:$C$49,3,FALSE)/1000000000000*IFERROR(VLOOKUP(A147,'Kategorisering af kcal'!$A$2:$E$18,MATCH('Produktion &amp; forbrug'!F147,'Kategorisering af kcal'!$A$1:$E$1,0),FALSE),0))</f>
        <v>0</v>
      </c>
      <c r="AH147">
        <f ca="1">AE147*IFERROR(VLOOKUP(A147,[1]Tørstofindhold!A$2:B$25,2,FALSE),0)</f>
        <v>0</v>
      </c>
      <c r="AI147">
        <f>K147*IFERROR(VLOOKUP(A147,[1]Tørstofindhold!A$2:B$25,2,FALSE),0)</f>
        <v>0</v>
      </c>
    </row>
  </sheetData>
  <autoFilter ref="A3:AI147" xr:uid="{9CE9FCE3-890A-4384-B45F-B3CAB4E5864E}">
    <filterColumn colId="1">
      <filters>
        <filter val="Anden grøn biomasse"/>
      </filters>
    </filterColumn>
    <filterColumn colId="34">
      <filters>
        <filter val="102774.24"/>
        <filter val="110192.2204"/>
        <filter val="12.62994357"/>
        <filter val="126722.1036"/>
        <filter val="201358.4015"/>
        <filter val="21111.76711"/>
        <filter val="258.5397892"/>
        <filter val="300763.5759"/>
        <filter val="309081.7101"/>
        <filter val="45215.66892"/>
        <filter val="828.3935941"/>
        <filter val="87610.95525"/>
        <filter val="881.451993"/>
        <filter val="94462.48388"/>
      </filters>
    </filterColumn>
  </autoFilter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sheetPr codeName="Sheet39"/>
  <dimension ref="B1:L74"/>
  <sheetViews>
    <sheetView tabSelected="1" topLeftCell="A36" workbookViewId="0">
      <selection activeCell="B42" sqref="B42:B44"/>
    </sheetView>
  </sheetViews>
  <sheetFormatPr defaultRowHeight="15" x14ac:dyDescent="0.25"/>
  <cols>
    <col min="2" max="2" width="47" bestFit="1" customWidth="1"/>
    <col min="3" max="3" width="13.85546875" customWidth="1"/>
    <col min="4" max="4" width="12.7109375" customWidth="1"/>
    <col min="5" max="5" width="12.140625" bestFit="1" customWidth="1"/>
    <col min="6" max="6" width="11.5703125" bestFit="1" customWidth="1"/>
    <col min="7" max="7" width="12.7109375" bestFit="1" customWidth="1"/>
    <col min="8" max="8" width="11.140625" bestFit="1" customWidth="1"/>
    <col min="11" max="12" width="10.5703125" bestFit="1" customWidth="1"/>
  </cols>
  <sheetData>
    <row r="1" spans="2:4" x14ac:dyDescent="0.25">
      <c r="B1" s="473" t="s">
        <v>383</v>
      </c>
      <c r="C1" s="473"/>
      <c r="D1" s="473"/>
    </row>
    <row r="2" spans="2:4" x14ac:dyDescent="0.25">
      <c r="C2" s="478" t="s">
        <v>349</v>
      </c>
      <c r="D2" s="478"/>
    </row>
    <row r="3" spans="2:4" ht="15.75" thickBot="1" x14ac:dyDescent="0.3">
      <c r="C3">
        <f>År1</f>
        <v>2019</v>
      </c>
      <c r="D3">
        <f>År3</f>
        <v>2050</v>
      </c>
    </row>
    <row r="4" spans="2:4" x14ac:dyDescent="0.25">
      <c r="B4" t="s">
        <v>229</v>
      </c>
      <c r="C4" s="405">
        <f ca="1">SUMIFS('Produktion &amp; forbrug'!$AC$4:$AC$147,'Produktion &amp; forbrug'!$F$4:$F$147,C$3,'Produktion &amp; forbrug'!$B$4:$B$147,$B4)</f>
        <v>6522091.11327485</v>
      </c>
      <c r="D4" s="409">
        <f ca="1">SUMIFS('Produktion &amp; forbrug'!$AC$4:$AC$147,'Produktion &amp; forbrug'!$F$4:$F$147,D$3,'Produktion &amp; forbrug'!$B$4:$B$147,$B4)</f>
        <v>9232763.1366058141</v>
      </c>
    </row>
    <row r="5" spans="2:4" x14ac:dyDescent="0.25">
      <c r="B5" t="s">
        <v>221</v>
      </c>
      <c r="C5" s="179">
        <f>SUMIFS('Produktion &amp; forbrug'!$AC$4:$AC$147,'Produktion &amp; forbrug'!$F$4:$F$147,C$3,'Produktion &amp; forbrug'!$B$4:$B$147,$B5)</f>
        <v>27372347.842478029</v>
      </c>
      <c r="D5" s="180">
        <f>SUMIFS('Produktion &amp; forbrug'!$AC$4:$AC$147,'Produktion &amp; forbrug'!$F$4:$F$147,D$3,'Produktion &amp; forbrug'!$B$4:$B$147,$B5)</f>
        <v>737381.85708088381</v>
      </c>
    </row>
    <row r="6" spans="2:4" x14ac:dyDescent="0.25">
      <c r="B6" t="s">
        <v>203</v>
      </c>
      <c r="C6" s="179">
        <f>SUMIFS('Produktion &amp; forbrug'!$AC$4:$AC$147,'Produktion &amp; forbrug'!$F$4:$F$147,C$3,'Produktion &amp; forbrug'!$B$4:$B$147,$B6)</f>
        <v>0</v>
      </c>
      <c r="D6" s="180">
        <f>SUMIFS('Produktion &amp; forbrug'!$AC$4:$AC$147,'Produktion &amp; forbrug'!$F$4:$F$147,D$3,'Produktion &amp; forbrug'!$B$4:$B$147,$B6)</f>
        <v>4440034.9554218939</v>
      </c>
    </row>
    <row r="7" spans="2:4" x14ac:dyDescent="0.25">
      <c r="B7" t="s">
        <v>223</v>
      </c>
      <c r="C7" s="179">
        <f>SUMIFS('Produktion &amp; forbrug'!$AC$4:$AC$147,'Produktion &amp; forbrug'!$F$4:$F$147,C$3,'Produktion &amp; forbrug'!$B$4:$B$147,$B7)</f>
        <v>0</v>
      </c>
      <c r="D7" s="180">
        <f>SUMIFS('Produktion &amp; forbrug'!$AC$4:$AC$147,'Produktion &amp; forbrug'!$F$4:$F$147,D$3,'Produktion &amp; forbrug'!$B$4:$B$147,$B7)</f>
        <v>0</v>
      </c>
    </row>
    <row r="8" spans="2:4" x14ac:dyDescent="0.25">
      <c r="B8" t="s">
        <v>226</v>
      </c>
      <c r="C8" s="179">
        <f>SUMIFS('Produktion &amp; forbrug'!$AC$4:$AC$147,'Produktion &amp; forbrug'!$F$4:$F$147,C$3,'Produktion &amp; forbrug'!$B$4:$B$147,$B8)</f>
        <v>4426639.260599453</v>
      </c>
      <c r="D8" s="180">
        <f>SUMIFS('Produktion &amp; forbrug'!$AC$4:$AC$147,'Produktion &amp; forbrug'!$F$4:$F$147,D$3,'Produktion &amp; forbrug'!$B$4:$B$147,$B8)</f>
        <v>1319846.5876238905</v>
      </c>
    </row>
    <row r="9" spans="2:4" x14ac:dyDescent="0.25">
      <c r="B9" t="s">
        <v>225</v>
      </c>
      <c r="C9" s="179">
        <f>SUMIFS('Produktion &amp; forbrug'!$AC$4:$AC$147,'Produktion &amp; forbrug'!$F$4:$F$147,C$3,'Produktion &amp; forbrug'!$B$4:$B$147,$B9)</f>
        <v>956.59999999999991</v>
      </c>
      <c r="D9" s="180">
        <f>SUMIFS('Produktion &amp; forbrug'!$AC$4:$AC$147,'Produktion &amp; forbrug'!$F$4:$F$147,D$3,'Produktion &amp; forbrug'!$B$4:$B$147,$B9)</f>
        <v>956.59999999999991</v>
      </c>
    </row>
    <row r="10" spans="2:4" x14ac:dyDescent="0.25">
      <c r="B10" t="s">
        <v>224</v>
      </c>
      <c r="C10" s="179">
        <f ca="1">SUMIFS('Produktion &amp; forbrug'!$AC$4:$AC$147,'Produktion &amp; forbrug'!$F$4:$F$147,C$3,'Produktion &amp; forbrug'!$B$4:$B$147,$B10)</f>
        <v>3220159.2034965986</v>
      </c>
      <c r="D10" s="180">
        <f ca="1">SUMIFS('Produktion &amp; forbrug'!$AC$4:$AC$147,'Produktion &amp; forbrug'!$F$4:$F$147,D$3,'Produktion &amp; forbrug'!$B$4:$B$147,$B10)</f>
        <v>4734466.0383066256</v>
      </c>
    </row>
    <row r="11" spans="2:4" ht="15.75" thickBot="1" x14ac:dyDescent="0.3">
      <c r="B11" t="s">
        <v>230</v>
      </c>
      <c r="C11" s="181">
        <f>SUMIFS('Produktion &amp; forbrug'!$AC$4:$AC$147,'Produktion &amp; forbrug'!$F$4:$F$147,C$3,'Produktion &amp; forbrug'!$B$4:$B$147,$B11)</f>
        <v>112873.31802427147</v>
      </c>
      <c r="D11" s="183">
        <f>SUMIFS('Produktion &amp; forbrug'!$AC$4:$AC$147,'Produktion &amp; forbrug'!$F$4:$F$147,D$3,'Produktion &amp; forbrug'!$B$4:$B$147,$B11)</f>
        <v>300120.38928170811</v>
      </c>
    </row>
    <row r="12" spans="2:4" x14ac:dyDescent="0.25">
      <c r="C12" s="94">
        <f ca="1">SUM(C4:C11)</f>
        <v>41655067.337873198</v>
      </c>
      <c r="D12" s="94">
        <f ca="1">SUM(D4:D11)</f>
        <v>20765569.564320818</v>
      </c>
    </row>
    <row r="13" spans="2:4" ht="15.75" thickBot="1" x14ac:dyDescent="0.3">
      <c r="C13" s="94"/>
      <c r="D13" s="94"/>
    </row>
    <row r="14" spans="2:4" x14ac:dyDescent="0.25">
      <c r="B14" s="436" t="s">
        <v>406</v>
      </c>
      <c r="C14" s="441" t="s">
        <v>410</v>
      </c>
      <c r="D14" s="409"/>
    </row>
    <row r="15" spans="2:4" x14ac:dyDescent="0.25">
      <c r="B15" s="437" t="s">
        <v>409</v>
      </c>
      <c r="C15" s="439">
        <v>2.2400000000000002</v>
      </c>
      <c r="D15" s="180" t="s">
        <v>407</v>
      </c>
    </row>
    <row r="16" spans="2:4" ht="15.75" thickBot="1" x14ac:dyDescent="0.3">
      <c r="B16" s="438" t="s">
        <v>408</v>
      </c>
      <c r="C16" s="440">
        <f>787/(787+186)</f>
        <v>0.80883864337101752</v>
      </c>
      <c r="D16" s="183"/>
    </row>
    <row r="17" spans="2:12" x14ac:dyDescent="0.25">
      <c r="C17" s="94"/>
      <c r="D17" s="94"/>
    </row>
    <row r="19" spans="2:12" x14ac:dyDescent="0.25">
      <c r="B19" s="473" t="s">
        <v>384</v>
      </c>
      <c r="C19" s="473"/>
      <c r="D19" s="473"/>
      <c r="E19" s="473"/>
      <c r="F19" s="473"/>
    </row>
    <row r="20" spans="2:12" x14ac:dyDescent="0.25">
      <c r="C20" s="478" t="s">
        <v>349</v>
      </c>
      <c r="D20" s="478"/>
      <c r="E20" s="478" t="s">
        <v>350</v>
      </c>
      <c r="F20" s="478"/>
      <c r="G20" s="478" t="s">
        <v>411</v>
      </c>
      <c r="H20" s="478"/>
      <c r="I20" s="478" t="s">
        <v>402</v>
      </c>
      <c r="J20" s="478"/>
      <c r="K20" s="478" t="s">
        <v>403</v>
      </c>
      <c r="L20" s="478"/>
    </row>
    <row r="21" spans="2:12" ht="15.75" thickBot="1" x14ac:dyDescent="0.3">
      <c r="C21">
        <f>År1</f>
        <v>2019</v>
      </c>
      <c r="D21">
        <f>År3</f>
        <v>2050</v>
      </c>
      <c r="E21">
        <f>År1</f>
        <v>2019</v>
      </c>
      <c r="F21">
        <f>År3</f>
        <v>2050</v>
      </c>
      <c r="G21">
        <f>År1</f>
        <v>2019</v>
      </c>
      <c r="H21">
        <f>År3</f>
        <v>2050</v>
      </c>
      <c r="I21">
        <v>2019</v>
      </c>
      <c r="J21">
        <v>2050</v>
      </c>
      <c r="K21">
        <v>2019</v>
      </c>
      <c r="L21">
        <v>2050</v>
      </c>
    </row>
    <row r="22" spans="2:12" x14ac:dyDescent="0.25">
      <c r="B22" s="91" t="s">
        <v>15</v>
      </c>
      <c r="C22" s="405">
        <f>SUMIFS('Produktion &amp; forbrug'!$AF$4:$AF$147,'Produktion &amp; forbrug'!$F$4:$F$147,C$3,'Produktion &amp; forbrug'!$C$4:$C$147,$B22)</f>
        <v>235000</v>
      </c>
      <c r="D22" s="409">
        <f>SUMIFS('Produktion &amp; forbrug'!$AF$4:$AF$147,'Produktion &amp; forbrug'!$F$4:$F$147,D$3,'Produktion &amp; forbrug'!$C$4:$C$147,$B22)</f>
        <v>42217.628788690155</v>
      </c>
      <c r="E22" s="417">
        <f>SUMIFS('Produktion &amp; forbrug'!$AD$4:$AD$147,'Produktion &amp; forbrug'!$F$4:$F$147,E$21,'Produktion &amp; forbrug'!$C$4:$C$147,$B22)</f>
        <v>0.32429999999999998</v>
      </c>
      <c r="F22" s="406">
        <f>SUMIFS('Produktion &amp; forbrug'!$AD$4:$AD$147,'Produktion &amp; forbrug'!$F$4:$F$147,F$21,'Produktion &amp; forbrug'!$C$4:$C$147,$B22)</f>
        <v>5.8260327728392416E-2</v>
      </c>
      <c r="G22" s="417" t="s">
        <v>181</v>
      </c>
      <c r="H22" s="406" t="s">
        <v>181</v>
      </c>
      <c r="I22" s="425">
        <f>SUMIFS('Produktion &amp; forbrug'!$AG$4:$AG$147,'Produktion &amp; forbrug'!$F$4:$F$147,C$3,'Produktion &amp; forbrug'!$C$4:$C$147,$B22)</f>
        <v>0.32429999999999998</v>
      </c>
      <c r="J22" s="426">
        <f>SUMIFS('Produktion &amp; forbrug'!$AG$4:$AG$147,'Produktion &amp; forbrug'!$F$4:$F$147,D$3,'Produktion &amp; forbrug'!$C$4:$C$147,$B22)</f>
        <v>5.8260327728392416E-2</v>
      </c>
      <c r="K22" s="424" t="str">
        <f>IF(G22&lt;&gt;"-",I22*1000000000000/G22/1000000,"-")</f>
        <v>-</v>
      </c>
      <c r="L22" s="435" t="str">
        <f>IF(H22&lt;&gt;"-",J22*1000000000000/H22/1000000,"-")</f>
        <v>-</v>
      </c>
    </row>
    <row r="23" spans="2:12" x14ac:dyDescent="0.25">
      <c r="B23" s="91" t="s">
        <v>49</v>
      </c>
      <c r="C23" s="179">
        <f>SUMIFS('Produktion &amp; forbrug'!$AF$4:$AF$147,'Produktion &amp; forbrug'!$F$4:$F$147,C$3,'Produktion &amp; forbrug'!$C$4:$C$147,$B23)</f>
        <v>212954.76453418657</v>
      </c>
      <c r="D23" s="180">
        <f>SUMIFS('Produktion &amp; forbrug'!$AF$4:$AF$147,'Produktion &amp; forbrug'!$F$4:$F$147,D$3,'Produktion &amp; forbrug'!$C$4:$C$147,$B23)</f>
        <v>938380.44520582655</v>
      </c>
      <c r="E23" s="418">
        <f>SUMIFS('Produktion &amp; forbrug'!$AD$4:$AD$147,'Produktion &amp; forbrug'!$F$4:$F$147,E$21,'Produktion &amp; forbrug'!$C$4:$C$147,$B23)</f>
        <v>1.4789708396899257</v>
      </c>
      <c r="F23" s="407">
        <f>SUMIFS('Produktion &amp; forbrug'!$AD$4:$AD$147,'Produktion &amp; forbrug'!$F$4:$F$147,F$21,'Produktion &amp; forbrug'!$C$4:$C$147,$B23)</f>
        <v>6.5170521919544662</v>
      </c>
      <c r="G23" s="179">
        <f>SUMIFS('Direkte input'!G:G,'Direkte input'!$F:$F,"Areal-bælgsæd")</f>
        <v>76936.491003913659</v>
      </c>
      <c r="H23" s="180">
        <f>SUMIFS('Direkte input'!I:I,'Direkte input'!$F:$F,"Areal-bælgsæd")</f>
        <v>254989.11999999997</v>
      </c>
      <c r="I23" s="427">
        <f>SUMIFS('Produktion &amp; forbrug'!$AG$4:$AG$147,'Produktion &amp; forbrug'!$F$4:$F$147,C$3,'Produktion &amp; forbrug'!$C$4:$C$147,$B23)</f>
        <v>1.9818936552198592</v>
      </c>
      <c r="J23" s="428">
        <f>SUMIFS('Produktion &amp; forbrug'!$AG$4:$AG$147,'Produktion &amp; forbrug'!$F$4:$F$147,D$3,'Produktion &amp; forbrug'!$C$4:$C$147,$B23)</f>
        <v>6.5596099746961753</v>
      </c>
      <c r="K23" s="431">
        <f t="shared" ref="K23:K34" si="0">IF(G23&lt;&gt;"-",I23*1000000000000/G23/1000000,"-")</f>
        <v>25.760125388601914</v>
      </c>
      <c r="L23" s="432">
        <f t="shared" ref="L23:L34" si="1">IF(H23&lt;&gt;"-",J23*1000000000000/H23/1000000,"-")</f>
        <v>25.725058287569983</v>
      </c>
    </row>
    <row r="24" spans="2:12" x14ac:dyDescent="0.25">
      <c r="B24" s="91" t="s">
        <v>339</v>
      </c>
      <c r="C24" s="179">
        <f>SUMIFS('Produktion &amp; forbrug'!$AF$4:$AF$147,'Produktion &amp; forbrug'!$F$4:$F$147,C$3,'Produktion &amp; forbrug'!$C$4:$C$147,$B24)</f>
        <v>1918344.9215345967</v>
      </c>
      <c r="D24" s="180">
        <f>SUMIFS('Produktion &amp; forbrug'!$AF$4:$AF$147,'Produktion &amp; forbrug'!$F$4:$F$147,D$3,'Produktion &amp; forbrug'!$C$4:$C$147,$B24)</f>
        <v>66766.505156136613</v>
      </c>
      <c r="E24" s="418">
        <f>SUMIFS('Produktion &amp; forbrug'!$AD$4:$AD$147,'Produktion &amp; forbrug'!$F$4:$F$147,E$21,'Produktion &amp; forbrug'!$C$4:$C$147,$B24)</f>
        <v>3.654108115551467</v>
      </c>
      <c r="F24" s="407">
        <f>SUMIFS('Produktion &amp; forbrug'!$AD$4:$AD$147,'Produktion &amp; forbrug'!$F$4:$F$147,F$21,'Produktion &amp; forbrug'!$C$4:$C$147,$B24)</f>
        <v>0.12739738926111124</v>
      </c>
      <c r="G24" s="418" t="s">
        <v>181</v>
      </c>
      <c r="H24" s="407" t="s">
        <v>181</v>
      </c>
      <c r="I24" s="427">
        <f>SUMIFS('Produktion &amp; forbrug'!$AG$4:$AG$147,'Produktion &amp; forbrug'!$F$4:$F$147,C$3,'Produktion &amp; forbrug'!$C$4:$C$147,$B24)</f>
        <v>3.654108115551467</v>
      </c>
      <c r="J24" s="428">
        <f>SUMIFS('Produktion &amp; forbrug'!$AG$4:$AG$147,'Produktion &amp; forbrug'!$F$4:$F$147,D$3,'Produktion &amp; forbrug'!$C$4:$C$147,$B24)</f>
        <v>0.12739738926111124</v>
      </c>
      <c r="K24" s="431" t="str">
        <f t="shared" si="0"/>
        <v>-</v>
      </c>
      <c r="L24" s="432" t="str">
        <f t="shared" si="1"/>
        <v>-</v>
      </c>
    </row>
    <row r="25" spans="2:12" x14ac:dyDescent="0.25">
      <c r="B25" s="91" t="s">
        <v>54</v>
      </c>
      <c r="C25" s="179">
        <f>SUMIFS('Produktion &amp; forbrug'!$AF$4:$AF$147,'Produktion &amp; forbrug'!$F$4:$F$147,C$3,'Produktion &amp; forbrug'!$C$4:$C$147,$B25)</f>
        <v>41728.949017214291</v>
      </c>
      <c r="D25" s="180">
        <f>SUMIFS('Produktion &amp; forbrug'!$AF$4:$AF$147,'Produktion &amp; forbrug'!$F$4:$F$147,D$3,'Produktion &amp; forbrug'!$C$4:$C$147,$B25)</f>
        <v>1093650.863002714</v>
      </c>
      <c r="E25" s="418">
        <f>SUMIFS('Produktion &amp; forbrug'!$AD$4:$AD$147,'Produktion &amp; forbrug'!$F$4:$F$147,E$21,'Produktion &amp; forbrug'!$C$4:$C$147,$B25)</f>
        <v>2.1699053488951431E-2</v>
      </c>
      <c r="F25" s="407">
        <f>SUMIFS('Produktion &amp; forbrug'!$AD$4:$AD$147,'Produktion &amp; forbrug'!$F$4:$F$147,F$21,'Produktion &amp; forbrug'!$C$4:$C$147,$B25)</f>
        <v>0.56869844876141129</v>
      </c>
      <c r="G25" s="179">
        <f>SUMIFS('Direkte input'!G:G,'Direkte input'!$F:$F,"Areal-frugt")</f>
        <v>5112.5796318426765</v>
      </c>
      <c r="H25" s="180">
        <f>SUMIFS('Direkte input'!I:I,'Direkte input'!$F:$F,"Areal-frugt")</f>
        <v>134237.60560288333</v>
      </c>
      <c r="I25" s="427">
        <f>SUMIFS('Produktion &amp; forbrug'!$AG$4:$AG$147,'Produktion &amp; forbrug'!$F$4:$F$147,C$3,'Produktion &amp; forbrug'!$C$4:$C$147,$B25)</f>
        <v>2.1699053488951431E-2</v>
      </c>
      <c r="J25" s="428">
        <f>SUMIFS('Produktion &amp; forbrug'!$AG$4:$AG$147,'Produktion &amp; forbrug'!$F$4:$F$147,D$3,'Produktion &amp; forbrug'!$C$4:$C$147,$B25)</f>
        <v>0.56869844876141129</v>
      </c>
      <c r="K25" s="431">
        <f t="shared" si="0"/>
        <v>4.2442475328507809</v>
      </c>
      <c r="L25" s="432">
        <f t="shared" si="1"/>
        <v>4.2365062026195446</v>
      </c>
    </row>
    <row r="26" spans="2:12" x14ac:dyDescent="0.25">
      <c r="B26" s="91" t="s">
        <v>51</v>
      </c>
      <c r="C26" s="179">
        <f>SUMIFS('Produktion &amp; forbrug'!$AF$4:$AF$147,'Produktion &amp; forbrug'!$F$4:$F$147,C$3,'Produktion &amp; forbrug'!$C$4:$C$147,$B26)</f>
        <v>0</v>
      </c>
      <c r="D26" s="180">
        <f>SUMIFS('Produktion &amp; forbrug'!$AF$4:$AF$147,'Produktion &amp; forbrug'!$F$4:$F$147,D$3,'Produktion &amp; forbrug'!$C$4:$C$147,$B26)</f>
        <v>14551768.272753747</v>
      </c>
      <c r="E26" s="418">
        <f>SUMIFS('Produktion &amp; forbrug'!$AD$4:$AD$147,'Produktion &amp; forbrug'!$F$4:$F$147,E$21,'Produktion &amp; forbrug'!$C$4:$C$147,$B26)</f>
        <v>0</v>
      </c>
      <c r="F26" s="407">
        <f>SUMIFS('Produktion &amp; forbrug'!$AD$4:$AD$147,'Produktion &amp; forbrug'!$F$4:$F$147,F$21,'Produktion &amp; forbrug'!$C$4:$C$147,$B26)</f>
        <v>4.0017362750072811</v>
      </c>
      <c r="G26" s="179">
        <f>SUMIFS('Direkte input'!G:G,'Direkte input'!$F:$F,"Areal-græs")+SUMIFS('Direkte input'!G:G,'Direkte input'!$F:$F,"Areal-permanent græs")</f>
        <v>509653.44778886822</v>
      </c>
      <c r="H26" s="180">
        <f>SUMIFS('Direkte input'!I:I,'Direkte input'!$F:$F,"Areal-græs")+SUMIFS('Direkte input'!I:I,'Direkte input'!$F:$F,"Areal-permanent græs")</f>
        <v>554182.79134800436</v>
      </c>
      <c r="I26" s="427">
        <f>SUMIFS('Produktion &amp; forbrug'!$AG$4:$AG$147,'Produktion &amp; forbrug'!$F$4:$F$147,C$3,'Produktion &amp; forbrug'!$C$4:$C$147,$B26)</f>
        <v>0</v>
      </c>
      <c r="J26" s="428">
        <f>SUMIFS('Produktion &amp; forbrug'!$AG$4:$AG$147,'Produktion &amp; forbrug'!$F$4:$F$147,D$3,'Produktion &amp; forbrug'!$C$4:$C$147,$B26)</f>
        <v>6.1502706419547719</v>
      </c>
      <c r="K26" s="431">
        <f t="shared" si="0"/>
        <v>0</v>
      </c>
      <c r="L26" s="432">
        <f t="shared" si="1"/>
        <v>11.09790981960075</v>
      </c>
    </row>
    <row r="27" spans="2:12" x14ac:dyDescent="0.25">
      <c r="B27" s="91" t="s">
        <v>6</v>
      </c>
      <c r="C27" s="179">
        <f>SUMIFS('Produktion &amp; forbrug'!$AF$4:$AF$147,'Produktion &amp; forbrug'!$F$4:$F$147,C$3,'Produktion &amp; forbrug'!$C$4:$C$147,$B27)</f>
        <v>280322.43675931642</v>
      </c>
      <c r="D27" s="180">
        <f>SUMIFS('Produktion &amp; forbrug'!$AF$4:$AF$147,'Produktion &amp; forbrug'!$F$4:$F$147,D$3,'Produktion &amp; forbrug'!$C$4:$C$147,$B27)</f>
        <v>426005.5806566042</v>
      </c>
      <c r="E27" s="418">
        <f>SUMIFS('Produktion &amp; forbrug'!$AD$4:$AD$147,'Produktion &amp; forbrug'!$F$4:$F$147,E$21,'Produktion &amp; forbrug'!$C$4:$C$147,$B27)</f>
        <v>0.10932575033613341</v>
      </c>
      <c r="F27" s="407">
        <f>SUMIFS('Produktion &amp; forbrug'!$AD$4:$AD$147,'Produktion &amp; forbrug'!$F$4:$F$147,F$21,'Produktion &amp; forbrug'!$C$4:$C$147,$B27)</f>
        <v>0.16614217645607562</v>
      </c>
      <c r="G27" s="179">
        <f>SUMIFS('Direkte input'!G:G,'Direkte input'!$F:$F,"Areal-grøntsager")</f>
        <v>12737.861407364735</v>
      </c>
      <c r="H27" s="180">
        <f>SUMIFS('Direkte input'!I:I,'Direkte input'!$F:$F,"Areal-grøntsager")</f>
        <v>19247.577601714402</v>
      </c>
      <c r="I27" s="427">
        <f>SUMIFS('Produktion &amp; forbrug'!$AG$4:$AG$147,'Produktion &amp; forbrug'!$F$4:$F$147,C$3,'Produktion &amp; forbrug'!$C$4:$C$147,$B27)</f>
        <v>0.10932575033613341</v>
      </c>
      <c r="J27" s="428">
        <f>SUMIFS('Produktion &amp; forbrug'!$AG$4:$AG$147,'Produktion &amp; forbrug'!$F$4:$F$147,D$3,'Produktion &amp; forbrug'!$C$4:$C$147,$B27)</f>
        <v>0.16614217645607562</v>
      </c>
      <c r="K27" s="431">
        <f t="shared" si="0"/>
        <v>8.5827398210600556</v>
      </c>
      <c r="L27" s="432">
        <f t="shared" si="1"/>
        <v>8.6318486353980024</v>
      </c>
    </row>
    <row r="28" spans="2:12" x14ac:dyDescent="0.25">
      <c r="B28" s="91" t="s">
        <v>342</v>
      </c>
      <c r="C28" s="179">
        <f>SUMIFS('Produktion &amp; forbrug'!$AF$4:$AF$147,'Produktion &amp; forbrug'!$F$4:$F$147,C$3,'Produktion &amp; forbrug'!$C$4:$C$147,$B28)</f>
        <v>0</v>
      </c>
      <c r="D28" s="180">
        <f>SUMIFS('Produktion &amp; forbrug'!$AF$4:$AF$147,'Produktion &amp; forbrug'!$F$4:$F$147,D$3,'Produktion &amp; forbrug'!$C$4:$C$147,$B28)</f>
        <v>300120.38928170811</v>
      </c>
      <c r="E28" s="418">
        <f>SUMIFS('Produktion &amp; forbrug'!$AD$4:$AD$147,'Produktion &amp; forbrug'!$F$4:$F$147,E$21,'Produktion &amp; forbrug'!$C$4:$C$147,$B28)</f>
        <v>0</v>
      </c>
      <c r="F28" s="407">
        <f>SUMIFS('Produktion &amp; forbrug'!$AD$4:$AD$147,'Produktion &amp; forbrug'!$F$4:$F$147,F$21,'Produktion &amp; forbrug'!$C$4:$C$147,$B28)</f>
        <v>2.7010835035353731</v>
      </c>
      <c r="G28" s="179">
        <f>SUMIFS('Direkte input'!G:G,'Direkte input'!$F:$F,"Areal-raps")</f>
        <v>161391.51776080468</v>
      </c>
      <c r="H28" s="180">
        <f>SUMIFS('Direkte input'!I:I,'Direkte input'!$F:$F,"Areal-raps")</f>
        <v>224990.39999999997</v>
      </c>
      <c r="I28" s="427">
        <f>SUMIFS('Produktion &amp; forbrug'!$AG$4:$AG$147,'Produktion &amp; forbrug'!$F$4:$F$147,C$3,'Produktion &amp; forbrug'!$C$4:$C$147,$B28)</f>
        <v>0</v>
      </c>
      <c r="J28" s="428">
        <f>SUMIFS('Produktion &amp; forbrug'!$AG$4:$AG$147,'Produktion &amp; forbrug'!$F$4:$F$147,D$3,'Produktion &amp; forbrug'!$C$4:$C$147,$B28)</f>
        <v>2.7010835035353731</v>
      </c>
      <c r="K28" s="431">
        <f t="shared" si="0"/>
        <v>0</v>
      </c>
      <c r="L28" s="432">
        <f t="shared" si="1"/>
        <v>12.005327798587732</v>
      </c>
    </row>
    <row r="29" spans="2:12" x14ac:dyDescent="0.25">
      <c r="B29" s="91" t="s">
        <v>159</v>
      </c>
      <c r="C29" s="179">
        <f>SUMIFS('Produktion &amp; forbrug'!$AF$4:$AF$147,'Produktion &amp; forbrug'!$F$4:$F$147,C$3,'Produktion &amp; forbrug'!$C$4:$C$147,$B29)</f>
        <v>-5421074.2654714445</v>
      </c>
      <c r="D29" s="180">
        <f>SUMIFS('Produktion &amp; forbrug'!$AF$4:$AF$147,'Produktion &amp; forbrug'!$F$4:$F$147,D$3,'Produktion &amp; forbrug'!$C$4:$C$147,$B29)</f>
        <v>0</v>
      </c>
      <c r="E29" s="418">
        <f>SUMIFS('Produktion &amp; forbrug'!$AD$4:$AD$147,'Produktion &amp; forbrug'!$F$4:$F$147,E$21,'Produktion &amp; forbrug'!$C$4:$C$147,$B29)</f>
        <v>-3.0900123313187238</v>
      </c>
      <c r="F29" s="407">
        <f>SUMIFS('Produktion &amp; forbrug'!$AD$4:$AD$147,'Produktion &amp; forbrug'!$F$4:$F$147,F$21,'Produktion &amp; forbrug'!$C$4:$C$147,$B29)</f>
        <v>0</v>
      </c>
      <c r="G29" s="442">
        <f>IF(C29=0,"-",-C29/$C$15*$C$16)</f>
        <v>1957488.5511149368</v>
      </c>
      <c r="H29" s="443" t="str">
        <f>IF(D29=0,"-",-D29/$C$15*$C$16)</f>
        <v>-</v>
      </c>
      <c r="I29" s="444">
        <f>-SUMIFS('Produktion &amp; forbrug'!$AG$4:$AG$147,'Produktion &amp; forbrug'!$F$4:$F$147,C$3,'Produktion &amp; forbrug'!$C$4:$C$147,$B29)</f>
        <v>3.0900123313187238</v>
      </c>
      <c r="J29" s="445">
        <f>SUMIFS('Produktion &amp; forbrug'!$AG$4:$AG$147,'Produktion &amp; forbrug'!$F$4:$F$147,D$3,'Produktion &amp; forbrug'!$C$4:$C$147,$B29)</f>
        <v>0</v>
      </c>
      <c r="K29" s="431">
        <f t="shared" ref="K29" si="2">IF(G29&lt;&gt;"-",I29*1000000000000/G29/1000000,"-")</f>
        <v>1.5785595933926304</v>
      </c>
      <c r="L29" s="432" t="str">
        <f t="shared" ref="L29" si="3">IF(H29&lt;&gt;"-",J29*1000000000000/H29/1000000,"-")</f>
        <v>-</v>
      </c>
    </row>
    <row r="30" spans="2:12" x14ac:dyDescent="0.25">
      <c r="B30" s="91" t="s">
        <v>12</v>
      </c>
      <c r="C30" s="179">
        <f>SUMIFS('Produktion &amp; forbrug'!$AF$4:$AF$147,'Produktion &amp; forbrug'!$F$4:$F$147,C$3,'Produktion &amp; forbrug'!$C$4:$C$147,$B30)</f>
        <v>2263176.157376945</v>
      </c>
      <c r="D30" s="180">
        <f>SUMIFS('Produktion &amp; forbrug'!$AF$4:$AF$147,'Produktion &amp; forbrug'!$F$4:$F$147,D$3,'Produktion &amp; forbrug'!$C$4:$C$147,$B30)</f>
        <v>3299462.6181114498</v>
      </c>
      <c r="E30" s="418">
        <f>SUMIFS('Produktion &amp; forbrug'!$AD$4:$AD$147,'Produktion &amp; forbrug'!$F$4:$F$147,E$21,'Produktion &amp; forbrug'!$C$4:$C$147,$B30)</f>
        <v>1.765277402754017</v>
      </c>
      <c r="F30" s="407">
        <f>SUMIFS('Produktion &amp; forbrug'!$AD$4:$AD$147,'Produktion &amp; forbrug'!$F$4:$F$147,F$21,'Produktion &amp; forbrug'!$C$4:$C$147,$B30)</f>
        <v>2.5735808421269306</v>
      </c>
      <c r="G30" s="179">
        <f>SUMIFS('Direkte input'!G:G,'Direkte input'!$F:$F,"Areal-kartofler")</f>
        <v>55123.467536910946</v>
      </c>
      <c r="H30" s="180">
        <f>SUMIFS('Direkte input'!I:I,'Direkte input'!$F:$F,"Areal-kartofler")</f>
        <v>80957.099640307584</v>
      </c>
      <c r="I30" s="427">
        <f>SUMIFS('Produktion &amp; forbrug'!$AG$4:$AG$147,'Produktion &amp; forbrug'!$F$4:$F$147,C$3,'Produktion &amp; forbrug'!$C$4:$C$147,$B30)</f>
        <v>1.765277402754017</v>
      </c>
      <c r="J30" s="428">
        <f>SUMIFS('Produktion &amp; forbrug'!$AG$4:$AG$147,'Produktion &amp; forbrug'!$F$4:$F$147,D$3,'Produktion &amp; forbrug'!$C$4:$C$147,$B30)</f>
        <v>2.5735808421269306</v>
      </c>
      <c r="K30" s="431">
        <f t="shared" si="0"/>
        <v>32.02406310110986</v>
      </c>
      <c r="L30" s="432">
        <f t="shared" si="1"/>
        <v>31.789439759593058</v>
      </c>
    </row>
    <row r="31" spans="2:12" x14ac:dyDescent="0.25">
      <c r="B31" s="91" t="s">
        <v>48</v>
      </c>
      <c r="C31" s="179">
        <f>SUMIFS('Produktion &amp; forbrug'!$AF$4:$AF$147,'Produktion &amp; forbrug'!$F$4:$F$147,C$3,'Produktion &amp; forbrug'!$C$4:$C$147,$B31)</f>
        <v>3798044.7816959741</v>
      </c>
      <c r="D31" s="180">
        <f>SUMIFS('Produktion &amp; forbrug'!$AF$4:$AF$147,'Produktion &amp; forbrug'!$F$4:$F$147,D$3,'Produktion &amp; forbrug'!$C$4:$C$147,$B31)</f>
        <v>520107.073805633</v>
      </c>
      <c r="E31" s="418">
        <f>SUMIFS('Produktion &amp; forbrug'!$AD$4:$AD$147,'Produktion &amp; forbrug'!$F$4:$F$147,E$21,'Produktion &amp; forbrug'!$C$4:$C$147,$B31)</f>
        <v>7.0034546956775827</v>
      </c>
      <c r="F31" s="407">
        <f>SUMIFS('Produktion &amp; forbrug'!$AD$4:$AD$147,'Produktion &amp; forbrug'!$F$4:$F$147,F$21,'Produktion &amp; forbrug'!$C$4:$C$147,$B31)</f>
        <v>1.1466827819162171</v>
      </c>
      <c r="G31" s="179">
        <f>SUMIFS('Direkte input'!G:G,'Direkte input'!$F:$F,"Areal-korn")+SUMIFS('Direkte input'!G:G,'Direkte input'!$F:$F,"Areal-majs")</f>
        <v>1518407.3793527978</v>
      </c>
      <c r="H31" s="180">
        <f>SUMIFS('Direkte input'!I:I,'Direkte input'!$F:$F,"Areal-korn")+SUMIFS('Direkte input'!I:I,'Direkte input'!$F:$F,"Areal-majs")</f>
        <v>97716.991808888037</v>
      </c>
      <c r="I31" s="427">
        <f>SUMIFS('Produktion &amp; forbrug'!$AG$4:$AG$147,'Produktion &amp; forbrug'!$F$4:$F$147,C$3,'Produktion &amp; forbrug'!$C$4:$C$147,$B31)</f>
        <v>28.417641204671398</v>
      </c>
      <c r="J31" s="428">
        <f>SUMIFS('Produktion &amp; forbrug'!$AG$4:$AG$147,'Produktion &amp; forbrug'!$F$4:$F$147,D$3,'Produktion &amp; forbrug'!$C$4:$C$147,$B31)</f>
        <v>1.9590992759534762</v>
      </c>
      <c r="K31" s="431">
        <f t="shared" si="0"/>
        <v>18.715426170270632</v>
      </c>
      <c r="L31" s="432">
        <f t="shared" si="1"/>
        <v>20.048706368131182</v>
      </c>
    </row>
    <row r="32" spans="2:12" x14ac:dyDescent="0.25">
      <c r="B32" s="91" t="s">
        <v>116</v>
      </c>
      <c r="C32" s="179">
        <f>SUMIFS('Produktion &amp; forbrug'!$AF$4:$AF$147,'Produktion &amp; forbrug'!$F$4:$F$147,C$3,'Produktion &amp; forbrug'!$C$4:$C$147,$B32)</f>
        <v>3383628.2</v>
      </c>
      <c r="D32" s="180">
        <f>SUMIFS('Produktion &amp; forbrug'!$AF$4:$AF$147,'Produktion &amp; forbrug'!$F$4:$F$147,D$3,'Produktion &amp; forbrug'!$C$4:$C$147,$B32)</f>
        <v>0</v>
      </c>
      <c r="E32" s="418">
        <f>SUMIFS('Produktion &amp; forbrug'!$AD$4:$AD$147,'Produktion &amp; forbrug'!$F$4:$F$147,E$21,'Produktion &amp; forbrug'!$C$4:$C$147,$B32)</f>
        <v>2.1316857659999999</v>
      </c>
      <c r="F32" s="407">
        <f>SUMIFS('Produktion &amp; forbrug'!$AD$4:$AD$147,'Produktion &amp; forbrug'!$F$4:$F$147,F$21,'Produktion &amp; forbrug'!$C$4:$C$147,$B32)</f>
        <v>0</v>
      </c>
      <c r="G32" s="179" t="s">
        <v>181</v>
      </c>
      <c r="H32" s="180" t="s">
        <v>181</v>
      </c>
      <c r="I32" s="427">
        <f>SUMIFS('Produktion &amp; forbrug'!$AG$4:$AG$147,'Produktion &amp; forbrug'!$F$4:$F$147,C$3,'Produktion &amp; forbrug'!$C$4:$C$147,$B32)</f>
        <v>2.1316857659999999</v>
      </c>
      <c r="J32" s="428">
        <f>SUMIFS('Produktion &amp; forbrug'!$AG$4:$AG$147,'Produktion &amp; forbrug'!$F$4:$F$147,D$3,'Produktion &amp; forbrug'!$C$4:$C$147,$B32)</f>
        <v>0</v>
      </c>
      <c r="K32" s="431" t="str">
        <f t="shared" si="0"/>
        <v>-</v>
      </c>
      <c r="L32" s="432" t="str">
        <f t="shared" si="1"/>
        <v>-</v>
      </c>
    </row>
    <row r="33" spans="2:12" x14ac:dyDescent="0.25">
      <c r="B33" s="91" t="s">
        <v>341</v>
      </c>
      <c r="C33" s="179">
        <f>SUMIFS('Produktion &amp; forbrug'!$AF$4:$AF$147,'Produktion &amp; forbrug'!$F$4:$F$147,C$3,'Produktion &amp; forbrug'!$C$4:$C$147,$B33)</f>
        <v>956.59999999999991</v>
      </c>
      <c r="D33" s="180">
        <f>SUMIFS('Produktion &amp; forbrug'!$AF$4:$AF$147,'Produktion &amp; forbrug'!$F$4:$F$147,D$3,'Produktion &amp; forbrug'!$C$4:$C$147,$B33)</f>
        <v>956.59999999999991</v>
      </c>
      <c r="E33" s="418">
        <f>SUMIFS('Produktion &amp; forbrug'!$AD$4:$AD$147,'Produktion &amp; forbrug'!$F$4:$F$147,E$21,'Produktion &amp; forbrug'!$C$4:$C$147,$B33)</f>
        <v>7.6169499999999995E-4</v>
      </c>
      <c r="F33" s="407">
        <f>SUMIFS('Produktion &amp; forbrug'!$AD$4:$AD$147,'Produktion &amp; forbrug'!$F$4:$F$147,F$21,'Produktion &amp; forbrug'!$C$4:$C$147,$B33)</f>
        <v>7.6169499999999995E-4</v>
      </c>
      <c r="G33" s="179" t="s">
        <v>181</v>
      </c>
      <c r="H33" s="180" t="s">
        <v>181</v>
      </c>
      <c r="I33" s="427">
        <f>SUMIFS('Produktion &amp; forbrug'!$AG$4:$AG$147,'Produktion &amp; forbrug'!$F$4:$F$147,C$3,'Produktion &amp; forbrug'!$C$4:$C$147,$B33)</f>
        <v>7.6169499999999995E-4</v>
      </c>
      <c r="J33" s="428">
        <f>SUMIFS('Produktion &amp; forbrug'!$AG$4:$AG$147,'Produktion &amp; forbrug'!$F$4:$F$147,D$3,'Produktion &amp; forbrug'!$C$4:$C$147,$B33)</f>
        <v>7.6169499999999995E-4</v>
      </c>
      <c r="K33" s="431" t="str">
        <f t="shared" si="0"/>
        <v>-</v>
      </c>
      <c r="L33" s="432" t="str">
        <f t="shared" si="1"/>
        <v>-</v>
      </c>
    </row>
    <row r="34" spans="2:12" ht="15.75" thickBot="1" x14ac:dyDescent="0.3">
      <c r="B34" s="91" t="s">
        <v>52</v>
      </c>
      <c r="C34" s="181">
        <f>SUMIFS('Produktion &amp; forbrug'!$AF$4:$AF$147,'Produktion &amp; forbrug'!$F$4:$F$147,C$3,'Produktion &amp; forbrug'!$C$4:$C$147,$B34)</f>
        <v>1662278.5794471605</v>
      </c>
      <c r="D34" s="183">
        <f>SUMIFS('Produktion &amp; forbrug'!$AF$4:$AF$147,'Produktion &amp; forbrug'!$F$4:$F$147,D$3,'Produktion &amp; forbrug'!$C$4:$C$147,$B34)</f>
        <v>1818979.7815367144</v>
      </c>
      <c r="E34" s="419">
        <f>SUMIFS('Produktion &amp; forbrug'!$AD$4:$AD$147,'Produktion &amp; forbrug'!$F$4:$F$147,E$21,'Produktion &amp; forbrug'!$C$4:$C$147,$B34)</f>
        <v>0.49868357383414813</v>
      </c>
      <c r="F34" s="408">
        <f>SUMIFS('Produktion &amp; forbrug'!$AD$4:$AD$147,'Produktion &amp; forbrug'!$F$4:$F$147,F$21,'Produktion &amp; forbrug'!$C$4:$C$147,$B34)</f>
        <v>0.54569393446101433</v>
      </c>
      <c r="G34" s="181">
        <f>SUMIFS('Direkte input'!G:G,'Direkte input'!$F:$F,"Areal-roer")</f>
        <v>33713.005264576917</v>
      </c>
      <c r="H34" s="183">
        <f>SUMIFS('Direkte input'!I:I,'Direkte input'!$F:$F,"Areal-roer")</f>
        <v>49788.922757978027</v>
      </c>
      <c r="I34" s="429">
        <f>SUMIFS('Produktion &amp; forbrug'!$AG$4:$AG$147,'Produktion &amp; forbrug'!$F$4:$F$147,C$3,'Produktion &amp; forbrug'!$C$4:$C$147,$B34)</f>
        <v>0.78325021257093119</v>
      </c>
      <c r="J34" s="430">
        <f>SUMIFS('Produktion &amp; forbrug'!$AG$4:$AG$147,'Produktion &amp; forbrug'!$F$4:$F$147,D$3,'Produktion &amp; forbrug'!$C$4:$C$147,$B34)</f>
        <v>1.1646464605361453</v>
      </c>
      <c r="K34" s="433">
        <f t="shared" si="0"/>
        <v>23.232880202285362</v>
      </c>
      <c r="L34" s="434">
        <f t="shared" si="1"/>
        <v>23.391678229260862</v>
      </c>
    </row>
    <row r="35" spans="2:12" x14ac:dyDescent="0.25">
      <c r="B35" t="s">
        <v>30</v>
      </c>
      <c r="C35" s="94">
        <f t="shared" ref="C35:F35" si="4">SUM(C22:C34)</f>
        <v>8375361.1248939494</v>
      </c>
      <c r="D35" s="94">
        <f t="shared" si="4"/>
        <v>23058415.758299224</v>
      </c>
      <c r="E35" s="401">
        <f t="shared" si="4"/>
        <v>13.898254561013502</v>
      </c>
      <c r="F35" s="401">
        <f t="shared" si="4"/>
        <v>18.407089566208271</v>
      </c>
      <c r="G35" s="94">
        <f>SUM(G22:G34)+E37</f>
        <v>4330564.3008620162</v>
      </c>
      <c r="H35" s="94">
        <f>SUM(H22:H34)+F37</f>
        <v>1416151.4134032561</v>
      </c>
      <c r="I35" s="423"/>
      <c r="J35" s="423"/>
    </row>
    <row r="36" spans="2:12" x14ac:dyDescent="0.25">
      <c r="B36" t="s">
        <v>404</v>
      </c>
      <c r="C36" t="s">
        <v>181</v>
      </c>
      <c r="D36" t="s">
        <v>181</v>
      </c>
      <c r="E36" s="423">
        <f>0*10/90</f>
        <v>0</v>
      </c>
      <c r="F36" s="423">
        <f>F35*10/90</f>
        <v>2.0452321740231412</v>
      </c>
    </row>
    <row r="37" spans="2:12" x14ac:dyDescent="0.25">
      <c r="B37" t="s">
        <v>405</v>
      </c>
      <c r="C37" t="s">
        <v>181</v>
      </c>
      <c r="D37" t="s">
        <v>181</v>
      </c>
      <c r="E37" s="423">
        <f>E36*1000000/50000</f>
        <v>0</v>
      </c>
      <c r="F37" s="423">
        <f>F36*1000000/50000</f>
        <v>40.904643480462823</v>
      </c>
    </row>
    <row r="38" spans="2:12" x14ac:dyDescent="0.25">
      <c r="B38" s="91" t="s">
        <v>424</v>
      </c>
      <c r="C38" s="449">
        <f t="shared" ref="C38:E38" si="5">SUM(C35:C36)</f>
        <v>8375361.1248939494</v>
      </c>
      <c r="D38" s="449">
        <f t="shared" si="5"/>
        <v>23058415.758299224</v>
      </c>
      <c r="E38" s="448">
        <f t="shared" si="5"/>
        <v>13.898254561013502</v>
      </c>
      <c r="F38" s="448">
        <f>SUM(F35:F36)</f>
        <v>20.452321740231412</v>
      </c>
    </row>
    <row r="39" spans="2:12" x14ac:dyDescent="0.25">
      <c r="B39" s="91" t="s">
        <v>423</v>
      </c>
      <c r="E39" s="448">
        <f>E35/G35*1000000</f>
        <v>3.2093403065847559</v>
      </c>
      <c r="F39" s="448">
        <f>F35/H35*1000000</f>
        <v>12.997967160851013</v>
      </c>
    </row>
    <row r="40" spans="2:12" x14ac:dyDescent="0.25">
      <c r="B40" s="91"/>
      <c r="E40" s="423"/>
      <c r="F40" s="423"/>
    </row>
    <row r="41" spans="2:12" x14ac:dyDescent="0.25">
      <c r="B41" s="91" t="s">
        <v>419</v>
      </c>
      <c r="E41" s="423"/>
      <c r="F41" s="423"/>
    </row>
    <row r="42" spans="2:12" x14ac:dyDescent="0.25">
      <c r="B42" s="492" t="s">
        <v>418</v>
      </c>
      <c r="C42" s="412">
        <v>0.45600000000000002</v>
      </c>
      <c r="D42" s="412">
        <v>0.45600000000000002</v>
      </c>
      <c r="E42" s="423"/>
      <c r="F42" s="423"/>
    </row>
    <row r="43" spans="2:12" x14ac:dyDescent="0.25">
      <c r="B43" s="492" t="s">
        <v>432</v>
      </c>
      <c r="C43" s="412">
        <f>41/274</f>
        <v>0.14963503649635038</v>
      </c>
      <c r="D43" s="412">
        <f>41/274</f>
        <v>0.14963503649635038</v>
      </c>
      <c r="E43" s="423"/>
      <c r="F43" s="423"/>
    </row>
    <row r="44" spans="2:12" x14ac:dyDescent="0.25">
      <c r="B44" s="492" t="s">
        <v>421</v>
      </c>
      <c r="C44" s="412">
        <v>0</v>
      </c>
      <c r="D44" s="412">
        <v>1</v>
      </c>
      <c r="E44" s="423"/>
      <c r="F44" s="423"/>
    </row>
    <row r="45" spans="2:12" x14ac:dyDescent="0.25">
      <c r="B45" s="91"/>
      <c r="E45" s="423"/>
      <c r="F45" s="423"/>
    </row>
    <row r="46" spans="2:12" x14ac:dyDescent="0.25">
      <c r="C46" s="478" t="s">
        <v>416</v>
      </c>
      <c r="D46" s="478"/>
      <c r="E46" s="478" t="s">
        <v>430</v>
      </c>
      <c r="F46" s="478"/>
    </row>
    <row r="47" spans="2:12" ht="15.75" thickBot="1" x14ac:dyDescent="0.3">
      <c r="C47">
        <f>År1</f>
        <v>2019</v>
      </c>
      <c r="D47">
        <f>År3</f>
        <v>2050</v>
      </c>
      <c r="E47">
        <f>År1</f>
        <v>2019</v>
      </c>
      <c r="F47">
        <f>År3</f>
        <v>2050</v>
      </c>
    </row>
    <row r="48" spans="2:12" x14ac:dyDescent="0.25">
      <c r="B48" t="s">
        <v>229</v>
      </c>
      <c r="C48" s="405">
        <f ca="1">SUMIFS('Produktion &amp; forbrug'!$AE$4:$AE$147,'Produktion &amp; forbrug'!$F$4:$F$147,C$3,'Produktion &amp; forbrug'!$B$4:$B$147,$B48)+SUMIFS('Produktion &amp; forbrug'!$K$4:$K$147,'Produktion &amp; forbrug'!$F$4:$F$147,C$3,'Produktion &amp; forbrug'!$B$4:$B$147,$B48)</f>
        <v>9091963.1968560591</v>
      </c>
      <c r="D48" s="409">
        <f ca="1">SUMIFS('Produktion &amp; forbrug'!$AE$4:$AE$147,'Produktion &amp; forbrug'!$F$4:$F$147,D$3,'Produktion &amp; forbrug'!$B$4:$B$147,$B48)</f>
        <v>9232763.1366058141</v>
      </c>
      <c r="E48" s="405">
        <f ca="1">SUMIFS('Produktion &amp; forbrug'!$AH$4:$AH$147,'Produktion &amp; forbrug'!$F$4:$F$147,C$3,'Produktion &amp; forbrug'!$B$4:$B$147,$B48)+SUMIFS('Produktion &amp; forbrug'!$AI$4:$AI$147,'Produktion &amp; forbrug'!$F$4:$F$147,C$3,'Produktion &amp; forbrug'!$B$4:$B$147,$B48)</f>
        <v>1117096.2125026372</v>
      </c>
      <c r="F48" s="409">
        <f ca="1">SUMIFS('Produktion &amp; forbrug'!$AH$4:$AH$147,'Produktion &amp; forbrug'!$F$4:$F$147,D$3,'Produktion &amp; forbrug'!$B$4:$B$147,$B48)+SUMIFS('Produktion &amp; forbrug'!$AI$4:$AI$147,'Produktion &amp; forbrug'!$F$4:$F$147,D$3,'Produktion &amp; forbrug'!$B$4:$B$147,$B48)</f>
        <v>1010170.8482516236</v>
      </c>
    </row>
    <row r="49" spans="2:7" x14ac:dyDescent="0.25">
      <c r="B49" t="s">
        <v>221</v>
      </c>
      <c r="C49" s="179">
        <f>SUMIFS('Produktion &amp; forbrug'!$AE$4:$AE$147,'Produktion &amp; forbrug'!$F$4:$F$147,C$3,'Produktion &amp; forbrug'!$B$4:$B$147,$B49)+SUMIFS('Produktion &amp; forbrug'!$K$4:$K$147,'Produktion &amp; forbrug'!$F$4:$F$147,C$3,'Produktion &amp; forbrug'!$B$4:$B$147,$B49)</f>
        <v>34648953</v>
      </c>
      <c r="D49" s="180">
        <f>SUMIFS('Produktion &amp; forbrug'!$AE$4:$AE$147,'Produktion &amp; forbrug'!$F$4:$F$147,D$3,'Produktion &amp; forbrug'!$B$4:$B$147,$B49)</f>
        <v>737381.85708088381</v>
      </c>
      <c r="E49" s="179">
        <f>SUMIFS('Produktion &amp; forbrug'!$AH$4:$AH$147,'Produktion &amp; forbrug'!$F$4:$F$147,C$3,'Produktion &amp; forbrug'!$B$4:$B$147,$B49)+SUMIFS('Produktion &amp; forbrug'!$AI$4:$AI$147,'Produktion &amp; forbrug'!$F$4:$F$147,C$3,'Produktion &amp; forbrug'!$B$4:$B$147,$B49)</f>
        <v>2831130.6289999997</v>
      </c>
      <c r="F49" s="180">
        <f>SUMIFS('Produktion &amp; forbrug'!$AH$4:$AH$147,'Produktion &amp; forbrug'!$F$4:$F$147,D$3,'Produktion &amp; forbrug'!$B$4:$B$147,$B49)+SUMIFS('Produktion &amp; forbrug'!$AI$4:$AI$147,'Produktion &amp; forbrug'!$F$4:$F$147,D$3,'Produktion &amp; forbrug'!$B$4:$B$147,$B49)</f>
        <v>203277.93747790484</v>
      </c>
    </row>
    <row r="50" spans="2:7" x14ac:dyDescent="0.25">
      <c r="B50" t="s">
        <v>207</v>
      </c>
      <c r="C50" s="442">
        <f>0</f>
        <v>0</v>
      </c>
      <c r="D50" s="443">
        <f>SUMIFS('Produktion &amp; forbrug'!$AE$4:$AE$147,'Produktion &amp; forbrug'!$F$4:$F$147,D$3,'Produktion &amp; forbrug'!$B$4:$B$147,$B50)*(1+Græsprotein!$E$6/Græsprotein!$E$7)</f>
        <v>12607679.898899501</v>
      </c>
      <c r="E50" s="442">
        <f>C50*[1]Tørstofindhold!$B$4</f>
        <v>0</v>
      </c>
      <c r="F50" s="443">
        <f>D50*[1]Tørstofindhold!$B$4</f>
        <v>539147.10172980127</v>
      </c>
    </row>
    <row r="51" spans="2:7" x14ac:dyDescent="0.25">
      <c r="B51" t="s">
        <v>203</v>
      </c>
      <c r="C51" s="442">
        <f>0</f>
        <v>0</v>
      </c>
      <c r="D51" s="443">
        <f>SUMIFS('Produktion &amp; forbrug'!$AE$4:$AE$147,'Produktion &amp; forbrug'!$F$4:$F$147,D$3,'Produktion &amp; forbrug'!$B$4:$B$147,$B51)+SUMIFS('Produktion &amp; forbrug'!$G$4:$G$147,'Produktion &amp; forbrug'!$F$4:$F$147,D$3,'Produktion &amp; forbrug'!$B$4:$B$147,$B51)*(Græsprotein!$E$6/Græsprotein!$E$7)</f>
        <v>8880069.9108437877</v>
      </c>
      <c r="E51" s="442">
        <f>C51*[1]Tørstofindhold!$B$6</f>
        <v>0</v>
      </c>
      <c r="F51" s="443">
        <f>D51*[1]Tørstofindhold!$B$6</f>
        <v>3019223.769686888</v>
      </c>
      <c r="G51" t="s">
        <v>425</v>
      </c>
    </row>
    <row r="52" spans="2:7" x14ac:dyDescent="0.25">
      <c r="B52" t="s">
        <v>51</v>
      </c>
      <c r="C52" s="179">
        <f>SUMIFS('Produktion &amp; forbrug'!$AE$4:$AE$147,'Produktion &amp; forbrug'!$F$4:$F$147,C$3,'Produktion &amp; forbrug'!$B$4:$B$147,$B52)+SUMIFS('Produktion &amp; forbrug'!$K$4:$K$147,'Produktion &amp; forbrug'!$F$4:$F$147,C$3,'Produktion &amp; forbrug'!$B$4:$B$147,$B52)</f>
        <v>4173248.5535632987</v>
      </c>
      <c r="D52" s="180">
        <f>SUMIFS('Produktion &amp; forbrug'!$AE$4:$AE$147,'Produktion &amp; forbrug'!$F$4:$F$147,D$3,'Produktion &amp; forbrug'!$B$4:$B$147,$B52)</f>
        <v>11641414.618202997</v>
      </c>
      <c r="E52" s="179">
        <f>SUMIFS('Produktion &amp; forbrug'!$AH$4:$AH$147,'Produktion &amp; forbrug'!$F$4:$F$147,C$3,'Produktion &amp; forbrug'!$B$4:$B$147,$B52)+SUMIFS('Produktion &amp; forbrug'!$AI$4:$AI$147,'Produktion &amp; forbrug'!$F$4:$F$147,C$3,'Produktion &amp; forbrug'!$B$4:$B$147,$B52)</f>
        <v>1168509.5949977238</v>
      </c>
      <c r="F52" s="180">
        <f>SUMIFS('Produktion &amp; forbrug'!$AH$4:$AH$147,'Produktion &amp; forbrug'!$F$4:$F$147,D$3,'Produktion &amp; forbrug'!$B$4:$B$147,$B52)+SUMIFS('Produktion &amp; forbrug'!$AI$4:$AI$147,'Produktion &amp; forbrug'!$F$4:$F$147,D$3,'Produktion &amp; forbrug'!$B$4:$B$147,$B52)</f>
        <v>3259596.0930968397</v>
      </c>
    </row>
    <row r="53" spans="2:7" x14ac:dyDescent="0.25">
      <c r="B53" t="s">
        <v>417</v>
      </c>
      <c r="C53" s="179">
        <f>SUMIFS('Produktion &amp; forbrug'!$AE$4:$AE$147,'Produktion &amp; forbrug'!$F$4:$F$147,C$3,'Produktion &amp; forbrug'!$B$4:$B$147,$B53)+'Produktion &amp; forbrug'!G42*CONCITO!C$42*C44+SUMIFS('Produktion &amp; forbrug'!$K$4:$K$147,'Produktion &amp; forbrug'!$F$4:$F$147,C$3,'Produktion &amp; forbrug'!$B$4:$B$147,$B53)</f>
        <v>319016.91424530162</v>
      </c>
      <c r="D53" s="180">
        <f>SUMIFS('Produktion &amp; forbrug'!$AE$4:$AE$147,'Produktion &amp; forbrug'!$F$4:$F$147,D$3,'Produktion &amp; forbrug'!$B$4:$B$147,$B53)+'Produktion &amp; forbrug'!G138*CONCITO!D$42*D44</f>
        <v>1770262.6200149411</v>
      </c>
      <c r="E53" s="179">
        <f>SUMIFS('Produktion &amp; forbrug'!$AH$4:$AH$147,'Produktion &amp; forbrug'!$F$4:$F$147,C$3,'Produktion &amp; forbrug'!$B$4:$B$147,$B53)+SUMIFS('Produktion &amp; forbrug'!$AI$4:$AI$147,'Produktion &amp; forbrug'!$F$4:$F$147,C$3,'Produktion &amp; forbrug'!$B$4:$B$147,$B53)+'Produktion &amp; forbrug'!G42*CONCITO!C$42*C44*C43</f>
        <v>95290.877476561713</v>
      </c>
      <c r="F53" s="180">
        <f>SUMIFS('Produktion &amp; forbrug'!$AH$4:$AH$147,'Produktion &amp; forbrug'!$F$4:$F$147,D$3,'Produktion &amp; forbrug'!$B$4:$B$147,$B53)+SUMIFS('Produktion &amp; forbrug'!$AI$4:$AI$147,'Produktion &amp; forbrug'!$F$4:$F$147,D$3,'Produktion &amp; forbrug'!$B$4:$B$147,$B53)+'Produktion &amp; forbrug'!G138*CONCITO!D$42*D44*D43</f>
        <v>264893.31175406056</v>
      </c>
      <c r="G53" t="s">
        <v>420</v>
      </c>
    </row>
    <row r="54" spans="2:7" x14ac:dyDescent="0.25">
      <c r="B54" t="s">
        <v>226</v>
      </c>
      <c r="C54" s="179">
        <f>SUMIFS('Produktion &amp; forbrug'!$AE$4:$AE$147,'Produktion &amp; forbrug'!$F$4:$F$147,C$3,'Produktion &amp; forbrug'!$B$4:$B$147,$B54)+SUMIFS('Produktion &amp; forbrug'!$K$4:$K$147,'Produktion &amp; forbrug'!$F$4:$F$147,C$3,'Produktion &amp; forbrug'!$B$4:$B$147,$B54)</f>
        <v>1974271.9128006368</v>
      </c>
      <c r="D54" s="180">
        <f>SUMIFS('Produktion &amp; forbrug'!$AE$4:$AE$147,'Produktion &amp; forbrug'!$F$4:$F$147,D$3,'Produktion &amp; forbrug'!$B$4:$B$147,$B54)</f>
        <v>843666.09680397634</v>
      </c>
      <c r="E54" s="179">
        <f>SUMIFS('Produktion &amp; forbrug'!$AH$4:$AH$147,'Produktion &amp; forbrug'!$F$4:$F$147,C$3,'Produktion &amp; forbrug'!$B$4:$B$147,$B54)+SUMIFS('Produktion &amp; forbrug'!$AI$4:$AI$147,'Produktion &amp; forbrug'!$F$4:$F$147,C$3,'Produktion &amp; forbrug'!$B$4:$B$147,$B54)</f>
        <v>1676595.6933766063</v>
      </c>
      <c r="F54" s="180">
        <f>SUMIFS('Produktion &amp; forbrug'!$AH$4:$AH$147,'Produktion &amp; forbrug'!$F$4:$F$147,D$3,'Produktion &amp; forbrug'!$B$4:$B$147,$B54)+SUMIFS('Produktion &amp; forbrug'!$AI$4:$AI$147,'Produktion &amp; forbrug'!$F$4:$F$147,D$3,'Produktion &amp; forbrug'!$B$4:$B$147,$B54)</f>
        <v>717116.18228337984</v>
      </c>
    </row>
    <row r="55" spans="2:7" x14ac:dyDescent="0.25">
      <c r="B55" t="s">
        <v>225</v>
      </c>
      <c r="C55" s="179">
        <f>SUMIFS('Produktion &amp; forbrug'!$AE$4:$AE$147,'Produktion &amp; forbrug'!$F$4:$F$147,C$3,'Produktion &amp; forbrug'!$B$4:$B$147,$B55)+SUMIFS('Produktion &amp; forbrug'!$K$4:$K$147,'Produktion &amp; forbrug'!$F$4:$F$147,C$3,'Produktion &amp; forbrug'!$B$4:$B$147,$B55)</f>
        <v>0</v>
      </c>
      <c r="D55" s="180">
        <f>SUMIFS('Produktion &amp; forbrug'!$AE$4:$AE$147,'Produktion &amp; forbrug'!$F$4:$F$147,D$3,'Produktion &amp; forbrug'!$B$4:$B$147,$B55)</f>
        <v>0</v>
      </c>
      <c r="E55" s="179">
        <f>SUMIFS('Produktion &amp; forbrug'!$AH$4:$AH$147,'Produktion &amp; forbrug'!$F$4:$F$147,C$3,'Produktion &amp; forbrug'!$B$4:$B$147,$B55)+SUMIFS('Produktion &amp; forbrug'!$AI$4:$AI$147,'Produktion &amp; forbrug'!$F$4:$F$147,C$3,'Produktion &amp; forbrug'!$B$4:$B$147,$B55)</f>
        <v>0</v>
      </c>
      <c r="F55" s="180">
        <f>SUMIFS('Produktion &amp; forbrug'!$AH$4:$AH$147,'Produktion &amp; forbrug'!$F$4:$F$147,D$3,'Produktion &amp; forbrug'!$B$4:$B$147,$B55)+SUMIFS('Produktion &amp; forbrug'!$AI$4:$AI$147,'Produktion &amp; forbrug'!$F$4:$F$147,D$3,'Produktion &amp; forbrug'!$B$4:$B$147,$B55)</f>
        <v>0</v>
      </c>
    </row>
    <row r="56" spans="2:7" x14ac:dyDescent="0.25">
      <c r="B56" t="s">
        <v>224</v>
      </c>
      <c r="C56" s="179">
        <f ca="1">SUMIFS('Produktion &amp; forbrug'!$AE$4:$AE$147,'Produktion &amp; forbrug'!$F$4:$F$147,C$3,'Produktion &amp; forbrug'!$B$4:$B$147,$B56)+SUMIFS('Produktion &amp; forbrug'!$K$4:$K$147,'Produktion &amp; forbrug'!$F$4:$F$147,C$3,'Produktion &amp; forbrug'!$B$4:$B$147,$B56)</f>
        <v>3220159.2034965986</v>
      </c>
      <c r="D56" s="180">
        <f ca="1">SUMIFS('Produktion &amp; forbrug'!$AE$4:$AE$147,'Produktion &amp; forbrug'!$F$4:$F$147,D$3,'Produktion &amp; forbrug'!$B$4:$B$147,$B56)</f>
        <v>4734466.0383066256</v>
      </c>
      <c r="E56" s="179">
        <f ca="1">SUMIFS('Produktion &amp; forbrug'!$AH$4:$AH$147,'Produktion &amp; forbrug'!$F$4:$F$147,C$3,'Produktion &amp; forbrug'!$B$4:$B$147,$B56)+SUMIFS('Produktion &amp; forbrug'!$AI$4:$AI$147,'Produktion &amp; forbrug'!$F$4:$F$147,C$3,'Produktion &amp; forbrug'!$B$4:$B$147,$B56)</f>
        <v>1575935.1462763194</v>
      </c>
      <c r="F56" s="180">
        <f ca="1">SUMIFS('Produktion &amp; forbrug'!$AH$4:$AH$147,'Produktion &amp; forbrug'!$F$4:$F$147,D$3,'Produktion &amp; forbrug'!$B$4:$B$147,$B56)+SUMIFS('Produktion &amp; forbrug'!$AI$4:$AI$147,'Produktion &amp; forbrug'!$F$4:$F$147,D$3,'Produktion &amp; forbrug'!$B$4:$B$147,$B56)</f>
        <v>2193742.8024563482</v>
      </c>
    </row>
    <row r="57" spans="2:7" ht="15.75" thickBot="1" x14ac:dyDescent="0.3">
      <c r="B57" t="s">
        <v>230</v>
      </c>
      <c r="C57" s="181">
        <f>SUMIFS('Produktion &amp; forbrug'!$AE$4:$AE$147,'Produktion &amp; forbrug'!$F$4:$F$147,C$3,'Produktion &amp; forbrug'!$B$4:$B$147,$B57)+SUMIFS('Produktion &amp; forbrug'!$K$4:$K$147,'Produktion &amp; forbrug'!$F$4:$F$147,C$3,'Produktion &amp; forbrug'!$B$4:$B$147,$B57)</f>
        <v>112873.31802427147</v>
      </c>
      <c r="D57" s="183">
        <f>SUMIFS('Produktion &amp; forbrug'!$AE$4:$AE$147,'Produktion &amp; forbrug'!$F$4:$F$147,D$3,'Produktion &amp; forbrug'!$B$4:$B$147,$B57)</f>
        <v>0</v>
      </c>
      <c r="E57" s="181">
        <f>SUMIFS('Produktion &amp; forbrug'!$AH$4:$AH$147,'Produktion &amp; forbrug'!$F$4:$F$147,C$3,'Produktion &amp; forbrug'!$B$4:$B$147,$B57)+SUMIFS('Produktion &amp; forbrug'!$AI$4:$AI$147,'Produktion &amp; forbrug'!$F$4:$F$147,C$3,'Produktion &amp; forbrug'!$B$4:$B$147,$B57)</f>
        <v>0</v>
      </c>
      <c r="F57" s="183">
        <f>SUMIFS('Produktion &amp; forbrug'!$AH$4:$AH$147,'Produktion &amp; forbrug'!$F$4:$F$147,D$3,'Produktion &amp; forbrug'!$B$4:$B$147,$B57)+SUMIFS('Produktion &amp; forbrug'!$AI$4:$AI$147,'Produktion &amp; forbrug'!$F$4:$F$147,D$3,'Produktion &amp; forbrug'!$B$4:$B$147,$B57)</f>
        <v>0</v>
      </c>
    </row>
    <row r="58" spans="2:7" x14ac:dyDescent="0.25">
      <c r="B58" t="s">
        <v>30</v>
      </c>
      <c r="C58" s="94">
        <f ca="1">SUM(C48:C57)</f>
        <v>53540486.098986164</v>
      </c>
      <c r="D58" s="94">
        <f ca="1">SUM(D48:D57)</f>
        <v>50447704.176758535</v>
      </c>
      <c r="E58" s="94">
        <f ca="1">SUM(E48:E57)</f>
        <v>8464558.1536298469</v>
      </c>
      <c r="F58" s="94">
        <f ca="1">SUM(F48:F57)</f>
        <v>11207168.046736844</v>
      </c>
    </row>
    <row r="60" spans="2:7" ht="15.75" thickBot="1" x14ac:dyDescent="0.3">
      <c r="C60">
        <f>År1</f>
        <v>2019</v>
      </c>
      <c r="D60">
        <f>År3</f>
        <v>2050</v>
      </c>
    </row>
    <row r="61" spans="2:7" x14ac:dyDescent="0.25">
      <c r="B61" t="s">
        <v>412</v>
      </c>
      <c r="C61" s="405">
        <f ca="1">SUM('Resultater - Danmark'!H475:H480)</f>
        <v>380064224.31724739</v>
      </c>
      <c r="D61" s="409">
        <f ca="1">SUM('Resultater - Danmark'!J475:J480)</f>
        <v>220601562.07315558</v>
      </c>
    </row>
    <row r="62" spans="2:7" x14ac:dyDescent="0.25">
      <c r="B62" t="s">
        <v>413</v>
      </c>
      <c r="C62" s="179">
        <f>SUM('Resultater - Danmark'!H96,'Resultater - Danmark'!H103)*'[1]Processer - data'!$H$475</f>
        <v>93582100</v>
      </c>
      <c r="D62" s="180">
        <f>SUM('Resultater - Danmark'!J96,'Resultater - Danmark'!J103)*'[1]Processer - data'!$H$475</f>
        <v>0</v>
      </c>
    </row>
    <row r="63" spans="2:7" x14ac:dyDescent="0.25">
      <c r="B63" t="s">
        <v>414</v>
      </c>
      <c r="C63" s="179">
        <f>SUM('Resultater - Danmark'!H110,'Resultater - Danmark'!H118)*'[1]Processer - data'!$H$476</f>
        <v>112400000</v>
      </c>
      <c r="D63" s="180">
        <f>SUM('Resultater - Danmark'!J110,'Resultater - Danmark'!J118)*'[1]Processer - data'!$H$476</f>
        <v>589046.34081161034</v>
      </c>
    </row>
    <row r="64" spans="2:7" x14ac:dyDescent="0.25">
      <c r="B64" t="s">
        <v>415</v>
      </c>
      <c r="C64" s="179">
        <f>SUM('Resultater - Danmark'!H126,'Resultater - Danmark'!H134)*'[1]Processer - data'!$H$477</f>
        <v>62181</v>
      </c>
      <c r="D64" s="180">
        <f>SUM('Resultater - Danmark'!J126,'Resultater - Danmark'!J134)*'[1]Processer - data'!$H$477</f>
        <v>42629.766774036754</v>
      </c>
    </row>
    <row r="65" spans="2:4" ht="15.75" thickBot="1" x14ac:dyDescent="0.3">
      <c r="B65" t="s">
        <v>101</v>
      </c>
      <c r="C65" s="181">
        <f>SUM('Resultater - Danmark'!H97,'Resultater - Danmark'!H104,'Resultater - Danmark'!H111,'Resultater - Danmark'!H119,'Resultater - Danmark'!H127,'Resultater - Danmark'!H135)*'[1]Processer - data'!$H$478</f>
        <v>41062980</v>
      </c>
      <c r="D65" s="183">
        <f>SUM('Resultater - Danmark'!J97,'Resultater - Danmark'!J104,'Resultater - Danmark'!J111,'Resultater - Danmark'!J119,'Resultater - Danmark'!J127,'Resultater - Danmark'!J135)*'[1]Processer - data'!$H$478</f>
        <v>9207255.3691639844</v>
      </c>
    </row>
    <row r="66" spans="2:4" ht="30" x14ac:dyDescent="0.25">
      <c r="B66" s="447" t="s">
        <v>422</v>
      </c>
      <c r="C66" s="94">
        <f ca="1">C61-SUM(C62:C65)</f>
        <v>132956963.31724739</v>
      </c>
      <c r="D66" s="94">
        <f ca="1">D61-SUM(D62:D65)</f>
        <v>210762630.59640595</v>
      </c>
    </row>
    <row r="67" spans="2:4" x14ac:dyDescent="0.25">
      <c r="C67" s="94"/>
      <c r="D67" s="94"/>
    </row>
    <row r="68" spans="2:4" x14ac:dyDescent="0.25">
      <c r="C68" s="94"/>
      <c r="D68" s="94"/>
    </row>
    <row r="69" spans="2:4" x14ac:dyDescent="0.25">
      <c r="C69" s="94"/>
      <c r="D69" s="94"/>
    </row>
    <row r="70" spans="2:4" x14ac:dyDescent="0.25">
      <c r="C70" s="94"/>
      <c r="D70" s="94"/>
    </row>
    <row r="71" spans="2:4" x14ac:dyDescent="0.25">
      <c r="C71" s="94"/>
      <c r="D71" s="94"/>
    </row>
    <row r="72" spans="2:4" x14ac:dyDescent="0.25">
      <c r="C72" s="94"/>
      <c r="D72" s="94"/>
    </row>
    <row r="73" spans="2:4" x14ac:dyDescent="0.25">
      <c r="C73" s="94"/>
      <c r="D73" s="94"/>
    </row>
    <row r="74" spans="2:4" x14ac:dyDescent="0.25">
      <c r="C74" s="94"/>
      <c r="D74" s="94"/>
    </row>
  </sheetData>
  <mergeCells count="10">
    <mergeCell ref="G20:H20"/>
    <mergeCell ref="I20:J20"/>
    <mergeCell ref="K20:L20"/>
    <mergeCell ref="C46:D46"/>
    <mergeCell ref="B1:D1"/>
    <mergeCell ref="B19:F19"/>
    <mergeCell ref="C20:D20"/>
    <mergeCell ref="E20:F20"/>
    <mergeCell ref="C2:D2"/>
    <mergeCell ref="E46:F46"/>
  </mergeCells>
  <hyperlinks>
    <hyperlink ref="C14" r:id="rId1" xr:uid="{A957346B-C81C-4740-B8CD-85F871B48E06}"/>
  </hyperlinks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sheetPr codeName="Sheet40"/>
  <dimension ref="A1:E18"/>
  <sheetViews>
    <sheetView zoomScale="106" workbookViewId="0">
      <selection activeCell="E6" sqref="E6"/>
    </sheetView>
  </sheetViews>
  <sheetFormatPr defaultRowHeight="15" x14ac:dyDescent="0.25"/>
  <cols>
    <col min="3" max="3" width="17.5703125" bestFit="1" customWidth="1"/>
    <col min="5" max="5" width="19.5703125" bestFit="1" customWidth="1"/>
  </cols>
  <sheetData>
    <row r="1" spans="1:5" x14ac:dyDescent="0.25">
      <c r="A1" t="s">
        <v>343</v>
      </c>
      <c r="B1" t="s">
        <v>344</v>
      </c>
      <c r="C1">
        <f>År1</f>
        <v>2019</v>
      </c>
      <c r="D1">
        <f>År2</f>
        <v>2030</v>
      </c>
      <c r="E1">
        <f>År3</f>
        <v>2050</v>
      </c>
    </row>
    <row r="2" spans="1:5" x14ac:dyDescent="0.25">
      <c r="A2" s="171" t="s">
        <v>15</v>
      </c>
      <c r="B2" t="s">
        <v>15</v>
      </c>
      <c r="C2">
        <v>1</v>
      </c>
      <c r="D2">
        <v>1</v>
      </c>
      <c r="E2">
        <v>1</v>
      </c>
    </row>
    <row r="3" spans="1:5" x14ac:dyDescent="0.25">
      <c r="A3" s="171" t="s">
        <v>49</v>
      </c>
      <c r="B3" t="s">
        <v>49</v>
      </c>
      <c r="C3">
        <v>1</v>
      </c>
      <c r="D3">
        <v>1</v>
      </c>
      <c r="E3">
        <v>1</v>
      </c>
    </row>
    <row r="4" spans="1:5" x14ac:dyDescent="0.25">
      <c r="A4" t="s">
        <v>96</v>
      </c>
      <c r="B4" t="s">
        <v>339</v>
      </c>
      <c r="C4">
        <v>1</v>
      </c>
      <c r="D4">
        <v>1</v>
      </c>
      <c r="E4">
        <v>1</v>
      </c>
    </row>
    <row r="5" spans="1:5" x14ac:dyDescent="0.25">
      <c r="A5" t="s">
        <v>54</v>
      </c>
      <c r="B5" t="s">
        <v>54</v>
      </c>
      <c r="C5">
        <v>1</v>
      </c>
      <c r="D5">
        <v>1</v>
      </c>
      <c r="E5">
        <v>1</v>
      </c>
    </row>
    <row r="6" spans="1:5" x14ac:dyDescent="0.25">
      <c r="A6" t="s">
        <v>51</v>
      </c>
      <c r="B6" t="s">
        <v>51</v>
      </c>
      <c r="C6" s="415">
        <f>Græsprotein!C3/Græsprotein!$C$3*Græsprotein!C4*Græsprotein!C8</f>
        <v>0</v>
      </c>
      <c r="D6" s="415">
        <f>Græsprotein!D3/Græsprotein!$C$3*Græsprotein!D4*Græsprotein!D8</f>
        <v>0.10740981098359725</v>
      </c>
      <c r="E6" s="415">
        <f>Græsprotein!E3/Græsprotein!$C$3*Græsprotein!E4*Græsprotein!E8</f>
        <v>0.46296296296296302</v>
      </c>
    </row>
    <row r="7" spans="1:5" x14ac:dyDescent="0.25">
      <c r="A7" s="171" t="s">
        <v>6</v>
      </c>
      <c r="B7" t="s">
        <v>6</v>
      </c>
      <c r="C7">
        <v>1</v>
      </c>
      <c r="D7">
        <v>1</v>
      </c>
      <c r="E7">
        <v>1</v>
      </c>
    </row>
    <row r="8" spans="1:5" x14ac:dyDescent="0.25">
      <c r="A8" t="s">
        <v>159</v>
      </c>
      <c r="B8" t="s">
        <v>159</v>
      </c>
      <c r="C8">
        <v>1</v>
      </c>
      <c r="D8">
        <v>1</v>
      </c>
      <c r="E8">
        <v>1</v>
      </c>
    </row>
    <row r="9" spans="1:5" x14ac:dyDescent="0.25">
      <c r="A9" s="171" t="s">
        <v>12</v>
      </c>
      <c r="B9" t="s">
        <v>12</v>
      </c>
      <c r="C9">
        <v>1</v>
      </c>
      <c r="D9">
        <v>1</v>
      </c>
      <c r="E9">
        <v>1</v>
      </c>
    </row>
    <row r="10" spans="1:5" x14ac:dyDescent="0.25">
      <c r="A10" s="171" t="s">
        <v>48</v>
      </c>
      <c r="B10" t="s">
        <v>48</v>
      </c>
      <c r="C10">
        <v>1</v>
      </c>
      <c r="D10">
        <v>1</v>
      </c>
      <c r="E10">
        <v>1</v>
      </c>
    </row>
    <row r="11" spans="1:5" x14ac:dyDescent="0.25">
      <c r="A11" t="s">
        <v>53</v>
      </c>
      <c r="B11" t="s">
        <v>48</v>
      </c>
      <c r="C11">
        <v>1</v>
      </c>
      <c r="D11">
        <v>1</v>
      </c>
      <c r="E11">
        <v>1</v>
      </c>
    </row>
    <row r="12" spans="1:5" x14ac:dyDescent="0.25">
      <c r="A12" s="171" t="s">
        <v>116</v>
      </c>
      <c r="B12" t="s">
        <v>116</v>
      </c>
      <c r="C12">
        <v>1</v>
      </c>
      <c r="D12">
        <v>1</v>
      </c>
      <c r="E12">
        <v>1</v>
      </c>
    </row>
    <row r="13" spans="1:5" x14ac:dyDescent="0.25">
      <c r="A13" s="171" t="s">
        <v>106</v>
      </c>
      <c r="B13" t="s">
        <v>341</v>
      </c>
      <c r="C13">
        <v>1</v>
      </c>
      <c r="D13">
        <v>1</v>
      </c>
      <c r="E13">
        <v>1</v>
      </c>
    </row>
    <row r="14" spans="1:5" x14ac:dyDescent="0.25">
      <c r="A14" s="171" t="s">
        <v>14</v>
      </c>
      <c r="B14" t="s">
        <v>339</v>
      </c>
      <c r="C14">
        <v>1</v>
      </c>
      <c r="D14">
        <v>1</v>
      </c>
      <c r="E14">
        <v>1</v>
      </c>
    </row>
    <row r="15" spans="1:5" x14ac:dyDescent="0.25">
      <c r="A15" t="s">
        <v>230</v>
      </c>
      <c r="B15" t="s">
        <v>342</v>
      </c>
      <c r="C15">
        <v>0</v>
      </c>
      <c r="D15">
        <v>1</v>
      </c>
      <c r="E15">
        <v>1</v>
      </c>
    </row>
    <row r="16" spans="1:5" x14ac:dyDescent="0.25">
      <c r="A16" t="s">
        <v>52</v>
      </c>
      <c r="B16" t="s">
        <v>52</v>
      </c>
      <c r="C16">
        <v>1</v>
      </c>
      <c r="D16">
        <v>1</v>
      </c>
      <c r="E16">
        <v>1</v>
      </c>
    </row>
    <row r="17" spans="1:5" x14ac:dyDescent="0.25">
      <c r="A17" s="171" t="s">
        <v>13</v>
      </c>
      <c r="B17" t="s">
        <v>339</v>
      </c>
      <c r="C17">
        <v>1</v>
      </c>
      <c r="D17">
        <v>1</v>
      </c>
      <c r="E17">
        <v>1</v>
      </c>
    </row>
    <row r="18" spans="1:5" x14ac:dyDescent="0.25">
      <c r="A18" s="171" t="s">
        <v>99</v>
      </c>
      <c r="B18" t="s">
        <v>341</v>
      </c>
      <c r="C18">
        <v>1</v>
      </c>
      <c r="D18">
        <v>1</v>
      </c>
      <c r="E18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83" t="s">
        <v>23</v>
      </c>
      <c r="B2" s="484"/>
      <c r="C2" s="484"/>
      <c r="D2" s="484"/>
      <c r="E2" s="484"/>
      <c r="F2" s="484"/>
      <c r="G2" s="484"/>
      <c r="H2" s="484"/>
      <c r="I2" s="484"/>
      <c r="J2" s="484"/>
      <c r="K2" s="484"/>
      <c r="L2" s="484"/>
      <c r="M2" s="484"/>
      <c r="N2" s="484"/>
      <c r="O2" s="484"/>
      <c r="P2" s="484"/>
      <c r="Q2" s="484"/>
      <c r="R2" s="484"/>
      <c r="S2" s="484"/>
      <c r="T2" s="484"/>
      <c r="U2" s="485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79" t="s">
        <v>7</v>
      </c>
      <c r="D3" s="480"/>
      <c r="E3" s="480"/>
      <c r="F3" s="480"/>
      <c r="G3" s="480"/>
      <c r="H3" s="480"/>
      <c r="I3" s="480"/>
      <c r="J3" s="480"/>
      <c r="K3" s="481"/>
      <c r="L3" s="479" t="s">
        <v>8</v>
      </c>
      <c r="M3" s="480"/>
      <c r="N3" s="480"/>
      <c r="O3" s="480"/>
      <c r="P3" s="480"/>
      <c r="Q3" s="480"/>
      <c r="R3" s="480"/>
      <c r="S3" s="480"/>
      <c r="T3" s="481"/>
      <c r="U3" s="70"/>
      <c r="W3" s="30" t="s">
        <v>271</v>
      </c>
      <c r="X3" s="34">
        <f>C24+C51</f>
        <v>11808068</v>
      </c>
      <c r="Y3" s="11">
        <f>D24+D51</f>
        <v>5938255.165793227</v>
      </c>
      <c r="Z3" s="22">
        <f>E24+E51</f>
        <v>1169559.3041937244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272</v>
      </c>
      <c r="X4" s="34">
        <f t="shared" ref="X4:Z5" si="0">C25+C52</f>
        <v>1267084</v>
      </c>
      <c r="Y4" s="11">
        <f t="shared" si="0"/>
        <v>559925.35265871254</v>
      </c>
      <c r="Z4" s="22">
        <f t="shared" si="0"/>
        <v>-10807.957958172134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273</v>
      </c>
      <c r="X5" s="47">
        <f t="shared" si="0"/>
        <v>19782594</v>
      </c>
      <c r="Y5" s="15">
        <f t="shared" si="0"/>
        <v>10377919.948376702</v>
      </c>
      <c r="Z5" s="23">
        <f t="shared" si="0"/>
        <v>272840.10660097841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440000.4707175892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9463.8157203712435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4783.9196669834782</v>
      </c>
      <c r="I6" s="11">
        <f>IF(Landbrug!$E$47&gt;0,SUMIF(Landbrug!$B$32:$B$45,$B6,IF($I$4=År2,Landbrug!$D$32:$D$45,Landbrug!$E$32:$E$45)),'[1]Afgrødefordeling - jordtype'!$G4)*(1-Landbrug!$E$5)*Arealanvendelse!P$26</f>
        <v>30771.543538260554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147104.34892199337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3164.0158193296338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1599.3968978237997</v>
      </c>
      <c r="R6" s="11">
        <f>IF(Landbrug!$E$47&gt;0,SUMIF(Landbrug!$B$32:$B$45,$B6,IF($R$4=År2,Landbrug!$D$32:$D$45,Landbrug!$E$32:$E$45)),'[1]Afgrødefordeling - jordtype'!$G4)*(Landbrug!$E$5)*Arealanvendelse!P$26</f>
        <v>30771.543538260554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274</v>
      </c>
      <c r="X6" s="33">
        <f t="shared" ref="X6:Z8" si="1">F24+F51</f>
        <v>490924</v>
      </c>
      <c r="Y6" s="11">
        <f t="shared" si="1"/>
        <v>2930085.6825938695</v>
      </c>
      <c r="Z6" s="22">
        <f t="shared" si="1"/>
        <v>1461233.9958062756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96240.251864570237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811.27805994298762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275.45437396803328</v>
      </c>
      <c r="I7" s="11">
        <f>IF(Landbrug!$E$47&gt;0,SUMIF(Landbrug!$B$32:$B$45,$B7,IF($I$4=År2,Landbrug!$D$32:$D$45,Landbrug!$E$32:$E$45)),'[1]Afgrødefordeling - jordtype'!$G5)*(1-Landbrug!$E$5)*Arealanvendelse!P$26</f>
        <v>91166.13849133953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32175.782829362139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271.23273438316426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92.09202952487432</v>
      </c>
      <c r="R7" s="11">
        <f>IF(Landbrug!$E$47&gt;0,SUMIF(Landbrug!$B$32:$B$45,$B7,IF($R$4=År2,Landbrug!$D$32:$D$45,Landbrug!$E$32:$E$45)),'[1]Afgrødefordeling - jordtype'!$G5)*(Landbrug!$E$5)*Arealanvendelse!P$26</f>
        <v>91166.13849133953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275</v>
      </c>
      <c r="X7" s="33">
        <f t="shared" si="1"/>
        <v>224348</v>
      </c>
      <c r="Y7" s="11">
        <f t="shared" si="1"/>
        <v>470535.76114626625</v>
      </c>
      <c r="Z7" s="22">
        <f t="shared" si="1"/>
        <v>203140.18777220321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114296.21103509518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868.70275369028457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356.70094108511353</v>
      </c>
      <c r="I8" s="11">
        <f>IF(Landbrug!$E$47&gt;0,SUMIF(Landbrug!$B$32:$B$45,$B8,IF($I$4=År2,Landbrug!$D$32:$D$45,Landbrug!$E$32:$E$45)),'[1]Afgrødefordeling - jordtype'!$G6)*(1-Landbrug!$E$5)*Arealanvendelse!P$26</f>
        <v>80440.71043353487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38212.390275736827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290.43140062996218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119.25500809717734</v>
      </c>
      <c r="R8" s="11">
        <f>IF(Landbrug!$E$47&gt;0,SUMIF(Landbrug!$B$32:$B$45,$B8,IF($R$4=År2,Landbrug!$D$32:$D$45,Landbrug!$E$32:$E$45)),'[1]Afgrødefordeling - jordtype'!$G6)*(Landbrug!$E$5)*Arealanvendelse!P$26</f>
        <v>80440.71043353487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276</v>
      </c>
      <c r="X8" s="46">
        <f t="shared" si="1"/>
        <v>3277287</v>
      </c>
      <c r="Y8" s="15">
        <f t="shared" si="1"/>
        <v>8152586.7161394255</v>
      </c>
      <c r="Z8" s="23">
        <f t="shared" si="1"/>
        <v>10022440.49339902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227046.32891431812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8016.6956445237793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8226.6497090955108</v>
      </c>
      <c r="I9" s="11">
        <f>IF(Landbrug!$E$47&gt;0,SUMIF(Landbrug!$B$32:$B$45,$B9,IF($I$4=År2,Landbrug!$D$32:$D$45,Landbrug!$E$32:$E$45)),'[1]Afgrødefordeling - jordtype'!$G7)*(1-Landbrug!$E$5)*Arealanvendelse!P$26</f>
        <v>187694.99101158135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75907.878770217794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2680.2034810784762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2750.3969422854166</v>
      </c>
      <c r="R9" s="11">
        <f>IF(Landbrug!$E$47&gt;0,SUMIF(Landbrug!$B$32:$B$45,$B9,IF($R$4=År2,Landbrug!$D$32:$D$45,Landbrug!$E$32:$E$45)),'[1]Afgrødefordeling - jordtype'!$G7)*(Landbrug!$E$5)*Arealanvendelse!P$26</f>
        <v>187694.99101158135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9481.9223145863507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37.494387069399458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9.5619378520505975</v>
      </c>
      <c r="I10" s="11">
        <f>IF(Landbrug!$E$47&gt;0,SUMIF(Landbrug!$B$32:$B$45,$B10,IF($I$4=År2,Landbrug!$D$32:$D$45,Landbrug!$E$32:$E$45)),'[1]Afgrødefordeling - jordtype'!$G8)*(1-Landbrug!$E$5)*Arealanvendelse!P$26</f>
        <v>6881.5772424356765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3170.0693554744112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12.53541249416833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3.1968207667243238</v>
      </c>
      <c r="R10" s="11">
        <f>IF(Landbrug!$E$47&gt;0,SUMIF(Landbrug!$B$32:$B$45,$B10,IF($R$4=År2,Landbrug!$D$32:$D$45,Landbrug!$E$32:$E$45)),'[1]Afgrødefordeling - jordtype'!$G8)*(Landbrug!$E$5)*Arealanvendelse!P$26</f>
        <v>6881.5772424356765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39881.846198414576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591.93918991521116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506.11617449253043</v>
      </c>
      <c r="I11" s="11">
        <f>IF(Landbrug!$E$47&gt;0,SUMIF(Landbrug!$B$32:$B$45,$B11,IF($I$4=År2,Landbrug!$D$32:$D$45,Landbrug!$E$32:$E$45)),'[1]Afgrødefordeling - jordtype'!$G9)*(1-Landbrug!$E$5)*Arealanvendelse!P$26</f>
        <v>28944.553232959333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13333.606232867891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197.90167267747967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169.20866063209289</v>
      </c>
      <c r="R11" s="11">
        <f>IF(Landbrug!$E$47&gt;0,SUMIF(Landbrug!$B$32:$B$45,$B11,IF($R$4=År2,Landbrug!$D$32:$D$45,Landbrug!$E$32:$E$45)),'[1]Afgrødefordeling - jordtype'!$G9)*(Landbrug!$E$5)*Arealanvendelse!P$26</f>
        <v>28944.553232959333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24527.48639267926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15.529713724807898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5.4731720415014316</v>
      </c>
      <c r="I12" s="11">
        <f>IF(Landbrug!$E$47&gt;0,SUMIF(Landbrug!$B$32:$B$45,$B12,IF($I$4=År2,Landbrug!$D$32:$D$45,Landbrug!$E$32:$E$45)),'[1]Afgrødefordeling - jordtype'!$G10)*(1-Landbrug!$E$5)*Arealanvendelse!P$26</f>
        <v>17801.00981362825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8200.2183102298641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5.1920135965015621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1.8298330644739016</v>
      </c>
      <c r="R12" s="11">
        <f>IF(Landbrug!$E$47&gt;0,SUMIF(Landbrug!$B$32:$B$45,$B12,IF($R$4=År2,Landbrug!$D$32:$D$45,Landbrug!$E$32:$E$45)),'[1]Afgrødefordeling - jordtype'!$G10)*(Landbrug!$E$5)*Arealanvendelse!P$26</f>
        <v>17801.00981362825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59557.460174493739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2004.6526689192153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680.64252345157081</v>
      </c>
      <c r="I13" s="11">
        <f>IF(Landbrug!$E$47&gt;0,SUMIF(Landbrug!$B$32:$B$45,$B13,IF($I$4=År2,Landbrug!$D$32:$D$45,Landbrug!$E$32:$E$45)),'[1]Afgrødefordeling - jordtype'!$G11)*(1-Landbrug!$E$5)*Arealanvendelse!P$26</f>
        <v>4165.1659503881319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19911.709158237998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670.21093226368919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227.55765487630734</v>
      </c>
      <c r="R13" s="11">
        <f>IF(Landbrug!$E$47&gt;0,SUMIF(Landbrug!$B$32:$B$45,$B13,IF($R$4=År2,Landbrug!$D$32:$D$45,Landbrug!$E$32:$E$45)),'[1]Afgrødefordeling - jordtype'!$G11)*(Landbrug!$E$5)*Arealanvendelse!P$26</f>
        <v>4165.1659503881319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39626.646276650128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34.150981524689662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19.505146385739103</v>
      </c>
      <c r="I14" s="11">
        <f>IF(Landbrug!$E$47&gt;0,SUMIF(Landbrug!$B$32:$B$45,$B14,IF($I$4=År2,Landbrug!$D$32:$D$45,Landbrug!$E$32:$E$45)),'[1]Afgrødefordeling - jordtype'!$G12)*(1-Landbrug!$E$5)*Arealanvendelse!P$26</f>
        <v>47993.907124893325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13248.285827926327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11.417619381277788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6.5211108865925631</v>
      </c>
      <c r="R14" s="11">
        <f>IF(Landbrug!$E$47&gt;0,SUMIF(Landbrug!$B$32:$B$45,$B14,IF($R$4=År2,Landbrug!$D$32:$D$45,Landbrug!$E$32:$E$45)),'[1]Afgrødefordeling - jordtype'!$G12)*(Landbrug!$E$5)*Arealanvendelse!P$26</f>
        <v>47993.907124893325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22893.887839858267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603.99089174013625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344.96609564581217</v>
      </c>
      <c r="I15" s="11">
        <f>IF(Landbrug!$E$47&gt;0,SUMIF(Landbrug!$B$32:$B$45,$B15,IF($I$4=År2,Landbrug!$D$32:$D$45,Landbrug!$E$32:$E$45)),'[1]Afgrødefordeling - jordtype'!$G13)*(1-Landbrug!$E$5)*Arealanvendelse!P$26</f>
        <v>1601.0898017343659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7654.0610501689234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201.93089052687492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115.33172411697309</v>
      </c>
      <c r="R15" s="11">
        <f>IF(Landbrug!$E$47&gt;0,SUMIF(Landbrug!$B$32:$B$45,$B15,IF($R$4=År2,Landbrug!$D$32:$D$45,Landbrug!$E$32:$E$45)),'[1]Afgrødefordeling - jordtype'!$G13)*(Landbrug!$E$5)*Arealanvendelse!P$26</f>
        <v>1601.0898017343659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33065.770650056205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1490.8276372254238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1097.5667816533621</v>
      </c>
      <c r="I16" s="11">
        <f>IF(Landbrug!$E$47&gt;0,SUMIF(Landbrug!$B$32:$B$45,$B16,IF($I$4=År2,Landbrug!$D$32:$D$45,Landbrug!$E$32:$E$45)),'[1]Afgrødefordeling - jordtype'!$G14)*(1-Landbrug!$E$5)*Arealanvendelse!P$26</f>
        <v>2312.4629833348681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11054.803316795702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498.42498707170773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366.94698655710141</v>
      </c>
      <c r="R16" s="11">
        <f>IF(Landbrug!$E$47&gt;0,SUMIF(Landbrug!$B$32:$B$45,$B16,IF($R$4=År2,Landbrug!$D$32:$D$45,Landbrug!$E$32:$E$45)),'[1]Afgrødefordeling - jordtype'!$G14)*(Landbrug!$E$5)*Arealanvendelse!P$26</f>
        <v>2312.4629833348681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9092.1843258992376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171.2857518958528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97.828920732618897</v>
      </c>
      <c r="I17" s="11">
        <f>IF(Landbrug!$E$47&gt;0,SUMIF(Landbrug!$B$32:$B$45,$B17,IF($I$4=År2,Landbrug!$D$32:$D$45,Landbrug!$E$32:$E$45)),'[1]Afgrødefordeling - jordtype'!$G15)*(1-Landbrug!$E$5)*Arealanvendelse!P$26</f>
        <v>4068.6562623492623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3039.7691469712631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57.265572855320727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32.706918850889117</v>
      </c>
      <c r="R17" s="11">
        <f>IF(Landbrug!$E$47&gt;0,SUMIF(Landbrug!$B$32:$B$45,$B17,IF($R$4=År2,Landbrug!$D$32:$D$45,Landbrug!$E$32:$E$45)),'[1]Afgrødefordeling - jordtype'!$G15)*(Landbrug!$E$5)*Arealanvendelse!P$26</f>
        <v>4068.6562623492623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24758.282800161851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281.31436481905746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230.9275001580348</v>
      </c>
      <c r="I18" s="11">
        <f>IF(Landbrug!$E$47&gt;0,SUMIF(Landbrug!$B$32:$B$45,$B18,IF($I$4=År2,Landbrug!$D$32:$D$45,Landbrug!$E$32:$E$45)),'[1]Afgrødefordeling - jordtype'!$G16)*(1-Landbrug!$E$5)*Arealanvendelse!P$26</f>
        <v>28378.147046292288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8277.3799441728734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94.051186835371922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77.205461856732612</v>
      </c>
      <c r="R18" s="11">
        <f>IF(Landbrug!$E$47&gt;0,SUMIF(Landbrug!$B$32:$B$45,$B18,IF($R$4=År2,Landbrug!$D$32:$D$45,Landbrug!$E$32:$E$45)),'[1]Afgrødefordeling - jordtype'!$G16)*(Landbrug!$E$5)*Arealanvendelse!P$26</f>
        <v>28378.147046292288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57931.441956188719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25740.044427812609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22387.839736166919</v>
      </c>
      <c r="I19" s="11">
        <f>IF(Landbrug!$E$47&gt;0,SUMIF(Landbrug!$B$32:$B$45,$B19,IF($I$4=År2,Landbrug!$D$32:$D$45,Landbrug!$E$32:$E$45)),'[1]Afgrødefordeling - jordtype'!$G17)*(1-Landbrug!$E$5)*Arealanvendelse!P$26</f>
        <v>4051.4499575007239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4362.53125925926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3395.8482962962953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19368.086214042141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8605.6100590103106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7484.8751474917772</v>
      </c>
      <c r="R19" s="11">
        <f>IF(Landbrug!$E$47&gt;0,SUMIF(Landbrug!$B$32:$B$45,$B19,IF($R$4=År2,Landbrug!$D$32:$D$45,Landbrug!$E$32:$E$45)),'[1]Afgrødefordeling - jordtype'!$G17)*(Landbrug!$E$5)*Arealanvendelse!P$26</f>
        <v>4051.4499575007239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4362.53125925926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3395.8482962962953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1198400.1914605608</v>
      </c>
      <c r="G20" s="37">
        <f t="shared" si="2"/>
        <v>50131.72219317469</v>
      </c>
      <c r="H20" s="37">
        <f t="shared" si="2"/>
        <v>39023.152679712279</v>
      </c>
      <c r="I20" s="37">
        <f t="shared" si="2"/>
        <v>536271.40289023251</v>
      </c>
      <c r="J20" s="37">
        <f t="shared" si="2"/>
        <v>4362.53125925926</v>
      </c>
      <c r="K20" s="38">
        <f t="shared" si="2"/>
        <v>3395.8482962962953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400658.3893541976</v>
      </c>
      <c r="P20" s="37">
        <f t="shared" si="2"/>
        <v>16760.423782133941</v>
      </c>
      <c r="Q20" s="37">
        <f t="shared" si="2"/>
        <v>13046.521196830934</v>
      </c>
      <c r="R20" s="37">
        <f t="shared" si="2"/>
        <v>536271.40289023251</v>
      </c>
      <c r="S20" s="37">
        <f t="shared" si="2"/>
        <v>4362.53125925926</v>
      </c>
      <c r="T20" s="38">
        <f t="shared" si="2"/>
        <v>3395.8482962962953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79" t="s">
        <v>7</v>
      </c>
      <c r="D22" s="480"/>
      <c r="E22" s="481"/>
      <c r="F22" s="482" t="s">
        <v>8</v>
      </c>
      <c r="G22" s="480"/>
      <c r="H22" s="481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4528990.8965631956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2782800.9518239009</v>
      </c>
      <c r="H24" s="22">
        <f>($F24+$C24)*Landbrug!E11*Landbrug!E6</f>
        <v>1074244.3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510563.66032128973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420929.45348368905</v>
      </c>
      <c r="H25" s="22">
        <f>($F25+$C25)*Landbrug!E12*Landbrug!E7</f>
        <v>93364.229814031074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9267841.2008731291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7477118.4636429986</v>
      </c>
      <c r="H26" s="23">
        <f>($F26+$C26)*Landbrug!E13*Landbrug!E8</f>
        <v>8509733.5999999996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86" t="s">
        <v>24</v>
      </c>
      <c r="B29" s="487"/>
      <c r="C29" s="487"/>
      <c r="D29" s="487"/>
      <c r="E29" s="487"/>
      <c r="F29" s="487"/>
      <c r="G29" s="487"/>
      <c r="H29" s="487"/>
      <c r="I29" s="487"/>
      <c r="J29" s="487"/>
      <c r="K29" s="487"/>
      <c r="L29" s="487"/>
      <c r="M29" s="487"/>
      <c r="N29" s="487"/>
      <c r="O29" s="487"/>
      <c r="P29" s="487"/>
      <c r="Q29" s="487"/>
      <c r="R29" s="487"/>
      <c r="S29" s="487"/>
      <c r="T29" s="487"/>
      <c r="U29" s="488"/>
    </row>
    <row r="30" spans="1:21" x14ac:dyDescent="0.25">
      <c r="A30" s="55"/>
      <c r="B30" s="52"/>
      <c r="C30" s="489" t="s">
        <v>7</v>
      </c>
      <c r="D30" s="490"/>
      <c r="E30" s="490"/>
      <c r="F30" s="490"/>
      <c r="G30" s="490"/>
      <c r="H30" s="490"/>
      <c r="I30" s="490"/>
      <c r="J30" s="490"/>
      <c r="K30" s="491"/>
      <c r="L30" s="489" t="s">
        <v>8</v>
      </c>
      <c r="M30" s="490"/>
      <c r="N30" s="490"/>
      <c r="O30" s="490"/>
      <c r="P30" s="490"/>
      <c r="Q30" s="490"/>
      <c r="R30" s="490"/>
      <c r="S30" s="490"/>
      <c r="T30" s="491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139605.98929550874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1885.6446303801165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1039.4234458542505</v>
      </c>
      <c r="I33" s="11">
        <f>IF(Landbrug!$E$47&gt;0,SUMIF(Landbrug!$B$32:$B$45,$B33,IF($I$31=År2,Landbrug!$D$32:$D$45,Landbrug!$E$32:$E$45)),'[1]Afgrødefordeling - jordtype'!$P4)*(1-Landbrug!$E$5)*Arealanvendelse!P$36</f>
        <v>12262.026478572649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46674.150433143222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630.42324749774684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347.50805836020203</v>
      </c>
      <c r="R33" s="11">
        <f>IF(Landbrug!$E$47&gt;0,SUMIF(Landbrug!$B$32:$B$45,$B33,IF($R$31=År2,Landbrug!$D$32:$D$45,Landbrug!$E$32:$E$45)),'[1]Afgrødefordeling - jordtype'!$P4)*(Landbrug!$E$5)*Arealanvendelse!P$36</f>
        <v>12262.026478572649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30535.684540723742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50.990844974029841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18.879357376435923</v>
      </c>
      <c r="I34" s="11">
        <f>IF(Landbrug!$E$47&gt;0,SUMIF(Landbrug!$B$32:$B$45,$B34,IF($I$31=År2,Landbrug!$D$32:$D$45,Landbrug!$E$32:$E$45)),'[1]Afgrødefordeling - jordtype'!$P5)*(1-Landbrug!$E$5)*Arealanvendelse!P$36</f>
        <v>36328.42150866046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10208.92542665859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17.047652332402613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6.3118922813807306</v>
      </c>
      <c r="R34" s="11">
        <f>IF(Landbrug!$E$47&gt;0,SUMIF(Landbrug!$B$32:$B$45,$B34,IF($R$31=År2,Landbrug!$D$32:$D$45,Landbrug!$E$32:$E$45)),'[1]Afgrødefordeling - jordtype'!$P5)*(Landbrug!$E$5)*Arealanvendelse!P$36</f>
        <v>36328.42150866046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36264.587599780585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205.95998830023743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92.221243178496934</v>
      </c>
      <c r="I35" s="11">
        <f>IF(Landbrug!$E$47&gt;0,SUMIF(Landbrug!$B$32:$B$45,$B35,IF($I$31=År2,Landbrug!$D$32:$D$45,Landbrug!$E$32:$E$45)),'[1]Afgrødefordeling - jordtype'!$P6)*(1-Landbrug!$E$5)*Arealanvendelse!P$36</f>
        <v>32054.489566465109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12124.256456112609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68.858130841260106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30.832116866658851</v>
      </c>
      <c r="R35" s="11">
        <f>IF(Landbrug!$E$47&gt;0,SUMIF(Landbrug!$B$32:$B$45,$B35,IF($R$31=År2,Landbrug!$D$32:$D$45,Landbrug!$E$32:$E$45)),'[1]Afgrødefordeling - jordtype'!$P6)*(Landbrug!$E$5)*Arealanvendelse!P$36</f>
        <v>32054.489566465109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72038.621486705946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605.60866356368342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677.69572474534289</v>
      </c>
      <c r="I36" s="11">
        <f>IF(Landbrug!$E$47&gt;0,SUMIF(Landbrug!$B$32:$B$45,$B36,IF($I$31=År2,Landbrug!$D$32:$D$45,Landbrug!$E$32:$E$45)),'[1]Afgrødefordeling - jordtype'!$P7)*(1-Landbrug!$E$5)*Arealanvendelse!P$36</f>
        <v>74793.80898841859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24084.507213724151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202.47175647281159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226.57245841872887</v>
      </c>
      <c r="R36" s="11">
        <f>IF(Landbrug!$E$47&gt;0,SUMIF(Landbrug!$B$32:$B$45,$B36,IF($R$31=År2,Landbrug!$D$32:$D$45,Landbrug!$E$32:$E$45)),'[1]Afgrødefordeling - jordtype'!$P7)*(Landbrug!$E$5)*Arealanvendelse!P$36</f>
        <v>74793.80898841859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3008.481202286293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11.46957223200376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3.1896419604766248</v>
      </c>
      <c r="I37" s="11">
        <f>IF(Landbrug!$E$47&gt;0,SUMIF(Landbrug!$B$32:$B$45,$B37,IF($I$31=År2,Landbrug!$D$32:$D$45,Landbrug!$E$32:$E$45)),'[1]Afgrødefordeling - jordtype'!$P8)*(1-Landbrug!$E$5)*Arealanvendelse!P$36</f>
        <v>2742.211558421523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1005.8186251133239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3.8345957967977244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1.0663856861901932</v>
      </c>
      <c r="R37" s="11">
        <f>IF(Landbrug!$E$47&gt;0,SUMIF(Landbrug!$B$32:$B$45,$B37,IF($R$31=År2,Landbrug!$D$32:$D$45,Landbrug!$E$32:$E$45)),'[1]Afgrødefordeling - jordtype'!$P8)*(Landbrug!$E$5)*Arealanvendelse!P$36</f>
        <v>2742.211558421523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12653.951447780619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19.499322517256413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18.180578675197953</v>
      </c>
      <c r="I38" s="11">
        <f>IF(Landbrug!$E$47&gt;0,SUMIF(Landbrug!$B$32:$B$45,$B38,IF($I$31=År2,Landbrug!$D$32:$D$45,Landbrug!$E$32:$E$45)),'[1]Afgrødefordeling - jordtype'!$P9)*(1-Landbrug!$E$5)*Arealanvendelse!P$36</f>
        <v>11533.996587194459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4230.5665854867711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6.5191638059906802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6.0782711997520584</v>
      </c>
      <c r="R38" s="11">
        <f>IF(Landbrug!$E$47&gt;0,SUMIF(Landbrug!$B$32:$B$45,$B38,IF($R$31=År2,Landbrug!$D$32:$D$45,Landbrug!$E$32:$E$45)),'[1]Afgrødefordeling - jordtype'!$P9)*(Landbrug!$E$5)*Arealanvendelse!P$36</f>
        <v>11533.996587194459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7782.2280444329399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54.477004659634666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20.936492564620558</v>
      </c>
      <c r="I39" s="11">
        <f>IF(Landbrug!$E$47&gt;0,SUMIF(Landbrug!$B$32:$B$45,$B39,IF($I$31=År2,Landbrug!$D$32:$D$45,Landbrug!$E$32:$E$45)),'[1]Afgrødefordeling - jordtype'!$P10)*(1-Landbrug!$E$5)*Arealanvendelse!P$36</f>
        <v>7093.4515653607632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2601.8144657248918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18.213172110035202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6.9996495740238407</v>
      </c>
      <c r="R39" s="11">
        <f>IF(Landbrug!$E$47&gt;0,SUMIF(Landbrug!$B$32:$B$45,$B39,IF($R$31=År2,Landbrug!$D$32:$D$45,Landbrug!$E$32:$E$45)),'[1]Afgrødefordeling - jordtype'!$P10)*(Landbrug!$E$5)*Arealanvendelse!P$36</f>
        <v>7093.4515653607632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18896.748301264219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58.080893697554018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21.50444750263269</v>
      </c>
      <c r="I40" s="11">
        <f>IF(Landbrug!$E$47&gt;0,SUMIF(Landbrug!$B$32:$B$45,$B40,IF($I$31=År2,Landbrug!$D$32:$D$45,Landbrug!$E$32:$E$45)),'[1]Afgrødefordeling - jordtype'!$P11)*(1-Landbrug!$E$5)*Arealanvendelse!P$36</f>
        <v>1659.7599372226859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6317.7065494196841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19.418052072198943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7.1895326467329399</v>
      </c>
      <c r="R40" s="11">
        <f>IF(Landbrug!$E$47&gt;0,SUMIF(Landbrug!$B$32:$B$45,$B40,IF($R$31=År2,Landbrug!$D$32:$D$45,Landbrug!$E$32:$E$45)),'[1]Afgrødefordeling - jordtype'!$P11)*(Landbrug!$E$5)*Arealanvendelse!P$36</f>
        <v>1659.7599372226859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12572.980085436488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12.529242712581604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7.8034365445890632</v>
      </c>
      <c r="I41" s="11">
        <f>IF(Landbrug!$E$47&gt;0,SUMIF(Landbrug!$B$32:$B$45,$B41,IF($I$31=År2,Landbrug!$D$32:$D$45,Landbrug!$E$32:$E$45)),'[1]Afgrødefordeling - jordtype'!$P12)*(1-Landbrug!$E$5)*Arealanvendelse!P$36</f>
        <v>19124.895676548345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4203.4956154954561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4.188872999872153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2.6089050549735591</v>
      </c>
      <c r="R41" s="11">
        <f>IF(Landbrug!$E$47&gt;0,SUMIF(Landbrug!$B$32:$B$45,$B41,IF($R$31=År2,Landbrug!$D$32:$D$45,Landbrug!$E$32:$E$45)),'[1]Afgrødefordeling - jordtype'!$P12)*(Landbrug!$E$5)*Arealanvendelse!P$36</f>
        <v>19124.895676548345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7263.9100942126888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89.464869797138064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55.720321686388786</v>
      </c>
      <c r="I42" s="11">
        <f>IF(Landbrug!$E$47&gt;0,SUMIF(Landbrug!$B$32:$B$45,$B42,IF($I$31=År2,Landbrug!$D$32:$D$45,Landbrug!$E$32:$E$45)),'[1]Afgrødefordeling - jordtype'!$P13)*(1-Landbrug!$E$5)*Arealanvendelse!P$36</f>
        <v>638.01172401471331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2428.5264133794421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29.910584871501143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18.628847441986572</v>
      </c>
      <c r="R42" s="11">
        <f>IF(Landbrug!$E$47&gt;0,SUMIF(Landbrug!$B$32:$B$45,$B42,IF($R$31=År2,Landbrug!$D$32:$D$45,Landbrug!$E$32:$E$45)),'[1]Afgrødefordeling - jordtype'!$P13)*(Landbrug!$E$5)*Arealanvendelse!P$36</f>
        <v>638.01172401471331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10491.306102220859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649.51071214656338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521.44066181544724</v>
      </c>
      <c r="I43" s="11">
        <f>IF(Landbrug!$E$47&gt;0,SUMIF(Landbrug!$B$32:$B$45,$B43,IF($I$31=År2,Landbrug!$D$32:$D$45,Landbrug!$E$32:$E$45)),'[1]Afgrødefordeling - jordtype'!$P14)*(1-Landbrug!$E$5)*Arealanvendelse!P$36</f>
        <v>921.48391246980407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3507.5343237509874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217.14942775483027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174.33206135601603</v>
      </c>
      <c r="R43" s="11">
        <f>IF(Landbrug!$E$47&gt;0,SUMIF(Landbrug!$B$32:$B$45,$B43,IF($R$31=År2,Landbrug!$D$32:$D$45,Landbrug!$E$32:$E$45)),'[1]Afgrødefordeling - jordtype'!$P14)*(Landbrug!$E$5)*Arealanvendelse!P$36</f>
        <v>921.48391246980407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2884.822794857841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19.633252031251775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12.227940658851667</v>
      </c>
      <c r="I44" s="11">
        <f>IF(Landbrug!$E$47&gt;0,SUMIF(Landbrug!$B$32:$B$45,$B44,IF($I$31=År2,Landbrug!$D$32:$D$45,Landbrug!$E$32:$E$45)),'[1]Afgrødefordeling - jordtype'!$P15)*(1-Landbrug!$E$5)*Arealanvendelse!P$36</f>
        <v>1621.3021865186959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964.47619317495321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6.5639401534468442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4.0881393748137143</v>
      </c>
      <c r="R44" s="11">
        <f>IF(Landbrug!$E$47&gt;0,SUMIF(Landbrug!$B$32:$B$45,$B44,IF($R$31=År2,Landbrug!$D$32:$D$45,Landbrug!$E$32:$E$45)),'[1]Afgrødefordeling - jordtype'!$P15)*(Landbrug!$E$5)*Arealanvendelse!P$36</f>
        <v>1621.3021865186959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7855.4565133477763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41.669093631679907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37.300345620778415</v>
      </c>
      <c r="I45" s="11">
        <f>IF(Landbrug!$E$47&gt;0,SUMIF(Landbrug!$B$32:$B$45,$B45,IF($I$31=År2,Landbrug!$D$32:$D$45,Landbrug!$E$32:$E$45)),'[1]Afgrødefordeling - jordtype'!$P16)*(1-Landbrug!$E$5)*Arealanvendelse!P$36</f>
        <v>11308.291703398067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2626.2967719022085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13.93113257097435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12.470539061381483</v>
      </c>
      <c r="R45" s="11">
        <f>IF(Landbrug!$E$47&gt;0,SUMIF(Landbrug!$B$32:$B$45,$B45,IF($R$31=År2,Landbrug!$D$32:$D$45,Landbrug!$E$32:$E$45)),'[1]Afgrødefordeling - jordtype'!$P16)*(Landbrug!$E$5)*Arealanvendelse!P$36</f>
        <v>11308.291703398067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18380.83548506023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3909.3241537121544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3400.2009155611872</v>
      </c>
      <c r="I46" s="11">
        <f>IF(Landbrug!$E$47&gt;0,SUMIF(Landbrug!$B$32:$B$45,$B46,IF($I$31=År2,Landbrug!$D$32:$D$45,Landbrug!$E$32:$E$45)),'[1]Afgrødefordeling - jordtype'!$P17)*(1-Landbrug!$E$5)*Arealanvendelse!P$36</f>
        <v>1614.4457165015567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662.5687407407404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515.75170370370324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6145.2226000174778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1306.995384388938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1136.7813790559183</v>
      </c>
      <c r="R46" s="11">
        <f>IF(Landbrug!$E$47&gt;0,SUMIF(Landbrug!$B$32:$B$45,$B46,IF($R$31=År2,Landbrug!$D$32:$D$45,Landbrug!$E$32:$E$45)),'[1]Afgrødefordeling - jordtype'!$P17)*(Landbrug!$E$5)*Arealanvendelse!P$36</f>
        <v>1614.4457165015567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662.5687407407404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515.75170370370324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380235.60299361899</v>
      </c>
      <c r="G47" s="37">
        <f t="shared" si="3"/>
        <v>7613.8622443558852</v>
      </c>
      <c r="H47" s="37">
        <f t="shared" si="3"/>
        <v>5926.7245537446961</v>
      </c>
      <c r="I47" s="37">
        <f t="shared" si="3"/>
        <v>213696.59710976746</v>
      </c>
      <c r="J47" s="37">
        <f t="shared" si="3"/>
        <v>662.5687407407404</v>
      </c>
      <c r="K47" s="38">
        <f t="shared" si="3"/>
        <v>515.75170370370324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127123.29767310378</v>
      </c>
      <c r="P47" s="37">
        <f t="shared" si="3"/>
        <v>2545.5251136688066</v>
      </c>
      <c r="Q47" s="37">
        <f t="shared" si="3"/>
        <v>1981.4682363787592</v>
      </c>
      <c r="R47" s="37">
        <f t="shared" si="3"/>
        <v>213696.59710976746</v>
      </c>
      <c r="S47" s="37">
        <f t="shared" si="3"/>
        <v>662.5687407407404</v>
      </c>
      <c r="T47" s="38">
        <f t="shared" si="3"/>
        <v>515.75170370370324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79" t="s">
        <v>7</v>
      </c>
      <c r="D49" s="480"/>
      <c r="E49" s="481"/>
      <c r="F49" s="482" t="s">
        <v>8</v>
      </c>
      <c r="G49" s="480"/>
      <c r="H49" s="48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1409264.2692300314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147284.73076996871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49361.692337422792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49606.307662577208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1110078.7475035731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675468.25249642704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L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28515625" bestFit="1" customWidth="1"/>
    <col min="33" max="33" width="9.28515625" bestFit="1" customWidth="1"/>
    <col min="34" max="34" width="8.5703125" bestFit="1" customWidth="1"/>
    <col min="35" max="35" width="11" bestFit="1" customWidth="1"/>
    <col min="36" max="36" width="13.28515625" bestFit="1" customWidth="1"/>
    <col min="37" max="37" width="13.85546875" bestFit="1" customWidth="1"/>
    <col min="38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38" x14ac:dyDescent="0.25">
      <c r="A3" s="75" t="s">
        <v>174</v>
      </c>
      <c r="B3" s="75" t="s">
        <v>62</v>
      </c>
    </row>
    <row r="4" spans="1:38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202</v>
      </c>
      <c r="AG4" t="s">
        <v>237</v>
      </c>
      <c r="AH4" t="s">
        <v>230</v>
      </c>
      <c r="AI4" t="s">
        <v>110</v>
      </c>
      <c r="AJ4" t="s">
        <v>115</v>
      </c>
      <c r="AK4" t="s">
        <v>118</v>
      </c>
      <c r="AL4" t="s">
        <v>61</v>
      </c>
    </row>
    <row r="5" spans="1:38" x14ac:dyDescent="0.25">
      <c r="A5" s="76" t="s">
        <v>109</v>
      </c>
      <c r="B5" s="214"/>
      <c r="C5" s="214"/>
      <c r="D5" s="214">
        <v>729134</v>
      </c>
      <c r="E5" s="214">
        <v>3487267.302157159</v>
      </c>
      <c r="F5" s="214"/>
      <c r="G5" s="214">
        <v>16494.742368351181</v>
      </c>
      <c r="H5" s="214"/>
      <c r="I5" s="214"/>
      <c r="J5" s="214">
        <v>142742</v>
      </c>
      <c r="K5" s="214">
        <v>85676.999999999956</v>
      </c>
      <c r="L5" s="214"/>
      <c r="M5" s="214">
        <v>75933.999999999971</v>
      </c>
      <c r="N5" s="214">
        <v>78</v>
      </c>
      <c r="O5" s="214"/>
      <c r="P5" s="214">
        <v>995654</v>
      </c>
      <c r="Q5" s="214"/>
      <c r="R5" s="214">
        <v>3786</v>
      </c>
      <c r="S5" s="214">
        <v>8599535.9162433334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8255413.2379163112</v>
      </c>
      <c r="AB5" s="214">
        <v>8730103.9847381208</v>
      </c>
      <c r="AC5" s="214"/>
      <c r="AD5" s="214"/>
      <c r="AE5" s="214"/>
      <c r="AF5" s="214"/>
      <c r="AG5" s="214"/>
      <c r="AH5" s="214"/>
      <c r="AI5" s="214"/>
      <c r="AJ5" s="214"/>
      <c r="AK5" s="214"/>
      <c r="AL5" s="214">
        <v>31480491.183423277</v>
      </c>
    </row>
    <row r="6" spans="1:38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/>
      <c r="AI6" s="214"/>
      <c r="AJ6" s="214"/>
      <c r="AK6" s="214"/>
      <c r="AL6" s="214">
        <v>13090417.500000002</v>
      </c>
    </row>
    <row r="7" spans="1:38" x14ac:dyDescent="0.25">
      <c r="A7" s="77">
        <v>2030</v>
      </c>
      <c r="B7" s="214"/>
      <c r="C7" s="214"/>
      <c r="D7" s="214">
        <v>0</v>
      </c>
      <c r="E7" s="214">
        <v>2138285.3141394742</v>
      </c>
      <c r="F7" s="214"/>
      <c r="G7" s="214">
        <v>6572.2723545464542</v>
      </c>
      <c r="H7" s="214"/>
      <c r="I7" s="214"/>
      <c r="J7" s="214">
        <v>0</v>
      </c>
      <c r="K7" s="214">
        <v>0</v>
      </c>
      <c r="L7" s="214"/>
      <c r="M7" s="214">
        <v>0</v>
      </c>
      <c r="N7" s="214">
        <v>0</v>
      </c>
      <c r="O7" s="214"/>
      <c r="P7" s="214">
        <v>0</v>
      </c>
      <c r="Q7" s="214"/>
      <c r="R7" s="214">
        <v>0</v>
      </c>
      <c r="S7" s="214">
        <v>4179758.5362353604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2744442.2213671906</v>
      </c>
      <c r="AB7" s="214">
        <v>5815234.6514047869</v>
      </c>
      <c r="AC7" s="214"/>
      <c r="AD7" s="214"/>
      <c r="AE7" s="214"/>
      <c r="AF7" s="214"/>
      <c r="AG7" s="214"/>
      <c r="AH7" s="214"/>
      <c r="AI7" s="214"/>
      <c r="AJ7" s="214"/>
      <c r="AK7" s="214"/>
      <c r="AL7" s="214">
        <v>14884292.995501358</v>
      </c>
    </row>
    <row r="8" spans="1:38" x14ac:dyDescent="0.25">
      <c r="A8" s="77">
        <v>2050</v>
      </c>
      <c r="B8" s="214"/>
      <c r="C8" s="214"/>
      <c r="D8" s="214">
        <v>0</v>
      </c>
      <c r="E8" s="214">
        <v>591894.98801768455</v>
      </c>
      <c r="F8" s="214"/>
      <c r="G8" s="214">
        <v>5480.9700138047265</v>
      </c>
      <c r="H8" s="214"/>
      <c r="I8" s="214"/>
      <c r="J8" s="214">
        <v>0</v>
      </c>
      <c r="K8" s="214">
        <v>0</v>
      </c>
      <c r="L8" s="214"/>
      <c r="M8" s="214">
        <v>0</v>
      </c>
      <c r="N8" s="214">
        <v>0</v>
      </c>
      <c r="O8" s="214"/>
      <c r="P8" s="214">
        <v>0</v>
      </c>
      <c r="Q8" s="214"/>
      <c r="R8" s="214">
        <v>0</v>
      </c>
      <c r="S8" s="214">
        <v>66267.713341306167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2842137.0165491202</v>
      </c>
      <c r="AB8" s="214">
        <v>0</v>
      </c>
      <c r="AC8" s="214"/>
      <c r="AD8" s="214"/>
      <c r="AE8" s="214"/>
      <c r="AF8" s="214"/>
      <c r="AG8" s="214"/>
      <c r="AH8" s="214"/>
      <c r="AI8" s="214"/>
      <c r="AJ8" s="214"/>
      <c r="AK8" s="214"/>
      <c r="AL8" s="214">
        <v>3505780.6879219157</v>
      </c>
    </row>
    <row r="9" spans="1:38" x14ac:dyDescent="0.25">
      <c r="A9" s="76" t="s">
        <v>112</v>
      </c>
      <c r="B9" s="214"/>
      <c r="C9" s="214">
        <v>123901.86377949466</v>
      </c>
      <c r="D9" s="214"/>
      <c r="E9" s="214"/>
      <c r="F9" s="214"/>
      <c r="G9" s="214"/>
      <c r="H9" s="214"/>
      <c r="I9" s="214"/>
      <c r="J9" s="214"/>
      <c r="K9" s="214">
        <v>23508657.792939946</v>
      </c>
      <c r="L9" s="214"/>
      <c r="M9" s="214">
        <v>1485101.5061347764</v>
      </c>
      <c r="N9" s="214"/>
      <c r="O9" s="214">
        <v>7611797.3149806997</v>
      </c>
      <c r="P9" s="214"/>
      <c r="Q9" s="214">
        <v>0</v>
      </c>
      <c r="R9" s="214">
        <v>9774805.7144666966</v>
      </c>
      <c r="S9" s="214"/>
      <c r="T9" s="214">
        <v>2389454.7415486719</v>
      </c>
      <c r="U9" s="214">
        <v>10862182.446177615</v>
      </c>
      <c r="V9" s="214"/>
      <c r="W9" s="214"/>
      <c r="X9" s="214"/>
      <c r="Y9" s="214">
        <v>8808288.761532208</v>
      </c>
      <c r="Z9" s="214">
        <v>80368.572850433557</v>
      </c>
      <c r="AA9" s="214"/>
      <c r="AB9" s="214"/>
      <c r="AC9" s="214"/>
      <c r="AD9" s="214"/>
      <c r="AE9" s="214"/>
      <c r="AF9" s="214">
        <v>7820995.0257220333</v>
      </c>
      <c r="AG9" s="214">
        <v>411285.3533791558</v>
      </c>
      <c r="AH9" s="214"/>
      <c r="AI9" s="214"/>
      <c r="AJ9" s="214"/>
      <c r="AK9" s="214"/>
      <c r="AL9" s="214">
        <v>72876839.093511716</v>
      </c>
    </row>
    <row r="10" spans="1:38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240377.87559326066</v>
      </c>
      <c r="AH10" s="214"/>
      <c r="AI10" s="214"/>
      <c r="AJ10" s="214"/>
      <c r="AK10" s="214"/>
      <c r="AL10" s="214">
        <v>35984266.24676016</v>
      </c>
    </row>
    <row r="11" spans="1:38" x14ac:dyDescent="0.25">
      <c r="A11" s="77">
        <v>2030</v>
      </c>
      <c r="B11" s="214"/>
      <c r="C11" s="214">
        <v>45358.941062195343</v>
      </c>
      <c r="D11" s="214"/>
      <c r="E11" s="214"/>
      <c r="F11" s="214"/>
      <c r="G11" s="214"/>
      <c r="H11" s="214"/>
      <c r="I11" s="214"/>
      <c r="J11" s="214"/>
      <c r="K11" s="214">
        <v>8606229.0812590327</v>
      </c>
      <c r="L11" s="214"/>
      <c r="M11" s="214">
        <v>543677.30745381361</v>
      </c>
      <c r="N11" s="214"/>
      <c r="O11" s="214">
        <v>2190723.0495092552</v>
      </c>
      <c r="P11" s="214"/>
      <c r="Q11" s="214">
        <v>0</v>
      </c>
      <c r="R11" s="214">
        <v>3034307.7967753555</v>
      </c>
      <c r="S11" s="214"/>
      <c r="T11" s="214">
        <v>687700.0741687679</v>
      </c>
      <c r="U11" s="214">
        <v>3974704.3180609513</v>
      </c>
      <c r="V11" s="214"/>
      <c r="W11" s="214"/>
      <c r="X11" s="214"/>
      <c r="Y11" s="214">
        <v>5800700.180129448</v>
      </c>
      <c r="Z11" s="214">
        <v>31087.701331546235</v>
      </c>
      <c r="AA11" s="214"/>
      <c r="AB11" s="214"/>
      <c r="AC11" s="214"/>
      <c r="AD11" s="214"/>
      <c r="AE11" s="214"/>
      <c r="AF11" s="214">
        <v>5664406.6188028278</v>
      </c>
      <c r="AG11" s="214">
        <v>150566.48491478726</v>
      </c>
      <c r="AH11" s="214"/>
      <c r="AI11" s="214"/>
      <c r="AJ11" s="214"/>
      <c r="AK11" s="214"/>
      <c r="AL11" s="214">
        <v>30729461.553467974</v>
      </c>
    </row>
    <row r="12" spans="1:38" x14ac:dyDescent="0.25">
      <c r="A12" s="77">
        <v>2050</v>
      </c>
      <c r="B12" s="214"/>
      <c r="C12" s="214">
        <v>6127.8304883672272</v>
      </c>
      <c r="D12" s="214"/>
      <c r="E12" s="214"/>
      <c r="F12" s="214"/>
      <c r="G12" s="214"/>
      <c r="H12" s="214"/>
      <c r="I12" s="214"/>
      <c r="J12" s="214"/>
      <c r="K12" s="214">
        <v>1162670.7264108984</v>
      </c>
      <c r="L12" s="214"/>
      <c r="M12" s="214">
        <v>73448.857103623857</v>
      </c>
      <c r="N12" s="214"/>
      <c r="O12" s="214">
        <v>0</v>
      </c>
      <c r="P12" s="214"/>
      <c r="Q12" s="214">
        <v>0</v>
      </c>
      <c r="R12" s="214">
        <v>139661.10799021259</v>
      </c>
      <c r="S12" s="214"/>
      <c r="T12" s="214">
        <v>0</v>
      </c>
      <c r="U12" s="214">
        <v>536071.08053741162</v>
      </c>
      <c r="V12" s="214"/>
      <c r="W12" s="214"/>
      <c r="X12" s="214"/>
      <c r="Y12" s="214">
        <v>2063175.0869171035</v>
      </c>
      <c r="Z12" s="214">
        <v>5027.2040456510467</v>
      </c>
      <c r="AA12" s="214"/>
      <c r="AB12" s="214"/>
      <c r="AC12" s="214"/>
      <c r="AD12" s="214"/>
      <c r="AE12" s="214"/>
      <c r="AF12" s="214">
        <v>2156588.4069192056</v>
      </c>
      <c r="AG12" s="214">
        <v>20340.992871107879</v>
      </c>
      <c r="AH12" s="214"/>
      <c r="AI12" s="214"/>
      <c r="AJ12" s="214"/>
      <c r="AK12" s="214"/>
      <c r="AL12" s="214">
        <v>6163111.2932835817</v>
      </c>
    </row>
    <row r="13" spans="1:38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>
        <v>9638396.1067842171</v>
      </c>
    </row>
    <row r="14" spans="1:38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>
        <v>3083197.0190696353</v>
      </c>
    </row>
    <row r="15" spans="1:38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>
        <v>3209159.2069397997</v>
      </c>
    </row>
    <row r="16" spans="1:38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>
        <v>3346039.8807747816</v>
      </c>
    </row>
    <row r="17" spans="1:38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4246699.0507757002</v>
      </c>
      <c r="N17" s="214">
        <v>2948349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3108406.3209931646</v>
      </c>
      <c r="AE17" s="214">
        <v>8749913.3949697316</v>
      </c>
      <c r="AF17" s="214"/>
      <c r="AG17" s="214"/>
      <c r="AH17" s="214">
        <v>685936.54686720949</v>
      </c>
      <c r="AI17" s="214"/>
      <c r="AJ17" s="214"/>
      <c r="AK17" s="214"/>
      <c r="AL17" s="214">
        <v>20473076.100458149</v>
      </c>
    </row>
    <row r="18" spans="1:38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>
        <v>112873.31802427149</v>
      </c>
      <c r="AI18" s="214"/>
      <c r="AJ18" s="214"/>
      <c r="AK18" s="214"/>
      <c r="AL18" s="214">
        <v>6211258.0407956997</v>
      </c>
    </row>
    <row r="19" spans="1:38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1507538.4346968937</v>
      </c>
      <c r="N19" s="214">
        <v>982809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1040798.545799318</v>
      </c>
      <c r="AE19" s="214">
        <v>2862895.9283603532</v>
      </c>
      <c r="AF19" s="214"/>
      <c r="AG19" s="214"/>
      <c r="AH19" s="214">
        <v>272942.8395612298</v>
      </c>
      <c r="AI19" s="214"/>
      <c r="AJ19" s="214"/>
      <c r="AK19" s="214"/>
      <c r="AL19" s="214">
        <v>7030979.7201605383</v>
      </c>
    </row>
    <row r="20" spans="1:38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843666.09680397622</v>
      </c>
      <c r="N20" s="214">
        <v>982809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1857740.6365169021</v>
      </c>
      <c r="AE20" s="214">
        <v>2876725.401789723</v>
      </c>
      <c r="AF20" s="214"/>
      <c r="AG20" s="214"/>
      <c r="AH20" s="214">
        <v>300120.38928170811</v>
      </c>
      <c r="AI20" s="214"/>
      <c r="AJ20" s="214"/>
      <c r="AK20" s="214"/>
      <c r="AL20" s="214">
        <v>7230838.339501909</v>
      </c>
    </row>
    <row r="21" spans="1:38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>
        <v>104190.75509932752</v>
      </c>
      <c r="AI21" s="214"/>
      <c r="AJ21" s="214"/>
      <c r="AK21" s="214">
        <v>2502554.3160842187</v>
      </c>
      <c r="AL21" s="214">
        <v>2606745.0711835464</v>
      </c>
    </row>
    <row r="22" spans="1:38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>
        <v>104190.75509932752</v>
      </c>
      <c r="AI22" s="214"/>
      <c r="AJ22" s="214"/>
      <c r="AK22" s="214">
        <v>827707.93518034508</v>
      </c>
      <c r="AL22" s="214">
        <v>931898.69027967262</v>
      </c>
    </row>
    <row r="23" spans="1:38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>
        <v>0</v>
      </c>
      <c r="AI23" s="214"/>
      <c r="AJ23" s="214"/>
      <c r="AK23" s="214">
        <v>792089.97208410688</v>
      </c>
      <c r="AL23" s="214">
        <v>792089.97208410688</v>
      </c>
    </row>
    <row r="24" spans="1:38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>
        <v>0</v>
      </c>
      <c r="AI24" s="214"/>
      <c r="AJ24" s="214"/>
      <c r="AK24" s="214">
        <v>882756.40881976672</v>
      </c>
      <c r="AL24" s="214">
        <v>882756.40881976672</v>
      </c>
    </row>
    <row r="25" spans="1:38" x14ac:dyDescent="0.25">
      <c r="A25" s="76" t="s">
        <v>114</v>
      </c>
      <c r="B25" s="214"/>
      <c r="C25" s="214"/>
      <c r="D25" s="214"/>
      <c r="E25" s="214">
        <v>1118493.4050104078</v>
      </c>
      <c r="F25" s="214"/>
      <c r="G25" s="214">
        <v>7241.2541197160099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11097106.258005265</v>
      </c>
      <c r="T25" s="214"/>
      <c r="U25" s="214"/>
      <c r="V25" s="214"/>
      <c r="W25" s="214"/>
      <c r="X25" s="214"/>
      <c r="Y25" s="214"/>
      <c r="Z25" s="214"/>
      <c r="AA25" s="214"/>
      <c r="AB25" s="214">
        <v>16680542.217134926</v>
      </c>
      <c r="AC25" s="214"/>
      <c r="AD25" s="214"/>
      <c r="AE25" s="214"/>
      <c r="AF25" s="214"/>
      <c r="AG25" s="214"/>
      <c r="AH25" s="214"/>
      <c r="AI25" s="214">
        <v>19619757.507186525</v>
      </c>
      <c r="AJ25" s="214">
        <v>3691458.7474317602</v>
      </c>
      <c r="AK25" s="214"/>
      <c r="AL25" s="214">
        <v>52214599.388888605</v>
      </c>
    </row>
    <row r="26" spans="1:38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>
        <v>8803491.7355084848</v>
      </c>
      <c r="AJ26" s="214">
        <v>944817.29105430027</v>
      </c>
      <c r="AK26" s="214"/>
      <c r="AL26" s="214">
        <v>35015136.519419931</v>
      </c>
    </row>
    <row r="27" spans="1:38" x14ac:dyDescent="0.25">
      <c r="A27" s="77">
        <v>2030</v>
      </c>
      <c r="B27" s="214"/>
      <c r="C27" s="214"/>
      <c r="D27" s="214"/>
      <c r="E27" s="214">
        <v>269831.24202236213</v>
      </c>
      <c r="F27" s="214"/>
      <c r="G27" s="214">
        <v>2190.7574515154847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1393252.8454117868</v>
      </c>
      <c r="T27" s="214"/>
      <c r="U27" s="214"/>
      <c r="V27" s="214"/>
      <c r="W27" s="214"/>
      <c r="X27" s="214"/>
      <c r="Y27" s="214"/>
      <c r="Z27" s="214"/>
      <c r="AA27" s="214"/>
      <c r="AB27" s="214">
        <v>1938411.5504682623</v>
      </c>
      <c r="AC27" s="214"/>
      <c r="AD27" s="214"/>
      <c r="AE27" s="214"/>
      <c r="AF27" s="214"/>
      <c r="AG27" s="214"/>
      <c r="AH27" s="214"/>
      <c r="AI27" s="214">
        <v>10736909.103015775</v>
      </c>
      <c r="AJ27" s="214">
        <v>1373926.8476279068</v>
      </c>
      <c r="AK27" s="214"/>
      <c r="AL27" s="214">
        <v>15714522.345997607</v>
      </c>
    </row>
    <row r="28" spans="1:38" x14ac:dyDescent="0.25">
      <c r="A28" s="77">
        <v>2050</v>
      </c>
      <c r="B28" s="214"/>
      <c r="C28" s="214"/>
      <c r="D28" s="214"/>
      <c r="E28" s="214">
        <v>24897.170130902599</v>
      </c>
      <c r="F28" s="214"/>
      <c r="G28" s="214">
        <v>608.99666820052505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7363.0792601451285</v>
      </c>
      <c r="T28" s="214"/>
      <c r="U28" s="214"/>
      <c r="V28" s="214"/>
      <c r="W28" s="214"/>
      <c r="X28" s="214"/>
      <c r="Y28" s="214"/>
      <c r="Z28" s="214"/>
      <c r="AA28" s="214"/>
      <c r="AB28" s="214">
        <v>0</v>
      </c>
      <c r="AC28" s="214"/>
      <c r="AD28" s="214"/>
      <c r="AE28" s="214"/>
      <c r="AF28" s="214"/>
      <c r="AG28" s="214"/>
      <c r="AH28" s="214"/>
      <c r="AI28" s="214">
        <v>79356.668662266122</v>
      </c>
      <c r="AJ28" s="214">
        <v>1372714.6087495531</v>
      </c>
      <c r="AK28" s="214"/>
      <c r="AL28" s="214">
        <v>1484940.5234710674</v>
      </c>
    </row>
    <row r="29" spans="1:38" x14ac:dyDescent="0.25">
      <c r="A29" s="76" t="s">
        <v>208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46784290.904706568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>
        <v>46784290.904706568</v>
      </c>
    </row>
    <row r="30" spans="1:38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>
        <v>0</v>
      </c>
    </row>
    <row r="31" spans="1:38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33883827.592915721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>
        <v>33883827.592915721</v>
      </c>
    </row>
    <row r="32" spans="1:38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12900463.31179085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>
        <v>12900463.31179085</v>
      </c>
    </row>
    <row r="33" spans="1:38" x14ac:dyDescent="0.25">
      <c r="A33" s="76" t="s">
        <v>236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2469147.8186454279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>
        <v>2469147.8186454279</v>
      </c>
    </row>
    <row r="34" spans="1:38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>
        <v>678325.22851124685</v>
      </c>
    </row>
    <row r="35" spans="1:38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852946.37362884311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>
        <v>852946.37362884311</v>
      </c>
    </row>
    <row r="36" spans="1:38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937876.21650533774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>
        <v>937876.21650533774</v>
      </c>
    </row>
    <row r="37" spans="1:38" x14ac:dyDescent="0.25">
      <c r="A37" s="76" t="s">
        <v>61</v>
      </c>
      <c r="B37" s="214">
        <v>182574.19618217932</v>
      </c>
      <c r="C37" s="214">
        <v>123901.86377949466</v>
      </c>
      <c r="D37" s="214">
        <v>1462905.7868523435</v>
      </c>
      <c r="E37" s="214">
        <v>4605760.7071675677</v>
      </c>
      <c r="F37" s="214">
        <v>281468.55244752642</v>
      </c>
      <c r="G37" s="214">
        <v>23735.996488067191</v>
      </c>
      <c r="H37" s="214">
        <v>197788.71253069426</v>
      </c>
      <c r="I37" s="214">
        <v>1445379.0531089196</v>
      </c>
      <c r="J37" s="214">
        <v>142742</v>
      </c>
      <c r="K37" s="214">
        <v>70378625.697646514</v>
      </c>
      <c r="L37" s="214">
        <v>1513844.376677237</v>
      </c>
      <c r="M37" s="214">
        <v>5807734.5569104757</v>
      </c>
      <c r="N37" s="214">
        <v>2948427</v>
      </c>
      <c r="O37" s="214">
        <v>7611797.3149806997</v>
      </c>
      <c r="P37" s="214">
        <v>995654</v>
      </c>
      <c r="Q37" s="214">
        <v>692260.49385742994</v>
      </c>
      <c r="R37" s="214">
        <v>11436973.996454826</v>
      </c>
      <c r="S37" s="214">
        <v>19696642.174248595</v>
      </c>
      <c r="T37" s="214">
        <v>2389454.7415486719</v>
      </c>
      <c r="U37" s="214">
        <v>11192208.446177615</v>
      </c>
      <c r="V37" s="214">
        <v>2647325.8446415998</v>
      </c>
      <c r="W37" s="214">
        <v>336392.95646566537</v>
      </c>
      <c r="X37" s="214">
        <v>2469147.8186454279</v>
      </c>
      <c r="Y37" s="214">
        <v>8836933.761532208</v>
      </c>
      <c r="Z37" s="214">
        <v>80368.572850433557</v>
      </c>
      <c r="AA37" s="214">
        <v>8255413.2379163112</v>
      </c>
      <c r="AB37" s="214">
        <v>25410646.201873045</v>
      </c>
      <c r="AC37" s="214">
        <v>682979.63888483576</v>
      </c>
      <c r="AD37" s="214">
        <v>3108406.3209931646</v>
      </c>
      <c r="AE37" s="214">
        <v>8749913.3949697316</v>
      </c>
      <c r="AF37" s="214">
        <v>7820995.0257220333</v>
      </c>
      <c r="AG37" s="214">
        <v>411285.3533791558</v>
      </c>
      <c r="AH37" s="214">
        <v>790127.30196653702</v>
      </c>
      <c r="AI37" s="214">
        <v>19619757.507186525</v>
      </c>
      <c r="AJ37" s="214">
        <v>3691458.7474317602</v>
      </c>
      <c r="AK37" s="214">
        <v>2502554.3160842187</v>
      </c>
      <c r="AL37" s="214">
        <v>238543585.66760153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85546875" bestFit="1" customWidth="1"/>
    <col min="8" max="8" width="8.42578125" bestFit="1" customWidth="1"/>
    <col min="9" max="9" width="7.7109375" bestFit="1" customWidth="1"/>
    <col min="10" max="10" width="14.5703125" bestFit="1" customWidth="1"/>
    <col min="11" max="12" width="11.28515625" bestFit="1" customWidth="1"/>
    <col min="13" max="13" width="7.7109375" bestFit="1" customWidth="1"/>
    <col min="14" max="14" width="14.5703125" bestFit="1" customWidth="1"/>
    <col min="15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5" t="s">
        <v>277</v>
      </c>
      <c r="B2" s="76">
        <v>1</v>
      </c>
    </row>
    <row r="4" spans="1:11" x14ac:dyDescent="0.25">
      <c r="A4" s="75" t="s">
        <v>304</v>
      </c>
      <c r="B4" s="75" t="s">
        <v>62</v>
      </c>
    </row>
    <row r="5" spans="1:11" x14ac:dyDescent="0.25">
      <c r="A5" s="75" t="s">
        <v>60</v>
      </c>
      <c r="B5" t="s">
        <v>102</v>
      </c>
      <c r="C5" t="s">
        <v>51</v>
      </c>
      <c r="D5" t="s">
        <v>103</v>
      </c>
      <c r="E5" t="s">
        <v>115</v>
      </c>
      <c r="F5" t="s">
        <v>108</v>
      </c>
      <c r="G5" t="s">
        <v>52</v>
      </c>
      <c r="H5" t="s">
        <v>158</v>
      </c>
      <c r="I5" t="s">
        <v>54</v>
      </c>
      <c r="J5" t="s">
        <v>159</v>
      </c>
      <c r="K5" t="s">
        <v>61</v>
      </c>
    </row>
    <row r="6" spans="1:11" x14ac:dyDescent="0.25">
      <c r="A6" s="76">
        <v>2019</v>
      </c>
      <c r="B6" s="74">
        <v>34869.318749292113</v>
      </c>
      <c r="C6" s="74">
        <v>0</v>
      </c>
      <c r="D6" s="74">
        <v>2781.7823767953669</v>
      </c>
      <c r="E6" s="74">
        <v>944817.29105430027</v>
      </c>
      <c r="F6" s="74">
        <v>0</v>
      </c>
      <c r="G6" s="74">
        <v>0</v>
      </c>
      <c r="H6" s="74">
        <v>114193.60000000001</v>
      </c>
      <c r="I6" s="74">
        <v>207824.63776728272</v>
      </c>
      <c r="J6" s="74">
        <v>5421074.2654714445</v>
      </c>
      <c r="K6" s="74">
        <v>6725560.8954191152</v>
      </c>
    </row>
    <row r="7" spans="1:11" x14ac:dyDescent="0.25">
      <c r="A7" s="76">
        <v>2030</v>
      </c>
      <c r="B7" s="74">
        <v>0</v>
      </c>
      <c r="C7" s="74">
        <v>14870926.792952009</v>
      </c>
      <c r="D7" s="74">
        <v>0</v>
      </c>
      <c r="E7" s="74">
        <v>1373926.8476279068</v>
      </c>
      <c r="F7" s="74">
        <v>35755.911767410122</v>
      </c>
      <c r="G7" s="74">
        <v>2431669.8538372577</v>
      </c>
      <c r="H7" s="74">
        <v>0</v>
      </c>
      <c r="I7" s="74">
        <v>0</v>
      </c>
      <c r="J7" s="74">
        <v>2190723.0495092552</v>
      </c>
      <c r="K7" s="74">
        <v>20903002.455693841</v>
      </c>
    </row>
    <row r="8" spans="1:11" x14ac:dyDescent="0.25">
      <c r="A8" s="76">
        <v>2050</v>
      </c>
      <c r="B8" s="74">
        <v>0</v>
      </c>
      <c r="C8" s="74">
        <v>0</v>
      </c>
      <c r="D8" s="74">
        <v>0</v>
      </c>
      <c r="E8" s="74">
        <v>1372714.6087495531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1372714.6087495531</v>
      </c>
    </row>
    <row r="9" spans="1:11" x14ac:dyDescent="0.25">
      <c r="A9" s="76" t="s">
        <v>61</v>
      </c>
      <c r="B9" s="74">
        <v>34869.318749292113</v>
      </c>
      <c r="C9" s="74">
        <v>14870926.792952009</v>
      </c>
      <c r="D9" s="74">
        <v>2781.7823767953669</v>
      </c>
      <c r="E9" s="74">
        <v>3691458.7474317602</v>
      </c>
      <c r="F9" s="74">
        <v>35755.911767410122</v>
      </c>
      <c r="G9" s="74">
        <v>2431669.8538372577</v>
      </c>
      <c r="H9" s="74">
        <v>114193.60000000001</v>
      </c>
      <c r="I9" s="74">
        <v>207824.63776728272</v>
      </c>
      <c r="J9" s="74">
        <v>7611797.3149806997</v>
      </c>
      <c r="K9" s="74">
        <v>29001277.959862508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L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11" bestFit="1" customWidth="1"/>
    <col min="4" max="4" width="7.140625" bestFit="1" customWidth="1"/>
    <col min="5" max="8" width="9.85546875" bestFit="1" customWidth="1"/>
    <col min="9" max="9" width="20.7109375" bestFit="1" customWidth="1"/>
    <col min="10" max="10" width="5.140625" bestFit="1" customWidth="1"/>
    <col min="11" max="11" width="9.28515625" bestFit="1" customWidth="1"/>
    <col min="12" max="12" width="11.2851562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5" width="9.85546875" bestFit="1" customWidth="1"/>
    <col min="26" max="26" width="12.5703125" bestFit="1" customWidth="1"/>
    <col min="27" max="29" width="9.85546875" bestFit="1" customWidth="1"/>
    <col min="30" max="30" width="9.28515625" bestFit="1" customWidth="1"/>
    <col min="31" max="31" width="12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5" t="s">
        <v>299</v>
      </c>
      <c r="B2" s="76">
        <v>1</v>
      </c>
    </row>
    <row r="4" spans="1:12" x14ac:dyDescent="0.25">
      <c r="A4" s="75" t="s">
        <v>251</v>
      </c>
      <c r="B4" s="75" t="s">
        <v>62</v>
      </c>
    </row>
    <row r="5" spans="1:12" x14ac:dyDescent="0.25">
      <c r="A5" s="75" t="s">
        <v>60</v>
      </c>
      <c r="B5" t="s">
        <v>49</v>
      </c>
      <c r="C5" t="s">
        <v>51</v>
      </c>
      <c r="D5" t="s">
        <v>67</v>
      </c>
      <c r="E5" t="s">
        <v>12</v>
      </c>
      <c r="F5" t="s">
        <v>48</v>
      </c>
      <c r="G5" t="s">
        <v>53</v>
      </c>
      <c r="H5" t="s">
        <v>52</v>
      </c>
      <c r="I5" t="s">
        <v>107</v>
      </c>
      <c r="J5" t="s">
        <v>99</v>
      </c>
      <c r="K5" t="s">
        <v>237</v>
      </c>
      <c r="L5" t="s">
        <v>61</v>
      </c>
    </row>
    <row r="6" spans="1:12" x14ac:dyDescent="0.25">
      <c r="A6" s="76">
        <v>2019</v>
      </c>
      <c r="B6" s="94">
        <v>212954.7645341866</v>
      </c>
      <c r="C6" s="94">
        <v>4097849.3853123123</v>
      </c>
      <c r="D6" s="94">
        <v>22739.095393183758</v>
      </c>
      <c r="E6" s="94">
        <v>2143653.1237064754</v>
      </c>
      <c r="F6" s="94">
        <v>2222075.7410944896</v>
      </c>
      <c r="G6" s="94">
        <v>1289639.1357645364</v>
      </c>
      <c r="H6" s="94">
        <v>1662278.5794471605</v>
      </c>
      <c r="I6" s="94">
        <v>105946.31157195524</v>
      </c>
      <c r="J6" s="94">
        <v>76.5</v>
      </c>
      <c r="K6" s="94">
        <v>98784.738662362797</v>
      </c>
      <c r="L6" s="94">
        <v>11855997.375486661</v>
      </c>
    </row>
    <row r="7" spans="1:12" x14ac:dyDescent="0.25">
      <c r="A7" s="76">
        <v>2030</v>
      </c>
      <c r="B7" s="94">
        <v>587428.20442739874</v>
      </c>
      <c r="C7" s="94"/>
      <c r="D7" s="94"/>
      <c r="E7" s="94">
        <v>2932371.6994386665</v>
      </c>
      <c r="F7" s="94">
        <v>2506827.3802092117</v>
      </c>
      <c r="G7" s="94">
        <v>1026994.1457082357</v>
      </c>
      <c r="H7" s="94"/>
      <c r="I7" s="94">
        <v>48302.228679244159</v>
      </c>
      <c r="J7" s="94">
        <v>76.5</v>
      </c>
      <c r="K7" s="94">
        <v>275906.70189963432</v>
      </c>
      <c r="L7" s="94">
        <v>7377906.8603623919</v>
      </c>
    </row>
    <row r="8" spans="1:12" x14ac:dyDescent="0.25">
      <c r="A8" s="76">
        <v>2050</v>
      </c>
      <c r="B8" s="94">
        <v>938380.44520582655</v>
      </c>
      <c r="C8" s="94">
        <v>26193182.890956745</v>
      </c>
      <c r="D8" s="94"/>
      <c r="E8" s="94">
        <v>3299462.6181114498</v>
      </c>
      <c r="F8" s="94">
        <v>476180.49081991403</v>
      </c>
      <c r="G8" s="94">
        <v>43926.582985718967</v>
      </c>
      <c r="H8" s="94">
        <v>1818979.7815367144</v>
      </c>
      <c r="I8" s="94">
        <v>241.59506154239193</v>
      </c>
      <c r="J8" s="94">
        <v>76.5</v>
      </c>
      <c r="K8" s="94">
        <v>448597.11538156105</v>
      </c>
      <c r="L8" s="94">
        <v>33219028.020059466</v>
      </c>
    </row>
    <row r="9" spans="1:12" x14ac:dyDescent="0.25">
      <c r="A9" s="76" t="s">
        <v>61</v>
      </c>
      <c r="B9" s="94">
        <v>1738763.4141674119</v>
      </c>
      <c r="C9" s="94">
        <v>30291032.276269056</v>
      </c>
      <c r="D9" s="94">
        <v>22739.095393183758</v>
      </c>
      <c r="E9" s="94">
        <v>8375487.4412565921</v>
      </c>
      <c r="F9" s="94">
        <v>5205083.612123616</v>
      </c>
      <c r="G9" s="94">
        <v>2360559.8644584911</v>
      </c>
      <c r="H9" s="94">
        <v>3481258.3609838746</v>
      </c>
      <c r="I9" s="94">
        <v>154490.13531274177</v>
      </c>
      <c r="J9" s="94">
        <v>229.5</v>
      </c>
      <c r="K9" s="94">
        <v>823288.55594355823</v>
      </c>
      <c r="L9" s="94">
        <v>52452932.255908519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229</v>
      </c>
      <c r="C4" t="s">
        <v>158</v>
      </c>
      <c r="D4" t="s">
        <v>223</v>
      </c>
      <c r="E4" t="s">
        <v>226</v>
      </c>
      <c r="F4" t="s">
        <v>225</v>
      </c>
      <c r="G4" t="s">
        <v>221</v>
      </c>
      <c r="H4" t="s">
        <v>311</v>
      </c>
      <c r="I4" t="s">
        <v>230</v>
      </c>
      <c r="J4" t="s">
        <v>224</v>
      </c>
      <c r="K4" t="s">
        <v>61</v>
      </c>
    </row>
    <row r="5" spans="1:11" x14ac:dyDescent="0.25">
      <c r="A5" s="76" t="s">
        <v>284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39.639702399698528</v>
      </c>
      <c r="C7" s="212">
        <v>0</v>
      </c>
      <c r="D7" s="212">
        <v>3.6869089830925663</v>
      </c>
      <c r="E7" s="212">
        <v>24.167158131212176</v>
      </c>
      <c r="F7" s="212">
        <v>8.5854849999999995E-4</v>
      </c>
      <c r="G7" s="212">
        <v>10.183984862140182</v>
      </c>
      <c r="H7" s="212">
        <v>0</v>
      </c>
      <c r="I7" s="212">
        <v>9.5529993846430425</v>
      </c>
      <c r="J7" s="212">
        <v>60.644272636147349</v>
      </c>
      <c r="K7" s="212">
        <v>147.87588494543385</v>
      </c>
    </row>
    <row r="8" spans="1:11" x14ac:dyDescent="0.25">
      <c r="A8" s="77">
        <v>2050</v>
      </c>
      <c r="B8" s="212">
        <v>33.139876340264003</v>
      </c>
      <c r="C8" s="212">
        <v>0</v>
      </c>
      <c r="D8" s="212">
        <v>53.286662690699679</v>
      </c>
      <c r="E8" s="212">
        <v>10.350820907248774</v>
      </c>
      <c r="F8" s="212">
        <v>8.5854849999999995E-4</v>
      </c>
      <c r="G8" s="212">
        <v>1.3990951993977221</v>
      </c>
      <c r="H8" s="212">
        <v>0</v>
      </c>
      <c r="I8" s="212">
        <v>10.504213624859783</v>
      </c>
      <c r="J8" s="212">
        <v>75.876445531360901</v>
      </c>
      <c r="K8" s="212">
        <v>184.55797284233086</v>
      </c>
    </row>
    <row r="9" spans="1:11" x14ac:dyDescent="0.25">
      <c r="A9" s="76" t="s">
        <v>242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4.7070100318909684</v>
      </c>
      <c r="C10" s="212">
        <v>1.7355855896064003</v>
      </c>
      <c r="D10" s="212">
        <v>1.2803675685631648</v>
      </c>
      <c r="E10" s="212">
        <v>0.31643557505757253</v>
      </c>
      <c r="F10" s="212">
        <v>0</v>
      </c>
      <c r="G10" s="212">
        <v>4.5981271418897904</v>
      </c>
      <c r="H10" s="212">
        <v>0</v>
      </c>
      <c r="I10" s="212">
        <v>0</v>
      </c>
      <c r="J10" s="212">
        <v>0</v>
      </c>
      <c r="K10" s="212">
        <v>12.637525907007896</v>
      </c>
    </row>
    <row r="11" spans="1:11" x14ac:dyDescent="0.25">
      <c r="A11" s="77">
        <v>2030</v>
      </c>
      <c r="B11" s="212">
        <v>0</v>
      </c>
      <c r="C11" s="212">
        <v>0</v>
      </c>
      <c r="D11" s="212">
        <v>0</v>
      </c>
      <c r="E11" s="212">
        <v>0</v>
      </c>
      <c r="F11" s="212">
        <v>0</v>
      </c>
      <c r="G11" s="212">
        <v>0</v>
      </c>
      <c r="H11" s="212">
        <v>0</v>
      </c>
      <c r="I11" s="212">
        <v>0</v>
      </c>
      <c r="J11" s="212">
        <v>0</v>
      </c>
      <c r="K11" s="212">
        <v>0</v>
      </c>
    </row>
    <row r="12" spans="1:11" x14ac:dyDescent="0.25">
      <c r="A12" s="77">
        <v>2050</v>
      </c>
      <c r="B12" s="212">
        <v>0</v>
      </c>
      <c r="C12" s="212">
        <v>0</v>
      </c>
      <c r="D12" s="212">
        <v>0</v>
      </c>
      <c r="E12" s="212">
        <v>0</v>
      </c>
      <c r="F12" s="212">
        <v>0</v>
      </c>
      <c r="G12" s="212">
        <v>0</v>
      </c>
      <c r="H12" s="212">
        <v>0</v>
      </c>
      <c r="I12" s="212">
        <v>0</v>
      </c>
      <c r="J12" s="212">
        <v>0</v>
      </c>
      <c r="K12" s="212">
        <v>0</v>
      </c>
    </row>
    <row r="13" spans="1:11" x14ac:dyDescent="0.25">
      <c r="A13" s="76" t="s">
        <v>285</v>
      </c>
      <c r="B13" s="212">
        <v>90.323509264464832</v>
      </c>
      <c r="C13" s="212">
        <v>0</v>
      </c>
      <c r="D13" s="212">
        <v>56.973571673792243</v>
      </c>
      <c r="E13" s="212">
        <v>54.109443306576182</v>
      </c>
      <c r="F13" s="212">
        <v>1.7170969999999999E-3</v>
      </c>
      <c r="G13" s="212">
        <v>11.583080061537904</v>
      </c>
      <c r="H13" s="212">
        <v>0</v>
      </c>
      <c r="I13" s="212">
        <v>24.007779140352326</v>
      </c>
      <c r="J13" s="212">
        <v>184.0121489720849</v>
      </c>
      <c r="K13" s="212">
        <v>421.0112495158084</v>
      </c>
    </row>
    <row r="14" spans="1:11" x14ac:dyDescent="0.25">
      <c r="A14" s="76" t="s">
        <v>243</v>
      </c>
      <c r="B14" s="212">
        <v>4.7070100318909684</v>
      </c>
      <c r="C14" s="212">
        <v>1.7355855896064003</v>
      </c>
      <c r="D14" s="212">
        <v>1.2803675685631648</v>
      </c>
      <c r="E14" s="212">
        <v>0.31643557505757253</v>
      </c>
      <c r="F14" s="212">
        <v>0</v>
      </c>
      <c r="G14" s="212">
        <v>4.5981271418897904</v>
      </c>
      <c r="H14" s="212">
        <v>0</v>
      </c>
      <c r="I14" s="212">
        <v>0</v>
      </c>
      <c r="J14" s="212">
        <v>0</v>
      </c>
      <c r="K14" s="212">
        <v>12.637525907007896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238</v>
      </c>
      <c r="B1" s="75" t="s">
        <v>62</v>
      </c>
    </row>
    <row r="2" spans="1:9" x14ac:dyDescent="0.25">
      <c r="A2" s="75" t="s">
        <v>60</v>
      </c>
      <c r="B2" t="s">
        <v>229</v>
      </c>
      <c r="C2" t="s">
        <v>158</v>
      </c>
      <c r="D2" t="s">
        <v>223</v>
      </c>
      <c r="E2" t="s">
        <v>226</v>
      </c>
      <c r="F2" t="s">
        <v>225</v>
      </c>
      <c r="G2" t="s">
        <v>221</v>
      </c>
      <c r="H2" t="s">
        <v>224</v>
      </c>
      <c r="I2" t="s">
        <v>61</v>
      </c>
    </row>
    <row r="3" spans="1:9" x14ac:dyDescent="0.25">
      <c r="A3" s="76">
        <v>2019</v>
      </c>
      <c r="B3" s="213">
        <v>793398.68144149357</v>
      </c>
      <c r="C3" s="213">
        <v>102774.24</v>
      </c>
      <c r="D3" s="213">
        <v>116402.64458683817</v>
      </c>
      <c r="E3" s="213">
        <v>1657267.4622923988</v>
      </c>
      <c r="F3" s="213">
        <v>0</v>
      </c>
      <c r="G3" s="213">
        <v>637420.75502121286</v>
      </c>
      <c r="H3" s="213">
        <v>1575935.1462763192</v>
      </c>
      <c r="I3" s="213">
        <v>4883198.9296182627</v>
      </c>
    </row>
    <row r="4" spans="1:9" x14ac:dyDescent="0.25">
      <c r="A4" s="76">
        <v>2030</v>
      </c>
      <c r="B4" s="213">
        <v>1789088.8081013365</v>
      </c>
      <c r="C4" s="213">
        <v>0</v>
      </c>
      <c r="D4" s="213">
        <v>308098.24371247069</v>
      </c>
      <c r="E4" s="213">
        <v>2058524.1573572154</v>
      </c>
      <c r="F4" s="213">
        <v>143.48999999999998</v>
      </c>
      <c r="G4" s="213">
        <v>1383202.1875315444</v>
      </c>
      <c r="H4" s="213">
        <v>1847872.0077416084</v>
      </c>
      <c r="I4" s="213">
        <v>7386928.894444176</v>
      </c>
    </row>
    <row r="5" spans="1:9" x14ac:dyDescent="0.25">
      <c r="A5" s="76">
        <v>2050</v>
      </c>
      <c r="B5" s="213">
        <v>1279744.399116524</v>
      </c>
      <c r="C5" s="213">
        <v>0</v>
      </c>
      <c r="D5" s="213">
        <v>7711065.1406709477</v>
      </c>
      <c r="E5" s="213">
        <v>864732.13443755312</v>
      </c>
      <c r="F5" s="213">
        <v>143.49</v>
      </c>
      <c r="G5" s="213">
        <v>195210.82562476638</v>
      </c>
      <c r="H5" s="213">
        <v>2193742.8024563482</v>
      </c>
      <c r="I5" s="213">
        <v>12244638.79230614</v>
      </c>
    </row>
    <row r="6" spans="1:9" x14ac:dyDescent="0.25">
      <c r="A6" s="76" t="s">
        <v>61</v>
      </c>
      <c r="B6" s="213">
        <v>3862231.8886593538</v>
      </c>
      <c r="C6" s="213">
        <v>102774.24</v>
      </c>
      <c r="D6" s="213">
        <v>8135566.0289702564</v>
      </c>
      <c r="E6" s="213">
        <v>4580523.7540871669</v>
      </c>
      <c r="F6" s="213">
        <v>286.98</v>
      </c>
      <c r="G6" s="213">
        <v>2215833.7681775237</v>
      </c>
      <c r="H6" s="213">
        <v>5617549.9564742763</v>
      </c>
      <c r="I6" s="213">
        <v>24514766.616368577</v>
      </c>
    </row>
  </sheetData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197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199</v>
      </c>
      <c r="D2" t="s">
        <v>192</v>
      </c>
      <c r="E2" t="s">
        <v>193</v>
      </c>
      <c r="F2" t="s">
        <v>10</v>
      </c>
      <c r="G2" t="s">
        <v>260</v>
      </c>
      <c r="H2" t="s">
        <v>309</v>
      </c>
      <c r="I2" t="s">
        <v>330</v>
      </c>
      <c r="J2" t="s">
        <v>61</v>
      </c>
    </row>
    <row r="3" spans="1:10" x14ac:dyDescent="0.25">
      <c r="A3" s="76">
        <v>2019</v>
      </c>
      <c r="B3" s="94">
        <v>15223058.866009561</v>
      </c>
      <c r="C3" s="94">
        <v>-158.43719999999996</v>
      </c>
      <c r="D3" s="94">
        <v>6181573.3288251217</v>
      </c>
      <c r="E3" s="94">
        <v>9725344.026449265</v>
      </c>
      <c r="F3" s="94">
        <v>-562410</v>
      </c>
      <c r="G3" s="94">
        <v>0</v>
      </c>
      <c r="H3" s="94">
        <v>0</v>
      </c>
      <c r="I3" s="94">
        <v>-121290.05206481964</v>
      </c>
      <c r="J3" s="94">
        <v>30446117.732019126</v>
      </c>
    </row>
    <row r="4" spans="1:10" x14ac:dyDescent="0.25">
      <c r="A4" s="76">
        <v>2030</v>
      </c>
      <c r="B4" s="94">
        <v>8116816.4602926783</v>
      </c>
      <c r="C4" s="94">
        <v>-158.43719999999996</v>
      </c>
      <c r="D4" s="94">
        <v>4035527.1301716226</v>
      </c>
      <c r="E4" s="94">
        <v>7187443.4384839516</v>
      </c>
      <c r="F4" s="94">
        <v>-2980132.4328309996</v>
      </c>
      <c r="G4" s="94">
        <v>0</v>
      </c>
      <c r="H4" s="94">
        <v>0</v>
      </c>
      <c r="I4" s="94">
        <v>-125863.23833189183</v>
      </c>
      <c r="J4" s="94">
        <v>16233632.92058536</v>
      </c>
    </row>
    <row r="5" spans="1:10" x14ac:dyDescent="0.25">
      <c r="A5" s="76">
        <v>2050</v>
      </c>
      <c r="B5" s="94">
        <v>-3438555.9214058015</v>
      </c>
      <c r="C5" s="94">
        <v>-158.43719999999996</v>
      </c>
      <c r="D5" s="94">
        <v>443070.84862270928</v>
      </c>
      <c r="E5" s="94">
        <v>2906811.8969928357</v>
      </c>
      <c r="F5" s="94">
        <v>-6189791.508930075</v>
      </c>
      <c r="G5" s="94">
        <v>0</v>
      </c>
      <c r="H5" s="94">
        <v>0</v>
      </c>
      <c r="I5" s="94">
        <v>-598488.72089127416</v>
      </c>
      <c r="J5" s="94">
        <v>-6877111.8428116068</v>
      </c>
    </row>
    <row r="6" spans="1:10" x14ac:dyDescent="0.25">
      <c r="A6" s="76" t="s">
        <v>61</v>
      </c>
      <c r="B6" s="94">
        <v>19901319.404896438</v>
      </c>
      <c r="C6" s="94">
        <v>-475.31159999999988</v>
      </c>
      <c r="D6" s="94">
        <v>10660171.307619454</v>
      </c>
      <c r="E6" s="94">
        <v>19819599.361926053</v>
      </c>
      <c r="F6" s="94">
        <v>-9732333.9417610746</v>
      </c>
      <c r="G6" s="94">
        <v>0</v>
      </c>
      <c r="H6" s="94">
        <v>0</v>
      </c>
      <c r="I6" s="94">
        <v>-845642.0112879856</v>
      </c>
      <c r="J6" s="94">
        <v>39802638.809792884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8" sqref="C8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13077161.251552492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5679335.5964851258</v>
      </c>
      <c r="D3" t="s">
        <v>69</v>
      </c>
      <c r="E3" t="s">
        <v>192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196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-93826.565102358349</v>
      </c>
      <c r="D9" t="s">
        <v>329</v>
      </c>
      <c r="E9" t="s">
        <v>330</v>
      </c>
      <c r="G9" t="s">
        <v>328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0</v>
      </c>
      <c r="D10" t="s">
        <v>260</v>
      </c>
      <c r="E10" t="s">
        <v>260</v>
      </c>
      <c r="G10" t="s">
        <v>260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309</v>
      </c>
      <c r="E11" t="s">
        <v>309</v>
      </c>
      <c r="G11" t="s">
        <v>309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6861335.4250257676</v>
      </c>
      <c r="D12" s="94" t="str">
        <f>IF(D2&lt;&gt;"",D2,"")</f>
        <v>CO2 - atmosfære</v>
      </c>
      <c r="E12" s="94" t="str">
        <f>E2</f>
        <v>CO2 - atmosfære</v>
      </c>
      <c r="F12" s="94" t="str">
        <f>IF(F2&lt;&gt;"",F2,"")</f>
        <v/>
      </c>
      <c r="G12" s="94" t="str">
        <f>IF(G2&lt;&gt;"",G2,"")</f>
        <v/>
      </c>
      <c r="H12" s="94" t="str">
        <f>IF(H2&lt;&gt;"",H2,"")</f>
        <v/>
      </c>
      <c r="I12" s="94" t="str">
        <f>IF(I2&lt;&gt;"",I2,"")</f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3701933.8731816267</v>
      </c>
      <c r="D13" s="94" t="str">
        <f t="shared" ref="D13:I13" si="2">IF(D3&lt;&gt;"",D3,"")</f>
        <v>Landbrug</v>
      </c>
      <c r="E13" s="94" t="str">
        <f t="shared" ref="E13:E61" si="3">E3</f>
        <v>Husdyr</v>
      </c>
      <c r="F13" s="94" t="str">
        <f t="shared" si="2"/>
        <v/>
      </c>
      <c r="G13" s="94" t="str">
        <f t="shared" si="2"/>
        <v>Grisestald</v>
      </c>
      <c r="H13" s="94" t="str">
        <f t="shared" si="2"/>
        <v>Kostald</v>
      </c>
      <c r="I13" s="94" t="str">
        <f t="shared" si="2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3321043.1995560522</v>
      </c>
      <c r="D14" s="94" t="str">
        <f t="shared" ref="D14:I14" si="4">IF(D4&lt;&gt;"",D4,"")</f>
        <v>Landbrug</v>
      </c>
      <c r="E14" s="94" t="str">
        <f t="shared" si="3"/>
        <v>Marker</v>
      </c>
      <c r="F14" s="94" t="str">
        <f t="shared" si="4"/>
        <v>JB1-10</v>
      </c>
      <c r="G14" s="94" t="str">
        <f t="shared" si="4"/>
        <v/>
      </c>
      <c r="H14" s="94" t="str">
        <f t="shared" si="4"/>
        <v/>
      </c>
      <c r="I14" s="94" t="str">
        <f t="shared" si="4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817585.82822234544</v>
      </c>
      <c r="D15" s="94" t="str">
        <f t="shared" ref="D15:I15" si="5">IF(D5&lt;&gt;"",D5,"")</f>
        <v>Landbrug</v>
      </c>
      <c r="E15" s="94" t="str">
        <f t="shared" si="3"/>
        <v>Marker</v>
      </c>
      <c r="F15" s="94" t="str">
        <f t="shared" si="5"/>
        <v>OC6</v>
      </c>
      <c r="G15" s="94" t="str">
        <f t="shared" si="5"/>
        <v/>
      </c>
      <c r="H15" s="94" t="str">
        <f t="shared" si="5"/>
        <v/>
      </c>
      <c r="I15" s="94" t="str">
        <f t="shared" si="5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1624295.7186815182</v>
      </c>
      <c r="D16" s="94" t="str">
        <f t="shared" ref="D16:I16" si="6">IF(D6&lt;&gt;"",D6,"")</f>
        <v>Landbrug</v>
      </c>
      <c r="E16" s="94" t="str">
        <f t="shared" si="3"/>
        <v>Marker</v>
      </c>
      <c r="F16" s="94" t="str">
        <f t="shared" si="6"/>
        <v>OC12</v>
      </c>
      <c r="G16" s="94" t="str">
        <f t="shared" si="6"/>
        <v/>
      </c>
      <c r="H16" s="94" t="str">
        <f t="shared" si="6"/>
        <v/>
      </c>
      <c r="I16" s="94" t="str">
        <f t="shared" si="6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7">IF(D7&lt;&gt;"",D7,"")</f>
        <v>Hav</v>
      </c>
      <c r="E17" s="94" t="str">
        <f t="shared" si="3"/>
        <v>Hav</v>
      </c>
      <c r="F17" s="94" t="str">
        <f t="shared" si="7"/>
        <v/>
      </c>
      <c r="G17" s="94" t="str">
        <f t="shared" si="7"/>
        <v>Muslingefarm</v>
      </c>
      <c r="H17" s="94" t="str">
        <f t="shared" si="7"/>
        <v>Tangfarm</v>
      </c>
      <c r="I17" s="94" t="str">
        <f t="shared" si="7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-2505099.6447257674</v>
      </c>
      <c r="D18" s="94" t="str">
        <f t="shared" ref="D18:I18" si="8">IF(D8&lt;&gt;"",D8,"")</f>
        <v>Skov</v>
      </c>
      <c r="E18" s="94" t="str">
        <f t="shared" si="3"/>
        <v>Skov</v>
      </c>
      <c r="F18" s="94" t="str">
        <f t="shared" si="8"/>
        <v/>
      </c>
      <c r="G18" s="94" t="str">
        <f t="shared" si="8"/>
        <v>Skovproduktion</v>
      </c>
      <c r="H18" s="94" t="str">
        <f t="shared" si="8"/>
        <v/>
      </c>
      <c r="I18" s="94" t="str">
        <f t="shared" si="8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-98265.30671522452</v>
      </c>
      <c r="D19" t="s">
        <v>329</v>
      </c>
      <c r="E19" s="94" t="str">
        <f t="shared" si="3"/>
        <v>Træprodukter</v>
      </c>
      <c r="G19" t="s">
        <v>328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0</v>
      </c>
      <c r="D20" s="94" t="str">
        <f t="shared" ref="D20:I20" si="9">IF(D10&lt;&gt;"",D10,"")</f>
        <v>Biogasanlæg</v>
      </c>
      <c r="E20" s="94" t="str">
        <f t="shared" si="3"/>
        <v>Biogasanlæg</v>
      </c>
      <c r="F20" s="94" t="str">
        <f t="shared" si="9"/>
        <v/>
      </c>
      <c r="G20" s="94" t="str">
        <f t="shared" si="9"/>
        <v>Biogasanlæg</v>
      </c>
      <c r="H20" s="94" t="str">
        <f t="shared" si="9"/>
        <v/>
      </c>
      <c r="I20" s="94" t="str">
        <f t="shared" si="9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0">IF(D11&lt;&gt;"",D11,"")</f>
        <v>Pyrolyseproces</v>
      </c>
      <c r="E21" s="94" t="str">
        <f t="shared" si="3"/>
        <v>Pyrolyseproces</v>
      </c>
      <c r="F21" s="94" t="str">
        <f t="shared" si="10"/>
        <v/>
      </c>
      <c r="G21" s="94" t="str">
        <f t="shared" si="10"/>
        <v>Pyrolyseproces</v>
      </c>
      <c r="H21" s="94" t="str">
        <f t="shared" si="10"/>
        <v/>
      </c>
      <c r="I21" s="94" t="str">
        <f t="shared" si="10"/>
        <v/>
      </c>
    </row>
    <row r="22" spans="1:9" x14ac:dyDescent="0.25">
      <c r="A22" t="s">
        <v>23</v>
      </c>
      <c r="B22">
        <f t="shared" ref="B22:B31" si="11">År3</f>
        <v>2050</v>
      </c>
      <c r="C22" s="94">
        <f ca="1">SUMIF('Resultater - Vestdanmark'!$F$3:$F$509,'CO2-udledning'!$D$2,'Resultater - Vestdanmark'!J$3:J$509)</f>
        <v>-3226903.3069872255</v>
      </c>
      <c r="D22" s="94" t="str">
        <f t="shared" ref="D22:I22" si="12">IF(D12&lt;&gt;"",D12,"")</f>
        <v>CO2 - atmosfære</v>
      </c>
      <c r="E22" s="94" t="str">
        <f t="shared" si="3"/>
        <v>CO2 - atmosfære</v>
      </c>
      <c r="F22" s="94" t="str">
        <f t="shared" si="12"/>
        <v/>
      </c>
      <c r="G22" s="94" t="str">
        <f t="shared" si="12"/>
        <v/>
      </c>
      <c r="H22" s="94" t="str">
        <f t="shared" si="12"/>
        <v/>
      </c>
      <c r="I22" s="94" t="str">
        <f t="shared" si="12"/>
        <v/>
      </c>
    </row>
    <row r="23" spans="1:9" x14ac:dyDescent="0.25">
      <c r="A23" t="s">
        <v>23</v>
      </c>
      <c r="B23">
        <f t="shared" si="11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403361.09981940413</v>
      </c>
      <c r="D23" s="94" t="str">
        <f t="shared" ref="D23:I23" si="13">IF(D13&lt;&gt;"",D13,"")</f>
        <v>Landbrug</v>
      </c>
      <c r="E23" s="94" t="str">
        <f t="shared" si="3"/>
        <v>Husdyr</v>
      </c>
      <c r="F23" s="94" t="str">
        <f t="shared" si="13"/>
        <v/>
      </c>
      <c r="G23" s="94" t="str">
        <f t="shared" si="13"/>
        <v>Grisestald</v>
      </c>
      <c r="H23" s="94" t="str">
        <f t="shared" si="13"/>
        <v>Kostald</v>
      </c>
      <c r="I23" s="94" t="str">
        <f t="shared" si="13"/>
        <v>Fjerkræbrug</v>
      </c>
    </row>
    <row r="24" spans="1:9" x14ac:dyDescent="0.25">
      <c r="A24" t="s">
        <v>23</v>
      </c>
      <c r="B24">
        <f t="shared" si="11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1891901.5020128323</v>
      </c>
      <c r="D24" s="94" t="str">
        <f t="shared" ref="D24:I24" si="14">IF(D14&lt;&gt;"",D14,"")</f>
        <v>Landbrug</v>
      </c>
      <c r="E24" s="94" t="str">
        <f t="shared" si="3"/>
        <v>Marker</v>
      </c>
      <c r="F24" s="94" t="str">
        <f t="shared" si="14"/>
        <v>JB1-10</v>
      </c>
      <c r="G24" s="94" t="str">
        <f t="shared" si="14"/>
        <v/>
      </c>
      <c r="H24" s="94" t="str">
        <f t="shared" si="14"/>
        <v/>
      </c>
      <c r="I24" s="94" t="str">
        <f t="shared" si="14"/>
        <v/>
      </c>
    </row>
    <row r="25" spans="1:9" x14ac:dyDescent="0.25">
      <c r="A25" t="s">
        <v>23</v>
      </c>
      <c r="B25">
        <f t="shared" si="11"/>
        <v>2050</v>
      </c>
      <c r="C25" s="94">
        <f>SUMIFS('Resultater - Vestdanmark'!J$3:J$496,'Resultater - Vestdanmark'!$F$3:$F$496,'CO2-udledning'!$D$2,'Resultater - Vestdanmark'!$C$3:$C$496,'CO2-udledning'!$F5)</f>
        <v>73549.300726273679</v>
      </c>
      <c r="D25" s="94" t="str">
        <f t="shared" ref="D25:I25" si="15">IF(D15&lt;&gt;"",D15,"")</f>
        <v>Landbrug</v>
      </c>
      <c r="E25" s="94" t="str">
        <f t="shared" si="3"/>
        <v>Marker</v>
      </c>
      <c r="F25" s="94" t="str">
        <f t="shared" si="15"/>
        <v>OC6</v>
      </c>
      <c r="G25" s="94" t="str">
        <f t="shared" si="15"/>
        <v/>
      </c>
      <c r="H25" s="94" t="str">
        <f t="shared" si="15"/>
        <v/>
      </c>
      <c r="I25" s="94" t="str">
        <f t="shared" si="15"/>
        <v/>
      </c>
    </row>
    <row r="26" spans="1:9" x14ac:dyDescent="0.25">
      <c r="A26" t="s">
        <v>23</v>
      </c>
      <c r="B26">
        <f t="shared" si="11"/>
        <v>2050</v>
      </c>
      <c r="C26" s="94">
        <f>SUMIFS('Resultater - Vestdanmark'!J$3:J$496,'Resultater - Vestdanmark'!$F$3:$F$496,'CO2-udledning'!$D$2,'Resultater - Vestdanmark'!$C$3:$C$496,'CO2-udledning'!$F6)</f>
        <v>153049.78603004583</v>
      </c>
      <c r="D26" s="94" t="str">
        <f t="shared" ref="D26:I26" si="16">IF(D16&lt;&gt;"",D16,"")</f>
        <v>Landbrug</v>
      </c>
      <c r="E26" s="94" t="str">
        <f t="shared" si="3"/>
        <v>Marker</v>
      </c>
      <c r="F26" s="94" t="str">
        <f t="shared" si="16"/>
        <v>OC12</v>
      </c>
      <c r="G26" s="94" t="str">
        <f t="shared" si="16"/>
        <v/>
      </c>
      <c r="H26" s="94" t="str">
        <f t="shared" si="16"/>
        <v/>
      </c>
      <c r="I26" s="94" t="str">
        <f t="shared" si="16"/>
        <v/>
      </c>
    </row>
    <row r="27" spans="1:9" x14ac:dyDescent="0.25">
      <c r="A27" t="s">
        <v>23</v>
      </c>
      <c r="B27">
        <f t="shared" si="11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7">IF(D17&lt;&gt;"",D17,"")</f>
        <v>Hav</v>
      </c>
      <c r="E27" s="94" t="str">
        <f t="shared" si="3"/>
        <v>Hav</v>
      </c>
      <c r="F27" s="94" t="str">
        <f t="shared" si="17"/>
        <v/>
      </c>
      <c r="G27" s="94" t="str">
        <f t="shared" si="17"/>
        <v>Muslingefarm</v>
      </c>
      <c r="H27" s="94" t="str">
        <f t="shared" si="17"/>
        <v>Tangfarm</v>
      </c>
      <c r="I27" s="94" t="str">
        <f t="shared" si="17"/>
        <v/>
      </c>
    </row>
    <row r="28" spans="1:9" x14ac:dyDescent="0.25">
      <c r="A28" t="s">
        <v>23</v>
      </c>
      <c r="B28">
        <f t="shared" si="11"/>
        <v>2050</v>
      </c>
      <c r="C28" s="94">
        <f ca="1">SUMIFS('Resultater - Vestdanmark'!J$3:J$496,'Resultater - Vestdanmark'!$F$3:$F$496,'CO2-udledning'!$D$2,'Resultater - Vestdanmark'!$A$3:$A$496,'CO2-udledning'!$G8)</f>
        <v>-5252578.7317060567</v>
      </c>
      <c r="D28" s="94" t="str">
        <f t="shared" ref="D28:I28" si="18">IF(D18&lt;&gt;"",D18,"")</f>
        <v>Skov</v>
      </c>
      <c r="E28" s="94" t="str">
        <f t="shared" si="3"/>
        <v>Skov</v>
      </c>
      <c r="F28" s="94" t="str">
        <f t="shared" si="18"/>
        <v/>
      </c>
      <c r="G28" s="94" t="str">
        <f t="shared" si="18"/>
        <v>Skovproduktion</v>
      </c>
      <c r="H28" s="94" t="str">
        <f t="shared" si="18"/>
        <v/>
      </c>
      <c r="I28" s="94" t="str">
        <f t="shared" si="18"/>
        <v/>
      </c>
    </row>
    <row r="29" spans="1:9" x14ac:dyDescent="0.25">
      <c r="A29" t="s">
        <v>23</v>
      </c>
      <c r="B29">
        <f t="shared" si="11"/>
        <v>2050</v>
      </c>
      <c r="C29" s="94">
        <f ca="1">SUMIFS('Resultater - Vestdanmark'!J$3:J$496,'Resultater - Vestdanmark'!$F$3:$F$496,'CO2-udledning'!$D$2,'Resultater - Vestdanmark'!$A$3:$A$496,'CO2-udledning'!$G9)</f>
        <v>-496028.02069494844</v>
      </c>
      <c r="D29" t="s">
        <v>329</v>
      </c>
      <c r="E29" s="94" t="str">
        <f t="shared" si="3"/>
        <v>Træprodukter</v>
      </c>
      <c r="G29" t="s">
        <v>328</v>
      </c>
      <c r="H29" s="94"/>
      <c r="I29" s="94"/>
    </row>
    <row r="30" spans="1:9" x14ac:dyDescent="0.25">
      <c r="A30" t="s">
        <v>23</v>
      </c>
      <c r="B30">
        <f t="shared" si="11"/>
        <v>2050</v>
      </c>
      <c r="C30" s="94">
        <f>SUMIFS('Resultater - Vestdanmark'!J$3:J$496,'Resultater - Vestdanmark'!$F$3:$F$496,'CO2-udledning'!$D$2,'Resultater - Vestdanmark'!$A$3:$A$496,'CO2-udledning'!$G10)</f>
        <v>0</v>
      </c>
      <c r="D30" s="94" t="str">
        <f t="shared" ref="D30:I30" si="19">IF(D20&lt;&gt;"",D20,"")</f>
        <v>Biogasanlæg</v>
      </c>
      <c r="E30" s="94" t="str">
        <f t="shared" si="3"/>
        <v>Biogasanlæg</v>
      </c>
      <c r="F30" s="94" t="str">
        <f t="shared" si="19"/>
        <v/>
      </c>
      <c r="G30" s="94" t="str">
        <f t="shared" si="19"/>
        <v>Biogasanlæg</v>
      </c>
      <c r="H30" s="94" t="str">
        <f t="shared" si="19"/>
        <v/>
      </c>
      <c r="I30" s="94" t="str">
        <f t="shared" si="19"/>
        <v/>
      </c>
    </row>
    <row r="31" spans="1:9" x14ac:dyDescent="0.25">
      <c r="A31" t="s">
        <v>23</v>
      </c>
      <c r="B31">
        <f t="shared" si="11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0">IF(D21&lt;&gt;"",D21,"")</f>
        <v>Pyrolyseproces</v>
      </c>
      <c r="E31" s="94" t="str">
        <f t="shared" si="3"/>
        <v>Pyrolyseproces</v>
      </c>
      <c r="F31" s="94" t="str">
        <f t="shared" si="20"/>
        <v/>
      </c>
      <c r="G31" s="94" t="str">
        <f t="shared" si="20"/>
        <v>Pyrolyseproces</v>
      </c>
      <c r="H31" s="94" t="str">
        <f t="shared" si="20"/>
        <v/>
      </c>
      <c r="I31" s="94" t="str">
        <f t="shared" si="20"/>
        <v/>
      </c>
    </row>
    <row r="32" spans="1:9" x14ac:dyDescent="0.25">
      <c r="A32" t="s">
        <v>24</v>
      </c>
      <c r="B32">
        <f t="shared" ref="B32:B41" si="21">År1</f>
        <v>2019</v>
      </c>
      <c r="C32" s="94">
        <f ca="1">SUMIF('Resultater - Østdanmark'!$F$3:$F$509,'CO2-udledning'!$D$2,'Resultater - Østdanmark'!H$3:H$509)</f>
        <v>2145897.6144570694</v>
      </c>
      <c r="D32" s="94" t="str">
        <f t="shared" ref="D32:I32" si="22">IF(D22&lt;&gt;"",D22,"")</f>
        <v>CO2 - atmosfære</v>
      </c>
      <c r="E32" s="94" t="str">
        <f t="shared" si="3"/>
        <v>CO2 - atmosfære</v>
      </c>
      <c r="F32" s="94" t="str">
        <f t="shared" si="22"/>
        <v/>
      </c>
      <c r="G32" s="94" t="str">
        <f t="shared" si="22"/>
        <v/>
      </c>
      <c r="H32" s="94" t="str">
        <f t="shared" si="22"/>
        <v/>
      </c>
      <c r="I32" s="94" t="str">
        <f t="shared" si="22"/>
        <v/>
      </c>
    </row>
    <row r="33" spans="1:9" x14ac:dyDescent="0.25">
      <c r="A33" t="s">
        <v>24</v>
      </c>
      <c r="B33">
        <f t="shared" si="21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502237.73233999556</v>
      </c>
      <c r="D33" s="94" t="str">
        <f t="shared" ref="D33:I33" si="23">IF(D23&lt;&gt;"",D23,"")</f>
        <v>Landbrug</v>
      </c>
      <c r="E33" s="94" t="str">
        <f t="shared" si="3"/>
        <v>Husdyr</v>
      </c>
      <c r="F33" s="94" t="str">
        <f t="shared" si="23"/>
        <v/>
      </c>
      <c r="G33" s="94" t="str">
        <f t="shared" si="23"/>
        <v>Grisestald</v>
      </c>
      <c r="H33" s="94" t="str">
        <f t="shared" si="23"/>
        <v>Kostald</v>
      </c>
      <c r="I33" s="94" t="str">
        <f t="shared" si="23"/>
        <v>Fjerkræbrug</v>
      </c>
    </row>
    <row r="34" spans="1:9" x14ac:dyDescent="0.25">
      <c r="A34" t="s">
        <v>24</v>
      </c>
      <c r="B34">
        <f t="shared" si="21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4">IF(D24&lt;&gt;"",D24,"")</f>
        <v>Landbrug</v>
      </c>
      <c r="E34" s="94" t="str">
        <f t="shared" si="3"/>
        <v>Marker</v>
      </c>
      <c r="F34" s="94" t="str">
        <f t="shared" si="24"/>
        <v>JB1-10</v>
      </c>
      <c r="G34" s="94" t="str">
        <f t="shared" si="24"/>
        <v/>
      </c>
      <c r="H34" s="94" t="str">
        <f t="shared" si="24"/>
        <v/>
      </c>
      <c r="I34" s="94" t="str">
        <f t="shared" si="24"/>
        <v/>
      </c>
    </row>
    <row r="35" spans="1:9" x14ac:dyDescent="0.25">
      <c r="A35" t="s">
        <v>24</v>
      </c>
      <c r="B35">
        <f t="shared" si="21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5">IF(D25&lt;&gt;"",D25,"")</f>
        <v>Landbrug</v>
      </c>
      <c r="E35" s="94" t="str">
        <f t="shared" si="3"/>
        <v>Marker</v>
      </c>
      <c r="F35" s="94" t="str">
        <f t="shared" si="25"/>
        <v>OC6</v>
      </c>
      <c r="G35" s="94" t="str">
        <f t="shared" si="25"/>
        <v/>
      </c>
      <c r="H35" s="94" t="str">
        <f t="shared" si="25"/>
        <v/>
      </c>
      <c r="I35" s="94" t="str">
        <f t="shared" si="25"/>
        <v/>
      </c>
    </row>
    <row r="36" spans="1:9" x14ac:dyDescent="0.25">
      <c r="A36" t="s">
        <v>24</v>
      </c>
      <c r="B36">
        <f t="shared" si="21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6">IF(D26&lt;&gt;"",D26,"")</f>
        <v>Landbrug</v>
      </c>
      <c r="E36" s="94" t="str">
        <f t="shared" si="3"/>
        <v>Marker</v>
      </c>
      <c r="F36" s="94" t="str">
        <f t="shared" si="26"/>
        <v>OC12</v>
      </c>
      <c r="G36" s="94" t="str">
        <f t="shared" si="26"/>
        <v/>
      </c>
      <c r="H36" s="94" t="str">
        <f t="shared" si="26"/>
        <v/>
      </c>
      <c r="I36" s="94" t="str">
        <f t="shared" si="26"/>
        <v/>
      </c>
    </row>
    <row r="37" spans="1:9" x14ac:dyDescent="0.25">
      <c r="A37" t="s">
        <v>24</v>
      </c>
      <c r="B37">
        <f t="shared" si="21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7">IF(D27&lt;&gt;"",D27,"")</f>
        <v>Hav</v>
      </c>
      <c r="E37" s="94" t="str">
        <f t="shared" si="3"/>
        <v>Hav</v>
      </c>
      <c r="F37" s="94" t="str">
        <f t="shared" si="27"/>
        <v/>
      </c>
      <c r="G37" s="94" t="str">
        <f t="shared" si="27"/>
        <v>Muslingefarm</v>
      </c>
      <c r="H37" s="94" t="str">
        <f t="shared" si="27"/>
        <v>Tangfarm</v>
      </c>
      <c r="I37" s="94" t="str">
        <f t="shared" si="27"/>
        <v/>
      </c>
    </row>
    <row r="38" spans="1:9" x14ac:dyDescent="0.25">
      <c r="A38" t="s">
        <v>24</v>
      </c>
      <c r="B38">
        <f t="shared" si="21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8">IF(D28&lt;&gt;"",D28,"")</f>
        <v>Skov</v>
      </c>
      <c r="E38" s="94" t="str">
        <f t="shared" si="3"/>
        <v>Skov</v>
      </c>
      <c r="F38" s="94" t="str">
        <f t="shared" si="28"/>
        <v/>
      </c>
      <c r="G38" s="94" t="str">
        <f t="shared" si="28"/>
        <v>Skovproduktion</v>
      </c>
      <c r="H38" s="94" t="str">
        <f t="shared" si="28"/>
        <v/>
      </c>
      <c r="I38" s="94" t="str">
        <f t="shared" si="28"/>
        <v/>
      </c>
    </row>
    <row r="39" spans="1:9" x14ac:dyDescent="0.25">
      <c r="A39" t="s">
        <v>24</v>
      </c>
      <c r="B39">
        <f t="shared" si="21"/>
        <v>2019</v>
      </c>
      <c r="C39" s="94">
        <f ca="1">SUMIFS('Resultater - Østdanmark'!H$3:H$496,'Resultater - Østdanmark'!$F$3:$F$496,'CO2-udledning'!$D$2,'Resultater - Østdanmark'!$A$3:$A$496,'CO2-udledning'!$G39)</f>
        <v>-27463.486962461298</v>
      </c>
      <c r="D39" t="s">
        <v>329</v>
      </c>
      <c r="E39" s="94" t="str">
        <f t="shared" si="3"/>
        <v>Træprodukter</v>
      </c>
      <c r="G39" t="s">
        <v>328</v>
      </c>
      <c r="H39" s="94"/>
      <c r="I39" s="94"/>
    </row>
    <row r="40" spans="1:9" x14ac:dyDescent="0.25">
      <c r="A40" t="s">
        <v>24</v>
      </c>
      <c r="B40">
        <f t="shared" si="21"/>
        <v>2019</v>
      </c>
      <c r="C40" s="94">
        <f>SUMIFS('Resultater - Østdanmark'!H$3:H$496,'Resultater - Østdanmark'!$F$3:$F$496,'CO2-udledning'!$D$2,'Resultater - Østdanmark'!$A$3:$A$496,'CO2-udledning'!$G40)</f>
        <v>0</v>
      </c>
      <c r="D40" s="94" t="str">
        <f t="shared" ref="D40:I40" si="29">IF(D30&lt;&gt;"",D30,"")</f>
        <v>Biogasanlæg</v>
      </c>
      <c r="E40" s="94" t="str">
        <f t="shared" si="3"/>
        <v>Biogasanlæg</v>
      </c>
      <c r="F40" s="94" t="str">
        <f t="shared" si="29"/>
        <v/>
      </c>
      <c r="G40" s="94" t="str">
        <f t="shared" si="29"/>
        <v>Biogasanlæg</v>
      </c>
      <c r="H40" s="94" t="str">
        <f t="shared" si="29"/>
        <v/>
      </c>
      <c r="I40" s="94" t="str">
        <f t="shared" si="29"/>
        <v/>
      </c>
    </row>
    <row r="41" spans="1:9" x14ac:dyDescent="0.25">
      <c r="A41" t="s">
        <v>24</v>
      </c>
      <c r="B41">
        <f t="shared" si="21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0">IF(D31&lt;&gt;"",D31,"")</f>
        <v>Pyrolyseproces</v>
      </c>
      <c r="E41" s="94" t="str">
        <f t="shared" si="3"/>
        <v>Pyrolyseproces</v>
      </c>
      <c r="F41" s="94" t="str">
        <f t="shared" si="30"/>
        <v/>
      </c>
      <c r="G41" s="94" t="str">
        <f t="shared" si="30"/>
        <v>Pyrolyseproces</v>
      </c>
      <c r="H41" s="94" t="str">
        <f t="shared" si="30"/>
        <v/>
      </c>
      <c r="I41" s="94" t="str">
        <f t="shared" si="30"/>
        <v/>
      </c>
    </row>
    <row r="42" spans="1:9" x14ac:dyDescent="0.25">
      <c r="A42" t="s">
        <v>24</v>
      </c>
      <c r="B42">
        <f t="shared" ref="B42:B51" si="31">År2</f>
        <v>2030</v>
      </c>
      <c r="C42" s="94">
        <f ca="1">SUMIF('Resultater - Østdanmark'!$F$3:$F$509,'CO2-udledning'!$D$2,'Resultater - Østdanmark'!I$3:I$509)</f>
        <v>1255481.0352669111</v>
      </c>
      <c r="D42" s="94" t="str">
        <f t="shared" ref="D42:I42" si="32">IF(D32&lt;&gt;"",D32,"")</f>
        <v>CO2 - atmosfære</v>
      </c>
      <c r="E42" s="94" t="str">
        <f t="shared" si="3"/>
        <v>CO2 - atmosfære</v>
      </c>
      <c r="F42" s="94" t="str">
        <f t="shared" si="32"/>
        <v/>
      </c>
      <c r="G42" s="94" t="str">
        <f t="shared" si="32"/>
        <v/>
      </c>
      <c r="H42" s="94" t="str">
        <f t="shared" si="32"/>
        <v/>
      </c>
      <c r="I42" s="94" t="str">
        <f t="shared" si="32"/>
        <v/>
      </c>
    </row>
    <row r="43" spans="1:9" x14ac:dyDescent="0.25">
      <c r="A43" t="s">
        <v>24</v>
      </c>
      <c r="B43">
        <f t="shared" si="31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333593.25698999601</v>
      </c>
      <c r="D43" s="94" t="str">
        <f t="shared" ref="D43:I43" si="33">IF(D33&lt;&gt;"",D33,"")</f>
        <v>Landbrug</v>
      </c>
      <c r="E43" s="94" t="str">
        <f t="shared" si="3"/>
        <v>Husdyr</v>
      </c>
      <c r="F43" s="94" t="str">
        <f t="shared" si="33"/>
        <v/>
      </c>
      <c r="G43" s="94" t="str">
        <f t="shared" si="33"/>
        <v>Grisestald</v>
      </c>
      <c r="H43" s="94" t="str">
        <f t="shared" si="33"/>
        <v>Kostald</v>
      </c>
      <c r="I43" s="94" t="str">
        <f t="shared" si="33"/>
        <v>Fjerkræbrug</v>
      </c>
    </row>
    <row r="44" spans="1:9" x14ac:dyDescent="0.25">
      <c r="A44" t="s">
        <v>24</v>
      </c>
      <c r="B44">
        <f t="shared" si="31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1053720.359911958</v>
      </c>
      <c r="D44" s="94" t="str">
        <f t="shared" ref="D44:I44" si="34">IF(D34&lt;&gt;"",D34,"")</f>
        <v>Landbrug</v>
      </c>
      <c r="E44" s="94" t="str">
        <f t="shared" si="3"/>
        <v>Marker</v>
      </c>
      <c r="F44" s="94" t="str">
        <f t="shared" si="34"/>
        <v>JB1-10</v>
      </c>
      <c r="G44" s="94" t="str">
        <f t="shared" si="34"/>
        <v/>
      </c>
      <c r="H44" s="94" t="str">
        <f t="shared" si="34"/>
        <v/>
      </c>
      <c r="I44" s="94" t="str">
        <f t="shared" si="34"/>
        <v/>
      </c>
    </row>
    <row r="45" spans="1:9" x14ac:dyDescent="0.25">
      <c r="A45" t="s">
        <v>24</v>
      </c>
      <c r="B45">
        <f t="shared" si="31"/>
        <v>2030</v>
      </c>
      <c r="C45" s="74">
        <f>SUMIFS('Resultater - Østdanmark'!I$3:I$496,'Resultater - Østdanmark'!$F$3:$F$496,'CO2-udledning'!$D$2,'Resultater - Østdanmark'!$C$3:$C$496,'CO2-udledning'!$F5)</f>
        <v>124173.21561020505</v>
      </c>
      <c r="D45" s="94" t="str">
        <f t="shared" ref="D45:I45" si="35">IF(D35&lt;&gt;"",D35,"")</f>
        <v>Landbrug</v>
      </c>
      <c r="E45" s="94" t="str">
        <f t="shared" si="3"/>
        <v>Marker</v>
      </c>
      <c r="F45" s="94" t="str">
        <f t="shared" si="35"/>
        <v>OC6</v>
      </c>
      <c r="G45" s="94" t="str">
        <f t="shared" si="35"/>
        <v/>
      </c>
      <c r="H45" s="94" t="str">
        <f t="shared" si="35"/>
        <v/>
      </c>
      <c r="I45" s="94" t="str">
        <f t="shared" si="35"/>
        <v/>
      </c>
    </row>
    <row r="46" spans="1:9" x14ac:dyDescent="0.25">
      <c r="A46" t="s">
        <v>24</v>
      </c>
      <c r="B46">
        <f t="shared" si="31"/>
        <v>2030</v>
      </c>
      <c r="C46" s="74">
        <f>SUMIFS('Resultater - Østdanmark'!I$3:I$496,'Resultater - Østdanmark'!$F$3:$F$496,'CO2-udledning'!$D$2,'Resultater - Østdanmark'!$C$3:$C$496,'CO2-udledning'!$F6)</f>
        <v>246625.11650187289</v>
      </c>
      <c r="D46" s="94" t="str">
        <f t="shared" ref="D46:I46" si="36">IF(D36&lt;&gt;"",D36,"")</f>
        <v>Landbrug</v>
      </c>
      <c r="E46" s="94" t="str">
        <f t="shared" si="3"/>
        <v>Marker</v>
      </c>
      <c r="F46" s="94" t="str">
        <f t="shared" si="36"/>
        <v>OC12</v>
      </c>
      <c r="G46" s="94" t="str">
        <f t="shared" si="36"/>
        <v/>
      </c>
      <c r="H46" s="94" t="str">
        <f t="shared" si="36"/>
        <v/>
      </c>
      <c r="I46" s="94" t="str">
        <f t="shared" si="36"/>
        <v/>
      </c>
    </row>
    <row r="47" spans="1:9" x14ac:dyDescent="0.25">
      <c r="A47" t="s">
        <v>24</v>
      </c>
      <c r="B47">
        <f t="shared" si="31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7">IF(D37&lt;&gt;"",D37,"")</f>
        <v>Hav</v>
      </c>
      <c r="E47" s="94" t="str">
        <f t="shared" si="3"/>
        <v>Hav</v>
      </c>
      <c r="F47" s="94" t="str">
        <f t="shared" si="37"/>
        <v/>
      </c>
      <c r="G47" s="94" t="str">
        <f t="shared" si="37"/>
        <v>Muslingefarm</v>
      </c>
      <c r="H47" s="94" t="str">
        <f t="shared" si="37"/>
        <v>Tangfarm</v>
      </c>
      <c r="I47" s="94" t="str">
        <f t="shared" si="37"/>
        <v/>
      </c>
    </row>
    <row r="48" spans="1:9" x14ac:dyDescent="0.25">
      <c r="A48" t="s">
        <v>24</v>
      </c>
      <c r="B48">
        <f t="shared" si="31"/>
        <v>2030</v>
      </c>
      <c r="C48" s="94">
        <f ca="1">SUMIFS('Resultater - Østdanmark'!I$3:I$496,'Resultater - Østdanmark'!$F$3:$F$496,'CO2-udledning'!$D$2,'Resultater - Østdanmark'!$A$3:$A$496,'CO2-udledning'!$G38)</f>
        <v>-475032.78810523223</v>
      </c>
      <c r="D48" s="94" t="str">
        <f t="shared" ref="D48:I48" si="38">IF(D38&lt;&gt;"",D38,"")</f>
        <v>Skov</v>
      </c>
      <c r="E48" s="94" t="str">
        <f t="shared" si="3"/>
        <v>Skov</v>
      </c>
      <c r="F48" s="94" t="str">
        <f t="shared" si="38"/>
        <v/>
      </c>
      <c r="G48" s="94" t="str">
        <f t="shared" si="38"/>
        <v>Skovproduktion</v>
      </c>
      <c r="H48" s="94" t="str">
        <f t="shared" si="38"/>
        <v/>
      </c>
      <c r="I48" s="94" t="str">
        <f t="shared" si="38"/>
        <v/>
      </c>
    </row>
    <row r="49" spans="1:9" x14ac:dyDescent="0.25">
      <c r="A49" t="s">
        <v>24</v>
      </c>
      <c r="B49">
        <f t="shared" si="31"/>
        <v>2030</v>
      </c>
      <c r="C49" s="94">
        <f ca="1">SUMIFS('Resultater - Østdanmark'!I$3:I$496,'Resultater - Østdanmark'!$F$3:$F$496,'CO2-udledning'!$D$2,'Resultater - Østdanmark'!$A$3:$A$496,'CO2-udledning'!$G39)</f>
        <v>-27597.931616667305</v>
      </c>
      <c r="D49" t="s">
        <v>329</v>
      </c>
      <c r="E49" s="94" t="str">
        <f t="shared" si="3"/>
        <v>Træprodukter</v>
      </c>
      <c r="G49" t="s">
        <v>328</v>
      </c>
      <c r="H49" s="94"/>
      <c r="I49" s="94"/>
    </row>
    <row r="50" spans="1:9" x14ac:dyDescent="0.25">
      <c r="A50" t="s">
        <v>24</v>
      </c>
      <c r="B50">
        <f t="shared" si="31"/>
        <v>2030</v>
      </c>
      <c r="C50" s="94">
        <f>SUMIFS('Resultater - Østdanmark'!I$3:I$496,'Resultater - Østdanmark'!$F$3:$F$496,'CO2-udledning'!$D$2,'Resultater - Østdanmark'!$A$3:$A$496,'CO2-udledning'!$G40)</f>
        <v>0</v>
      </c>
      <c r="D50" s="94" t="str">
        <f t="shared" ref="D50:I50" si="39">IF(D40&lt;&gt;"",D40,"")</f>
        <v>Biogasanlæg</v>
      </c>
      <c r="E50" s="94" t="str">
        <f t="shared" si="3"/>
        <v>Biogasanlæg</v>
      </c>
      <c r="F50" s="94" t="str">
        <f t="shared" si="39"/>
        <v/>
      </c>
      <c r="G50" s="94" t="str">
        <f t="shared" si="39"/>
        <v>Biogasanlæg</v>
      </c>
      <c r="H50" s="94" t="str">
        <f t="shared" si="39"/>
        <v/>
      </c>
      <c r="I50" s="94" t="str">
        <f t="shared" si="39"/>
        <v/>
      </c>
    </row>
    <row r="51" spans="1:9" x14ac:dyDescent="0.25">
      <c r="A51" t="s">
        <v>24</v>
      </c>
      <c r="B51">
        <f t="shared" si="31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0">IF(D41&lt;&gt;"",D41,"")</f>
        <v>Pyrolyseproces</v>
      </c>
      <c r="E51" s="94" t="str">
        <f t="shared" si="3"/>
        <v>Pyrolyseproces</v>
      </c>
      <c r="F51" s="94" t="str">
        <f t="shared" si="40"/>
        <v/>
      </c>
      <c r="G51" s="94" t="str">
        <f t="shared" si="40"/>
        <v>Pyrolyseproces</v>
      </c>
      <c r="H51" s="94" t="str">
        <f t="shared" si="40"/>
        <v/>
      </c>
      <c r="I51" s="94" t="str">
        <f t="shared" si="40"/>
        <v/>
      </c>
    </row>
    <row r="52" spans="1:9" x14ac:dyDescent="0.25">
      <c r="A52" t="s">
        <v>24</v>
      </c>
      <c r="B52">
        <f t="shared" ref="B52:B61" si="41">År3</f>
        <v>2050</v>
      </c>
      <c r="C52" s="94">
        <f ca="1">SUMIF('Resultater - Østdanmark'!$F$3:$F$509,'CO2-udledning'!$D$2,'Resultater - Østdanmark'!J$3:J$509)</f>
        <v>-211652.61441857601</v>
      </c>
      <c r="D52" s="94" t="str">
        <f t="shared" ref="D52:I52" si="42">IF(D42&lt;&gt;"",D42,"")</f>
        <v>CO2 - atmosfære</v>
      </c>
      <c r="E52" s="94" t="str">
        <f t="shared" si="3"/>
        <v>CO2 - atmosfære</v>
      </c>
      <c r="F52" s="94" t="str">
        <f t="shared" si="42"/>
        <v/>
      </c>
      <c r="G52" s="94" t="str">
        <f t="shared" si="42"/>
        <v/>
      </c>
      <c r="H52" s="94" t="str">
        <f t="shared" si="42"/>
        <v/>
      </c>
      <c r="I52" s="94" t="str">
        <f t="shared" si="42"/>
        <v/>
      </c>
    </row>
    <row r="53" spans="1:9" x14ac:dyDescent="0.25">
      <c r="A53" t="s">
        <v>24</v>
      </c>
      <c r="B53">
        <f t="shared" si="41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39709.74880330517</v>
      </c>
      <c r="D53" s="94" t="str">
        <f t="shared" ref="D53:I53" si="43">IF(D43&lt;&gt;"",D43,"")</f>
        <v>Landbrug</v>
      </c>
      <c r="E53" s="94" t="str">
        <f t="shared" si="3"/>
        <v>Husdyr</v>
      </c>
      <c r="F53" s="94" t="str">
        <f t="shared" si="43"/>
        <v/>
      </c>
      <c r="G53" s="94" t="str">
        <f t="shared" si="43"/>
        <v>Grisestald</v>
      </c>
      <c r="H53" s="94" t="str">
        <f t="shared" si="43"/>
        <v>Kostald</v>
      </c>
      <c r="I53" s="94" t="str">
        <f t="shared" si="43"/>
        <v>Fjerkræbrug</v>
      </c>
    </row>
    <row r="54" spans="1:9" x14ac:dyDescent="0.25">
      <c r="A54" t="s">
        <v>24</v>
      </c>
      <c r="B54">
        <f t="shared" si="41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753896.08856274094</v>
      </c>
      <c r="D54" s="94" t="str">
        <f t="shared" ref="D54:I54" si="44">IF(D44&lt;&gt;"",D44,"")</f>
        <v>Landbrug</v>
      </c>
      <c r="E54" s="94" t="str">
        <f t="shared" si="3"/>
        <v>Marker</v>
      </c>
      <c r="F54" s="94" t="str">
        <f t="shared" si="44"/>
        <v>JB1-10</v>
      </c>
      <c r="G54" s="94" t="str">
        <f t="shared" si="44"/>
        <v/>
      </c>
      <c r="H54" s="94" t="str">
        <f t="shared" si="44"/>
        <v/>
      </c>
      <c r="I54" s="94" t="str">
        <f t="shared" si="44"/>
        <v/>
      </c>
    </row>
    <row r="55" spans="1:9" x14ac:dyDescent="0.25">
      <c r="A55" t="s">
        <v>24</v>
      </c>
      <c r="B55">
        <f t="shared" si="41"/>
        <v>2050</v>
      </c>
      <c r="C55" s="74">
        <f>SUMIFS('Resultater - Østdanmark'!J$3:J$496,'Resultater - Østdanmark'!$F$3:$F$496,'CO2-udledning'!$D$2,'Resultater - Østdanmark'!$C$3:$C$496,'CO2-udledning'!$F5)</f>
        <v>11170.456936242925</v>
      </c>
      <c r="D55" s="94" t="str">
        <f t="shared" ref="D55:I55" si="45">IF(D45&lt;&gt;"",D45,"")</f>
        <v>Landbrug</v>
      </c>
      <c r="E55" s="94" t="str">
        <f t="shared" si="3"/>
        <v>Marker</v>
      </c>
      <c r="F55" s="94" t="str">
        <f t="shared" si="45"/>
        <v>OC6</v>
      </c>
      <c r="G55" s="94" t="str">
        <f t="shared" si="45"/>
        <v/>
      </c>
      <c r="H55" s="94" t="str">
        <f t="shared" si="45"/>
        <v/>
      </c>
      <c r="I55" s="94" t="str">
        <f t="shared" si="45"/>
        <v/>
      </c>
    </row>
    <row r="56" spans="1:9" x14ac:dyDescent="0.25">
      <c r="A56" t="s">
        <v>24</v>
      </c>
      <c r="B56">
        <f t="shared" si="41"/>
        <v>2050</v>
      </c>
      <c r="C56" s="74">
        <f>SUMIFS('Resultater - Østdanmark'!J$3:J$496,'Resultater - Østdanmark'!$F$3:$F$496,'CO2-udledning'!$D$2,'Resultater - Østdanmark'!$C$3:$C$496,'CO2-udledning'!$F6)</f>
        <v>23244.76272469978</v>
      </c>
      <c r="D56" s="94" t="str">
        <f t="shared" ref="D56:I56" si="46">IF(D46&lt;&gt;"",D46,"")</f>
        <v>Landbrug</v>
      </c>
      <c r="E56" s="94" t="str">
        <f t="shared" si="3"/>
        <v>Marker</v>
      </c>
      <c r="F56" s="94" t="str">
        <f t="shared" si="46"/>
        <v>OC12</v>
      </c>
      <c r="G56" s="94" t="str">
        <f t="shared" si="46"/>
        <v/>
      </c>
      <c r="H56" s="94" t="str">
        <f t="shared" si="46"/>
        <v/>
      </c>
      <c r="I56" s="94" t="str">
        <f t="shared" si="46"/>
        <v/>
      </c>
    </row>
    <row r="57" spans="1:9" x14ac:dyDescent="0.25">
      <c r="A57" t="s">
        <v>24</v>
      </c>
      <c r="B57">
        <f t="shared" si="41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7">IF(D47&lt;&gt;"",D47,"")</f>
        <v>Hav</v>
      </c>
      <c r="E57" s="94" t="str">
        <f t="shared" si="3"/>
        <v>Hav</v>
      </c>
      <c r="F57" s="94" t="str">
        <f t="shared" si="47"/>
        <v/>
      </c>
      <c r="G57" s="94" t="str">
        <f t="shared" si="47"/>
        <v>Muslingefarm</v>
      </c>
      <c r="H57" s="94" t="str">
        <f t="shared" si="47"/>
        <v>Tangfarm</v>
      </c>
      <c r="I57" s="94" t="str">
        <f t="shared" si="47"/>
        <v/>
      </c>
    </row>
    <row r="58" spans="1:9" x14ac:dyDescent="0.25">
      <c r="A58" t="s">
        <v>24</v>
      </c>
      <c r="B58">
        <f t="shared" si="41"/>
        <v>2050</v>
      </c>
      <c r="C58" s="94">
        <f ca="1">SUMIFS('Resultater - Østdanmark'!J$3:J$496,'Resultater - Østdanmark'!$F$3:$F$496,'CO2-udledning'!$D$2,'Resultater - Østdanmark'!$A$3:$A$496,'CO2-udledning'!$G38)</f>
        <v>-937212.77722401801</v>
      </c>
      <c r="D58" s="94" t="str">
        <f t="shared" ref="D58:I58" si="48">IF(D48&lt;&gt;"",D48,"")</f>
        <v>Skov</v>
      </c>
      <c r="E58" s="94" t="str">
        <f t="shared" si="3"/>
        <v>Skov</v>
      </c>
      <c r="F58" s="94" t="str">
        <f t="shared" si="48"/>
        <v/>
      </c>
      <c r="G58" s="94" t="str">
        <f t="shared" si="48"/>
        <v>Skovproduktion</v>
      </c>
      <c r="H58" s="94" t="str">
        <f t="shared" si="48"/>
        <v/>
      </c>
      <c r="I58" s="94" t="str">
        <f t="shared" si="48"/>
        <v/>
      </c>
    </row>
    <row r="59" spans="1:9" x14ac:dyDescent="0.25">
      <c r="A59" t="s">
        <v>24</v>
      </c>
      <c r="B59">
        <f t="shared" si="41"/>
        <v>2050</v>
      </c>
      <c r="C59" s="94">
        <f ca="1">SUMIFS('Resultater - Østdanmark'!J$3:J$496,'Resultater - Østdanmark'!$F$3:$F$496,'CO2-udledning'!$D$2,'Resultater - Østdanmark'!$A$3:$A$496,'CO2-udledning'!$G39)</f>
        <v>-102460.70019632569</v>
      </c>
      <c r="D59" t="s">
        <v>329</v>
      </c>
      <c r="E59" s="94" t="str">
        <f t="shared" si="3"/>
        <v>Træprodukter</v>
      </c>
      <c r="G59" t="s">
        <v>328</v>
      </c>
      <c r="H59" s="94"/>
      <c r="I59" s="94"/>
    </row>
    <row r="60" spans="1:9" x14ac:dyDescent="0.25">
      <c r="A60" t="s">
        <v>24</v>
      </c>
      <c r="B60">
        <f t="shared" si="41"/>
        <v>2050</v>
      </c>
      <c r="C60" s="94">
        <f>SUMIFS('Resultater - Østdanmark'!J$3:J$496,'Resultater - Østdanmark'!$F$3:$F$496,'CO2-udledning'!$D$2,'Resultater - Østdanmark'!$A$3:$A$496,'CO2-udledning'!$G40)</f>
        <v>0</v>
      </c>
      <c r="D60" s="94" t="str">
        <f t="shared" ref="D60:I60" si="49">IF(D50&lt;&gt;"",D50,"")</f>
        <v>Biogasanlæg</v>
      </c>
      <c r="E60" s="94" t="str">
        <f t="shared" si="3"/>
        <v>Biogasanlæg</v>
      </c>
      <c r="F60" s="94" t="str">
        <f t="shared" si="49"/>
        <v/>
      </c>
      <c r="G60" s="94" t="str">
        <f t="shared" si="49"/>
        <v>Biogasanlæg</v>
      </c>
      <c r="H60" s="94" t="str">
        <f t="shared" si="49"/>
        <v/>
      </c>
      <c r="I60" s="94" t="str">
        <f t="shared" si="49"/>
        <v/>
      </c>
    </row>
    <row r="61" spans="1:9" x14ac:dyDescent="0.25">
      <c r="A61" t="s">
        <v>24</v>
      </c>
      <c r="B61">
        <f t="shared" si="41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0">IF(D51&lt;&gt;"",D51,"")</f>
        <v>Pyrolyseproces</v>
      </c>
      <c r="E61" s="94" t="str">
        <f t="shared" si="3"/>
        <v>Pyrolyseproces</v>
      </c>
      <c r="F61" s="94" t="str">
        <f t="shared" si="50"/>
        <v/>
      </c>
      <c r="G61" s="94" t="str">
        <f t="shared" si="50"/>
        <v>Pyrolyseproces</v>
      </c>
      <c r="H61" s="94" t="str">
        <f t="shared" si="50"/>
        <v/>
      </c>
      <c r="I61" s="94" t="str">
        <f t="shared" si="50"/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4" width="9.1406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632787.14548959408</v>
      </c>
      <c r="C6" s="94">
        <v>884051.0593127351</v>
      </c>
      <c r="D6" s="94">
        <v>567628.05014484655</v>
      </c>
      <c r="E6" s="94">
        <v>27619129.881222751</v>
      </c>
      <c r="F6" s="94">
        <v>370707.28173153353</v>
      </c>
      <c r="G6" s="94">
        <v>790133.49290118623</v>
      </c>
      <c r="H6" s="94">
        <v>2932371.6994386665</v>
      </c>
      <c r="I6" s="94">
        <v>5541135.1769845672</v>
      </c>
      <c r="J6" s="94">
        <v>5001698.4637691872</v>
      </c>
      <c r="K6" s="94">
        <v>1201916.5393687347</v>
      </c>
      <c r="L6" s="94">
        <v>1040798.545799318</v>
      </c>
      <c r="M6" s="94">
        <v>852946.37362884311</v>
      </c>
      <c r="N6" s="94">
        <v>3369030.3262921902</v>
      </c>
      <c r="O6" s="94">
        <v>50804334.036084153</v>
      </c>
    </row>
    <row r="7" spans="1:15" x14ac:dyDescent="0.25">
      <c r="A7" s="76">
        <v>2050</v>
      </c>
      <c r="B7" s="94">
        <v>944508.27569419378</v>
      </c>
      <c r="C7" s="94">
        <v>88686.455244518045</v>
      </c>
      <c r="D7" s="94">
        <v>1093650.863002714</v>
      </c>
      <c r="E7" s="94">
        <v>40256316.929158494</v>
      </c>
      <c r="F7" s="94">
        <v>426005.5806566042</v>
      </c>
      <c r="G7" s="94">
        <v>546016.67711508065</v>
      </c>
      <c r="H7" s="94">
        <v>3299462.6181114498</v>
      </c>
      <c r="I7" s="94">
        <v>615841.59881012666</v>
      </c>
      <c r="J7" s="94">
        <v>579997.66352313058</v>
      </c>
      <c r="K7" s="94">
        <v>128043.55885384713</v>
      </c>
      <c r="L7" s="94">
        <v>1857740.6365169021</v>
      </c>
      <c r="M7" s="94">
        <v>937876.21650533774</v>
      </c>
      <c r="N7" s="94">
        <v>3882154.8684538179</v>
      </c>
      <c r="O7" s="94">
        <v>54656301.941646218</v>
      </c>
    </row>
    <row r="8" spans="1:15" x14ac:dyDescent="0.25">
      <c r="A8" s="76" t="s">
        <v>61</v>
      </c>
      <c r="B8" s="94">
        <v>1862665.2779469066</v>
      </c>
      <c r="C8" s="94">
        <v>2481020.1838080161</v>
      </c>
      <c r="D8" s="94">
        <v>1703007.8621647749</v>
      </c>
      <c r="E8" s="94">
        <v>85788453.349214554</v>
      </c>
      <c r="F8" s="94">
        <v>1077035.2991474541</v>
      </c>
      <c r="G8" s="94">
        <v>2248249.6213853471</v>
      </c>
      <c r="H8" s="94">
        <v>8495010.4749270622</v>
      </c>
      <c r="I8" s="94">
        <v>15269062.624953065</v>
      </c>
      <c r="J8" s="94">
        <v>13537617.256911118</v>
      </c>
      <c r="K8" s="94">
        <v>3336027.3470501816</v>
      </c>
      <c r="L8" s="94">
        <v>3108406.3209931646</v>
      </c>
      <c r="M8" s="94">
        <v>2469147.8186454279</v>
      </c>
      <c r="N8" s="94">
        <v>9862019.2366491128</v>
      </c>
      <c r="O8" s="94">
        <v>151237722.67379618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4220540.2072265251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481659.22850480652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647982.39082629455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21414098.756239291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281423.99402613594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2242614.2909873207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2550745.2722111917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3841740.8343041693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430871.84710127779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918139.94844972179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664815.58983177762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603118.80667157366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792652.16456581966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440363.1063619653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675379.18690925464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670636.87299018225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28845032.2708226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304619.14425386849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2359310.5932499878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2775969.9581087129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414732.57617739204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782024.94316368026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91558.70508823132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63416.052113342856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390434.16444163944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1328394.2479560631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1320594.9697580421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151127.91698478759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204963.98280254862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6205031.1249834606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89283.287705397597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689757.40845134575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818285.05408099853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1159957.6294650177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136756.20304356876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283776.5909190129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219235.46948095749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187014.68622961262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248146.38123349831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175478.49244816136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269129.08878493914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267239.34351515555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11411284.658335894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121386.43640273569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940152.02486146183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1106184.910345105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165265.0873457386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311625.91983903368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36484.853765615815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25270.403131175186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155582.5126734412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529346.388560839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2862895.9283603532</v>
      </c>
      <c r="C7" s="213">
        <v>792089.97208410688</v>
      </c>
      <c r="D7" s="213">
        <v>3654985.9004444601</v>
      </c>
    </row>
    <row r="8" spans="1:4" x14ac:dyDescent="0.25">
      <c r="A8" s="76">
        <v>2050</v>
      </c>
      <c r="B8" s="213">
        <v>2876725.401789723</v>
      </c>
      <c r="C8" s="213">
        <v>882756.40881976672</v>
      </c>
      <c r="D8" s="213">
        <v>3759481.8106094897</v>
      </c>
    </row>
    <row r="9" spans="1:4" x14ac:dyDescent="0.25">
      <c r="A9" s="76" t="s">
        <v>61</v>
      </c>
      <c r="B9" s="213">
        <v>8749913.3949697316</v>
      </c>
      <c r="C9" s="213">
        <v>2502554.3160842187</v>
      </c>
      <c r="D9" s="213">
        <v>11252467.711053949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C7" sqref="C7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76.5</v>
      </c>
      <c r="D7" s="213">
        <v>956.59999999999991</v>
      </c>
    </row>
    <row r="8" spans="1:4" x14ac:dyDescent="0.25">
      <c r="A8" s="76">
        <v>2050</v>
      </c>
      <c r="B8" s="213">
        <v>880.09999999999991</v>
      </c>
      <c r="C8" s="213">
        <v>76.5</v>
      </c>
      <c r="D8" s="213">
        <v>956.59999999999991</v>
      </c>
    </row>
    <row r="9" spans="1:4" x14ac:dyDescent="0.25">
      <c r="A9" s="76" t="s">
        <v>61</v>
      </c>
      <c r="B9" s="213">
        <v>2640.2999999999997</v>
      </c>
      <c r="C9" s="213">
        <v>229.5</v>
      </c>
      <c r="D9" s="213">
        <v>2869.7999999999997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2243446.8814814817</v>
      </c>
      <c r="E6" s="213">
        <v>650998.3037037038</v>
      </c>
      <c r="F6" s="213">
        <v>752224.81481481483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1517809.3999999997</v>
      </c>
      <c r="E7" s="213">
        <v>1066450.5999999999</v>
      </c>
      <c r="F7" s="213">
        <v>1062410</v>
      </c>
      <c r="G7" s="213">
        <v>4305429.9999999991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6339926.2814814812</v>
      </c>
      <c r="E8" s="213">
        <v>2223038.9037037035</v>
      </c>
      <c r="F8" s="213">
        <v>2377044.8148148148</v>
      </c>
      <c r="G8" s="213">
        <v>12916290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9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170703.93160609802</v>
      </c>
      <c r="C7" s="213">
        <v>69750.133120998726</v>
      </c>
      <c r="D7" s="213">
        <v>422463.63076514978</v>
      </c>
      <c r="E7" s="213">
        <v>16748.640251318189</v>
      </c>
      <c r="F7" s="213">
        <v>16382.852897456338</v>
      </c>
      <c r="G7" s="213">
        <v>71615.41349846535</v>
      </c>
      <c r="H7" s="213">
        <v>796299.10685483483</v>
      </c>
      <c r="I7" s="213">
        <v>108372.88088884554</v>
      </c>
      <c r="J7" s="213">
        <v>41700.329623446123</v>
      </c>
      <c r="K7" s="213">
        <v>202930.40694941438</v>
      </c>
      <c r="L7" s="213">
        <v>43240.39826440256</v>
      </c>
      <c r="M7" s="213">
        <v>175797.25745850836</v>
      </c>
      <c r="N7" s="213">
        <v>44306.285654138715</v>
      </c>
      <c r="O7" s="213">
        <v>63135.613648404207</v>
      </c>
      <c r="P7" s="213">
        <v>2243446.8814814813</v>
      </c>
    </row>
    <row r="8" spans="1:16" x14ac:dyDescent="0.25">
      <c r="A8" s="76">
        <v>2050</v>
      </c>
      <c r="B8" s="213">
        <v>254989.11999999997</v>
      </c>
      <c r="C8" s="213">
        <v>134237.60560288333</v>
      </c>
      <c r="D8" s="213">
        <v>524977.59999999986</v>
      </c>
      <c r="E8" s="213">
        <v>19247.577601714402</v>
      </c>
      <c r="F8" s="213">
        <v>11379.916897735917</v>
      </c>
      <c r="G8" s="213">
        <v>80957.099640307584</v>
      </c>
      <c r="H8" s="213">
        <v>86067.140033666408</v>
      </c>
      <c r="I8" s="213">
        <v>11649.851775221636</v>
      </c>
      <c r="J8" s="213">
        <v>4478.2030514981579</v>
      </c>
      <c r="K8" s="213">
        <v>224990.39999999997</v>
      </c>
      <c r="L8" s="213">
        <v>49788.922757978027</v>
      </c>
      <c r="M8" s="213">
        <v>29205.191348004555</v>
      </c>
      <c r="N8" s="213">
        <v>79372.877499380702</v>
      </c>
      <c r="O8" s="213">
        <v>6467.8937916093437</v>
      </c>
      <c r="P8" s="213">
        <v>1517809.4</v>
      </c>
    </row>
    <row r="9" spans="1:16" x14ac:dyDescent="0.25">
      <c r="A9" s="76" t="s">
        <v>61</v>
      </c>
      <c r="B9" s="213">
        <v>502629.54261001165</v>
      </c>
      <c r="C9" s="213">
        <v>209100.31835572474</v>
      </c>
      <c r="D9" s="213">
        <v>1235952.2052514104</v>
      </c>
      <c r="E9" s="213">
        <v>48734.079260397324</v>
      </c>
      <c r="F9" s="213">
        <v>46718.264203726379</v>
      </c>
      <c r="G9" s="213">
        <v>207695.98067568388</v>
      </c>
      <c r="H9" s="213">
        <v>2220386.3005900607</v>
      </c>
      <c r="I9" s="213">
        <v>300410.05831530574</v>
      </c>
      <c r="J9" s="213">
        <v>116151.13376003268</v>
      </c>
      <c r="K9" s="213">
        <v>589312.32471021893</v>
      </c>
      <c r="L9" s="213">
        <v>126742.32628695751</v>
      </c>
      <c r="M9" s="213">
        <v>426144.92210912029</v>
      </c>
      <c r="N9" s="213">
        <v>132262.31669885432</v>
      </c>
      <c r="O9" s="213">
        <v>177686.50865397594</v>
      </c>
      <c r="P9" s="213">
        <v>6339926.2814814802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1599058.5808147585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599851.90159562975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407865.76083685132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66892.145975308638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73747.854024691362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52069.673876543202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59921.4372345679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1072542.805780465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869138.59569713869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665094.84176963591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8725.0625185185199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131914.93748148147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6791.6965925925906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105199.41451851852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507358.90066672274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152372.91321918505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89161.94286685242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10159.387358024691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11200.612641975309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7908.1927901234558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9100.6960987654329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427393.19421953481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193271.40430286131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128229.15823036409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1325.1374814814808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20034.862518518519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1031.5034074074065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15977.385481481482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4528990.8965631956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510563.66032128973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9267841.2008731291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2782800.9518239009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420929.45348368905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440000.4707175892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3084403.2997303004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1081109.1778339073</v>
      </c>
      <c r="J16" s="74">
        <f t="shared" si="2"/>
        <v>1081109.1778339073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7477118.4636429986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96240.251864570237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371487.37219724117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118433.5453756557</v>
      </c>
      <c r="J17" s="74">
        <f t="shared" si="2"/>
        <v>118433.5453756557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1074244.3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114296.21103509518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502903.32855441881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288444.80740177777</v>
      </c>
      <c r="J18" s="74">
        <f t="shared" si="2"/>
        <v>288444.80740177777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93364.229814031074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227046.32891431812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11266038.840728465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11266038.840728465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8509733.5999999996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9481.9223145863507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196749.88802766681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196749.88802766681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39881.846198414576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1693817.8806067398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1693817.8806067398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24527.48639267926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1992949.7898768042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1992949.7898768042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59557.460174493739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2650902.5523667168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2650902.5523667168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1409264.2692300314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39626.646276650128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336430.22688875964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336430.22688875964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49361.692337422792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22893.887839858267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682144.98875917029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682144.98875917029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1110078.7475035731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33065.770650056205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472472.19272400561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84289.668545797569</v>
      </c>
      <c r="J26" s="74">
        <f t="shared" si="2"/>
        <v>84289.668545797569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9092.1843258992376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454609.21629496192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454609.21629496192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24758.282800161851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603860.55610150856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>IF(I28&lt;&gt;0,I28,H28)</f>
        <v>603860.55610150856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57931.441956188719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798874.5845758426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798874.5845758426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30771.543538260554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215708.52020320646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86067.914376514731</v>
      </c>
      <c r="J30" s="74">
        <f t="shared" si="2"/>
        <v>86067.914376514731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91166.13849133953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351901.29457657062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127710.65249134925</v>
      </c>
      <c r="J31" s="74">
        <f t="shared" si="2"/>
        <v>127710.65249134925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80440.71043353487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353939.12590755348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231090.64970865892</v>
      </c>
      <c r="J32" s="74">
        <f t="shared" si="2"/>
        <v>231090.64970865892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147284.73076996871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187694.99101158135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9313425.4539946672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9313425.4539946672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49606.307662577208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3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6881.5772424356765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142792.7277805403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142792.7277805403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675468.25249642704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3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28944.553232959333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1229301.2105871141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1229301.2105871141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3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17801.00981362825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1446398.4690357044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1446398.4690357044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3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4165.1659503881319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185391.53645177578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185391.53645177578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3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47993.907124893325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407468.27149034437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407468.27149034437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3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1601.0898017343659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47705.981284010377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47705.981284010377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3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2312.4629833348681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33042.461580355266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6710.3638781050613</v>
      </c>
      <c r="J40" s="74">
        <f t="shared" si="2"/>
        <v>6710.3638781050613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3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4068.6562623492623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203432.81311746314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203432.81311746314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3"/>
        <v>JB1-10</v>
      </c>
      <c r="F42" t="str">
        <f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28378.147046292288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692149.92795834853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>IF(I42&lt;&gt;0,I42,H42)</f>
        <v>692149.92795834853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3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4051.4499575007239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55869.494913934992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55869.494913934992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3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3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3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3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3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3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3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3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3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3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3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3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3"/>
        <v>JB1-10</v>
      </c>
      <c r="F56" t="str">
        <f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3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3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147104.34892199337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690904.99558192631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242167.9849065874</v>
      </c>
      <c r="J58" s="74">
        <f t="shared" si="2"/>
        <v>242167.9849065874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3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32175.782829362139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70793.157381162571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22569.500996486684</v>
      </c>
      <c r="J59" s="74">
        <f t="shared" si="2"/>
        <v>22569.500996486684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3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38212.390275736827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92473.984467283124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53039.300248843225</v>
      </c>
      <c r="J60" s="74">
        <f t="shared" si="2"/>
        <v>53039.300248843225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3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75907.878770217794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2937908.1767710014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2937908.1767710014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3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3170.0693554744112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37493.995301873598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37493.995301873598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3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13333.606232867891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322785.44244339369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322785.44244339369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3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8200.2183102298641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379790.05125534453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379790.05125534453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3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19911.709158237998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735604.24494553381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735604.24494553381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4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13248.285827926327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64112.429607083875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64112.429607083875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4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7654.0610501689234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129994.18327565416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129994.18327565416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4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11054.803316795702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90037.510830851068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16062.811868071865</v>
      </c>
      <c r="J68" s="74">
        <f t="shared" si="2"/>
        <v>16062.811868071865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4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3039.7691469712631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86633.420688680999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86633.420688680999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4"/>
        <v>JB1-10</v>
      </c>
      <c r="F70" t="str">
        <f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8277.3799441728734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115075.7699555741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>IF(I70&lt;&gt;0,I70,H70)</f>
        <v>115075.7699555741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4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19368.086214042141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267085.90889164119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267085.90889164119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4"/>
        <v>JB1-10</v>
      </c>
      <c r="F72" t="str">
        <f t="shared" ref="F72:F139" si="5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30771.543538260554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144524.70853614833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57665.502632264863</v>
      </c>
      <c r="J72" s="74">
        <f t="shared" ref="J72:J139" si="6">IF(I72&lt;&gt;0,I72,H72)</f>
        <v>57665.502632264863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4"/>
        <v>JB1-10</v>
      </c>
      <c r="F73" t="str">
        <f t="shared" si="5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91166.13849133953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200583.73790864521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72795.07192006908</v>
      </c>
      <c r="J73" s="74">
        <f t="shared" si="6"/>
        <v>72795.07192006908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4"/>
        <v>JB1-10</v>
      </c>
      <c r="F74" t="str">
        <f t="shared" si="5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80440.71043353487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194666.51924915443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127099.85733976241</v>
      </c>
      <c r="J74" s="74">
        <f t="shared" si="6"/>
        <v>127099.85733976241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4"/>
        <v>JB1-10</v>
      </c>
      <c r="F75" t="str">
        <f t="shared" si="5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187694.99101158135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7264471.85411584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6"/>
        <v>7264471.85411584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4"/>
        <v>JB1-10</v>
      </c>
      <c r="F76" t="str">
        <f t="shared" si="5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6881.5772424356765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81391.854834907965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6"/>
        <v>81391.854834907965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4"/>
        <v>JB1-10</v>
      </c>
      <c r="F77" t="str">
        <f t="shared" si="5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28944.553232959333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700701.69003465504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6"/>
        <v>700701.69003465504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4"/>
        <v>JB1-10</v>
      </c>
      <c r="F78" t="str">
        <f t="shared" si="5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17801.00981362825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824447.12735035131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6"/>
        <v>824447.12735035131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4"/>
        <v>JB1-10</v>
      </c>
      <c r="F79" t="str">
        <f t="shared" si="5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4165.1659503881319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153874.97525497389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6"/>
        <v>153874.97525497389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4"/>
        <v>JB1-10</v>
      </c>
      <c r="F80" t="str">
        <f t="shared" si="5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47993.907124893325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232256.91474949627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6"/>
        <v>232256.91474949627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4"/>
        <v>JB1-10</v>
      </c>
      <c r="F81" t="str">
        <f t="shared" si="5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1601.0898017343659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27192.409331885912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6"/>
        <v>27192.409331885912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4"/>
        <v>JB1-10</v>
      </c>
      <c r="F82" t="str">
        <f t="shared" si="5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2312.4629833348681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18834.203100802497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3824.9074105198847</v>
      </c>
      <c r="J82" s="74">
        <f t="shared" si="6"/>
        <v>3824.9074105198847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4"/>
        <v>JB1-10</v>
      </c>
      <c r="F83" t="str">
        <f t="shared" si="5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4068.6562623492623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115956.70347695398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6"/>
        <v>115956.70347695398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4"/>
        <v>JB1-10</v>
      </c>
      <c r="F84" t="str">
        <f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28378.147046292288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394525.45893625863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>IF(I84&lt;&gt;0,I84,H84)</f>
        <v>394525.45893625863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4"/>
        <v>JB1-10</v>
      </c>
      <c r="F85" t="str">
        <f t="shared" si="5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4051.4499575007239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55869.494913934992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6"/>
        <v>55869.494913934992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7">Organ6</f>
        <v>OC6</v>
      </c>
      <c r="F86" t="str">
        <f t="shared" si="5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6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7"/>
        <v>OC6</v>
      </c>
      <c r="F87" t="str">
        <f t="shared" si="5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6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7"/>
        <v>OC6</v>
      </c>
      <c r="F88" t="str">
        <f t="shared" si="5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6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7"/>
        <v>OC6</v>
      </c>
      <c r="F89" t="str">
        <f t="shared" si="5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6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7"/>
        <v>OC6</v>
      </c>
      <c r="F90" t="str">
        <f t="shared" si="5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6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7"/>
        <v>OC6</v>
      </c>
      <c r="F91" t="str">
        <f t="shared" si="5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6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7"/>
        <v>OC6</v>
      </c>
      <c r="F92" t="str">
        <f t="shared" si="5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6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7"/>
        <v>OC6</v>
      </c>
      <c r="F93" t="str">
        <f t="shared" si="5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6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7"/>
        <v>OC6</v>
      </c>
      <c r="F94" t="str">
        <f t="shared" si="5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6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7"/>
        <v>OC6</v>
      </c>
      <c r="F95" t="str">
        <f t="shared" si="5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6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7"/>
        <v>OC6</v>
      </c>
      <c r="F96" t="str">
        <f t="shared" si="5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6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7"/>
        <v>OC6</v>
      </c>
      <c r="F97" t="str">
        <f t="shared" si="5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6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7"/>
        <v>OC6</v>
      </c>
      <c r="F98" t="str">
        <f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7"/>
        <v>OC6</v>
      </c>
      <c r="F99" t="str">
        <f t="shared" si="5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6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7"/>
        <v>OC6</v>
      </c>
      <c r="F100" t="str">
        <f t="shared" si="5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9463.8157203712435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79609.617839762897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27903.837509816985</v>
      </c>
      <c r="J100" s="74">
        <f t="shared" si="6"/>
        <v>27903.837509816985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7"/>
        <v>OC6</v>
      </c>
      <c r="F101" t="str">
        <f t="shared" si="5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811.27805994298762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3757.8399736559186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1198.0334846971043</v>
      </c>
      <c r="J101" s="74">
        <f t="shared" si="6"/>
        <v>1198.0334846971043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7"/>
        <v>OC6</v>
      </c>
      <c r="F102" t="str">
        <f t="shared" si="5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868.70275369028457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4586.7505394847021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2630.7727565945142</v>
      </c>
      <c r="J102" s="74">
        <f t="shared" si="6"/>
        <v>2630.7727565945142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7"/>
        <v>OC6</v>
      </c>
      <c r="F103" t="str">
        <f t="shared" si="5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8016.6956445237793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477346.12545752386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6"/>
        <v>477346.12545752386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7"/>
        <v>OC6</v>
      </c>
      <c r="F104" t="str">
        <f t="shared" si="5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37.494387069399458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933.61023802804652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6"/>
        <v>933.61023802804652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7"/>
        <v>OC6</v>
      </c>
      <c r="F105" t="str">
        <f t="shared" si="5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591.93918991521116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30168.227793329526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6"/>
        <v>30168.227793329526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7"/>
        <v>OC6</v>
      </c>
      <c r="F106" t="str">
        <f t="shared" si="5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15.529713724807898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1514.2166242003736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6"/>
        <v>1514.2166242003736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7"/>
        <v>OC6</v>
      </c>
      <c r="F107" t="str">
        <f t="shared" si="5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2004.6526689192153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107072.50835231313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6"/>
        <v>107072.50835231313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7"/>
        <v>OC6</v>
      </c>
      <c r="F108" t="str">
        <f t="shared" si="5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34.150981524689662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347.93019977353833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6"/>
        <v>347.93019977353833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7"/>
        <v>OC6</v>
      </c>
      <c r="F109" t="str">
        <f t="shared" si="5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603.99089174013625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21595.774187697807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6"/>
        <v>21595.774187697807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7"/>
        <v>OC6</v>
      </c>
      <c r="F110" t="str">
        <f t="shared" si="5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1490.8276372254238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25562.674229662829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4560.4151337243457</v>
      </c>
      <c r="J110" s="74">
        <f t="shared" si="6"/>
        <v>4560.4151337243457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7"/>
        <v>OC6</v>
      </c>
      <c r="F111" t="str">
        <f t="shared" si="5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171.2857518958528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10277.145113751169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6"/>
        <v>10277.145113751169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7"/>
        <v>OC6</v>
      </c>
      <c r="F112" t="str">
        <f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281.31436481905746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8233.5911654358279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>IF(I112&lt;&gt;0,I112,H112)</f>
        <v>8233.5911654358279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7"/>
        <v>OC6</v>
      </c>
      <c r="F113" t="str">
        <f t="shared" si="5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25740.044427812609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425946.25519144302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6"/>
        <v>425946.25519144302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7"/>
        <v>OC6</v>
      </c>
      <c r="F114" t="str">
        <f t="shared" si="5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6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7"/>
        <v>OC6</v>
      </c>
      <c r="F115" t="str">
        <f t="shared" si="5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6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7"/>
        <v>OC6</v>
      </c>
      <c r="F116" t="str">
        <f t="shared" si="5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6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7"/>
        <v>OC6</v>
      </c>
      <c r="F117" t="str">
        <f t="shared" si="5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6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8">Organ6</f>
        <v>OC6</v>
      </c>
      <c r="F118" t="str">
        <f t="shared" si="5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6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8"/>
        <v>OC6</v>
      </c>
      <c r="F119" t="str">
        <f t="shared" si="5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6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8"/>
        <v>OC6</v>
      </c>
      <c r="F120" t="str">
        <f t="shared" si="5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6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8"/>
        <v>OC6</v>
      </c>
      <c r="F121" t="str">
        <f t="shared" si="5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6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8"/>
        <v>OC6</v>
      </c>
      <c r="F122" t="str">
        <f t="shared" si="5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6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8"/>
        <v>OC6</v>
      </c>
      <c r="F123" t="str">
        <f t="shared" si="5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6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8"/>
        <v>OC6</v>
      </c>
      <c r="F124" t="str">
        <f t="shared" si="5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6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8"/>
        <v>OC6</v>
      </c>
      <c r="F125" t="str">
        <f t="shared" si="5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6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8"/>
        <v>OC6</v>
      </c>
      <c r="F126" t="str">
        <f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8"/>
        <v>OC6</v>
      </c>
      <c r="F127" t="str">
        <f t="shared" si="5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4362.53125925926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72191.16727822223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6"/>
        <v>72191.16727822223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8"/>
        <v>OC6</v>
      </c>
      <c r="F128" t="str">
        <f t="shared" si="5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6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8"/>
        <v>OC6</v>
      </c>
      <c r="F129" t="str">
        <f t="shared" si="5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6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8"/>
        <v>OC6</v>
      </c>
      <c r="F130" t="str">
        <f t="shared" si="5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6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8"/>
        <v>OC6</v>
      </c>
      <c r="F131" t="str">
        <f t="shared" si="5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6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8"/>
        <v>OC6</v>
      </c>
      <c r="F132" t="str">
        <f t="shared" si="5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6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8"/>
        <v>OC6</v>
      </c>
      <c r="F133" t="str">
        <f t="shared" si="5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6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8"/>
        <v>OC6</v>
      </c>
      <c r="F134" t="str">
        <f t="shared" si="5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6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8"/>
        <v>OC6</v>
      </c>
      <c r="F135" t="str">
        <f t="shared" si="5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6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8"/>
        <v>OC6</v>
      </c>
      <c r="F136" t="str">
        <f t="shared" si="5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6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8"/>
        <v>OC6</v>
      </c>
      <c r="F137" t="str">
        <f t="shared" si="5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6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8"/>
        <v>OC6</v>
      </c>
      <c r="F138" t="str">
        <f t="shared" si="5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6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8"/>
        <v>OC6</v>
      </c>
      <c r="F139" t="str">
        <f t="shared" si="5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6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8"/>
        <v>OC6</v>
      </c>
      <c r="F140" t="str">
        <f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8"/>
        <v>OC6</v>
      </c>
      <c r="F141" t="str">
        <f t="shared" ref="F141:F208" si="9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10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8"/>
        <v>OC6</v>
      </c>
      <c r="F142" t="str">
        <f t="shared" si="9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3164.0158193296338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17832.519718374588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6250.4474473635264</v>
      </c>
      <c r="J142" s="74">
        <f t="shared" si="10"/>
        <v>6250.4474473635264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8"/>
        <v>OC6</v>
      </c>
      <c r="F143" t="str">
        <f t="shared" si="9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271.23273438316426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716.11951462780564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228.30539979979059</v>
      </c>
      <c r="J143" s="74">
        <f t="shared" si="10"/>
        <v>228.30539979979059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8"/>
        <v>OC6</v>
      </c>
      <c r="F144" t="str">
        <f t="shared" si="9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290.43140062996218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843.4127874294104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483.74712438187373</v>
      </c>
      <c r="J144" s="74">
        <f t="shared" si="10"/>
        <v>483.74712438187373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8"/>
        <v>OC6</v>
      </c>
      <c r="F145" t="str">
        <f t="shared" si="9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2680.2034810784762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124480.22814032271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10"/>
        <v>124480.22814032271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8"/>
        <v>OC6</v>
      </c>
      <c r="F146" t="str">
        <f t="shared" si="9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12.53541249416833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177.91510952973113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10"/>
        <v>177.91510952973113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8"/>
        <v>OC6</v>
      </c>
      <c r="F147" t="str">
        <f t="shared" si="9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197.90167267747967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5749.0624390591338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10"/>
        <v>5749.0624390591338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8"/>
        <v>OC6</v>
      </c>
      <c r="F148" t="str">
        <f t="shared" si="9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5.1920135965015621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288.55940688415637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10"/>
        <v>288.55940688415637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8"/>
        <v>OC6</v>
      </c>
      <c r="F149" t="str">
        <f t="shared" si="9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670.21093226368919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29711.764240676581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10"/>
        <v>29711.764240676581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11">Organ6</f>
        <v>OC6</v>
      </c>
      <c r="F150" t="str">
        <f t="shared" si="9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11.417619381277788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66.303942566181121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10"/>
        <v>66.303942566181121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11"/>
        <v>OC6</v>
      </c>
      <c r="F151" t="str">
        <f t="shared" si="9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201.93089052687492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4115.4374421804177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10"/>
        <v>4115.4374421804177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11"/>
        <v>OC6</v>
      </c>
      <c r="F152" t="str">
        <f t="shared" si="9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498.42498707170773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4871.3968636949239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869.06368950212425</v>
      </c>
      <c r="J152" s="74">
        <f t="shared" si="10"/>
        <v>869.06368950212425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11"/>
        <v>OC6</v>
      </c>
      <c r="F153" t="str">
        <f t="shared" si="9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57.265572855320727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1958.4825916519687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10"/>
        <v>1958.4825916519687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11"/>
        <v>OC6</v>
      </c>
      <c r="F154" t="str">
        <f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94.051186835371922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1569.049068180351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>IF(I154&lt;&gt;0,I154,H154)</f>
        <v>1569.049068180351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11"/>
        <v>OC6</v>
      </c>
      <c r="F155" t="str">
        <f t="shared" si="9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8605.6100590103106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142405.63525650263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10"/>
        <v>142405.63525650263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11"/>
        <v>OC6</v>
      </c>
      <c r="F156" t="str">
        <f t="shared" si="9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10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11"/>
        <v>OC6</v>
      </c>
      <c r="F157" t="str">
        <f t="shared" si="9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10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11"/>
        <v>OC6</v>
      </c>
      <c r="F158" t="str">
        <f t="shared" si="9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10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11"/>
        <v>OC6</v>
      </c>
      <c r="F159" t="str">
        <f t="shared" si="9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10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11"/>
        <v>OC6</v>
      </c>
      <c r="F160" t="str">
        <f t="shared" si="9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10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11"/>
        <v>OC6</v>
      </c>
      <c r="F161" t="str">
        <f t="shared" si="9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10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11"/>
        <v>OC6</v>
      </c>
      <c r="F162" t="str">
        <f t="shared" si="9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10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11"/>
        <v>OC6</v>
      </c>
      <c r="F163" t="str">
        <f t="shared" si="9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10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11"/>
        <v>OC6</v>
      </c>
      <c r="F164" t="str">
        <f t="shared" si="9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10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11"/>
        <v>OC6</v>
      </c>
      <c r="F165" t="str">
        <f t="shared" si="9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10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11"/>
        <v>OC6</v>
      </c>
      <c r="F166" t="str">
        <f t="shared" si="9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10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11"/>
        <v>OC6</v>
      </c>
      <c r="F167" t="str">
        <f t="shared" si="9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10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11"/>
        <v>OC6</v>
      </c>
      <c r="F168" t="str">
        <f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11"/>
        <v>OC6</v>
      </c>
      <c r="F169" t="str">
        <f t="shared" si="9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4362.53125925926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72191.16727822223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10"/>
        <v>72191.16727822223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12">Organ12</f>
        <v>OC12</v>
      </c>
      <c r="F170" t="str">
        <f t="shared" si="9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10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12"/>
        <v>OC12</v>
      </c>
      <c r="F171" t="str">
        <f t="shared" si="9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10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12"/>
        <v>OC12</v>
      </c>
      <c r="F172" t="str">
        <f t="shared" si="9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10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12"/>
        <v>OC12</v>
      </c>
      <c r="F173" t="str">
        <f t="shared" si="9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10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12"/>
        <v>OC12</v>
      </c>
      <c r="F174" t="str">
        <f t="shared" si="9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10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12"/>
        <v>OC12</v>
      </c>
      <c r="F175" t="str">
        <f t="shared" si="9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10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12"/>
        <v>OC12</v>
      </c>
      <c r="F176" t="str">
        <f t="shared" si="9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10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12"/>
        <v>OC12</v>
      </c>
      <c r="F177" t="str">
        <f t="shared" si="9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10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12"/>
        <v>OC12</v>
      </c>
      <c r="F178" t="str">
        <f t="shared" si="9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10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12"/>
        <v>OC12</v>
      </c>
      <c r="F179" t="str">
        <f t="shared" si="9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10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12"/>
        <v>OC12</v>
      </c>
      <c r="F180" t="str">
        <f t="shared" si="9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10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12"/>
        <v>OC12</v>
      </c>
      <c r="F181" t="str">
        <f t="shared" si="9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10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12"/>
        <v>OC12</v>
      </c>
      <c r="F182" t="str">
        <f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12"/>
        <v>OC12</v>
      </c>
      <c r="F183" t="str">
        <f t="shared" si="9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10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12"/>
        <v>OC12</v>
      </c>
      <c r="F184" t="str">
        <f t="shared" si="9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4783.9196669834782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46949.387611775855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16456.1533977125</v>
      </c>
      <c r="J184" s="74">
        <f t="shared" si="10"/>
        <v>16456.1533977125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12"/>
        <v>OC12</v>
      </c>
      <c r="F185" t="str">
        <f t="shared" si="9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275.45437396803328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1488.555436923252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474.56498141590987</v>
      </c>
      <c r="J185" s="74">
        <f t="shared" si="10"/>
        <v>474.56498141590987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12"/>
        <v>OC12</v>
      </c>
      <c r="F186" t="str">
        <f t="shared" si="9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356.70094108511353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2197.2777970842994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1260.2687932291165</v>
      </c>
      <c r="J186" s="74">
        <f t="shared" si="10"/>
        <v>1260.2687932291165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12"/>
        <v>OC12</v>
      </c>
      <c r="F187" t="str">
        <f t="shared" si="9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8226.6497090955108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571488.90199144685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10"/>
        <v>571488.90199144685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12"/>
        <v>OC12</v>
      </c>
      <c r="F188" t="str">
        <f t="shared" si="9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9.5619378520505975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277.7742946020698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10"/>
        <v>277.7742946020698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12"/>
        <v>OC12</v>
      </c>
      <c r="F189" t="str">
        <f t="shared" si="9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506.11617449253043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30093.292834455864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10"/>
        <v>30093.292834455864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12"/>
        <v>OC12</v>
      </c>
      <c r="F190" t="str">
        <f t="shared" si="9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5.4731720415014316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622.60191091801948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10"/>
        <v>622.60191091801948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12"/>
        <v>OC12</v>
      </c>
      <c r="F191" t="str">
        <f t="shared" si="9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680.64252345157081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42413.558206361187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10"/>
        <v>42413.558206361187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12"/>
        <v>OC12</v>
      </c>
      <c r="F192" t="str">
        <f t="shared" si="9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19.505146385739103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231.838169940895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10"/>
        <v>231.838169940895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12"/>
        <v>OC12</v>
      </c>
      <c r="F193" t="str">
        <f t="shared" si="9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344.96609564581217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14390.026417343099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10"/>
        <v>14390.026417343099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12"/>
        <v>OC12</v>
      </c>
      <c r="F194" t="str">
        <f t="shared" si="9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1097.5667816533621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21956.170484206676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3917.0100614363082</v>
      </c>
      <c r="J194" s="74">
        <f t="shared" si="10"/>
        <v>3917.0100614363082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12"/>
        <v>OC12</v>
      </c>
      <c r="F195" t="str">
        <f t="shared" si="9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97.828920732618897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6848.0244512833224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10"/>
        <v>6848.0244512833224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12"/>
        <v>OC12</v>
      </c>
      <c r="F196" t="str">
        <f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230.9275001580348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7885.3292736889925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>IF(I196&lt;&gt;0,I196,H196)</f>
        <v>7885.3292736889925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12"/>
        <v>OC12</v>
      </c>
      <c r="F197" t="str">
        <f t="shared" si="9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22387.839736166919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432219.63394643855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10"/>
        <v>432219.63394643855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12"/>
        <v>OC12</v>
      </c>
      <c r="F198" t="str">
        <f t="shared" si="9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10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12"/>
        <v>OC12</v>
      </c>
      <c r="F199" t="str">
        <f t="shared" si="9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10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12"/>
        <v>OC12</v>
      </c>
      <c r="F200" t="str">
        <f t="shared" si="9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10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12"/>
        <v>OC12</v>
      </c>
      <c r="F201" t="str">
        <f t="shared" si="9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10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13">Organ12</f>
        <v>OC12</v>
      </c>
      <c r="F202" t="str">
        <f t="shared" si="9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10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13"/>
        <v>OC12</v>
      </c>
      <c r="F203" t="str">
        <f t="shared" si="9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10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13"/>
        <v>OC12</v>
      </c>
      <c r="F204" t="str">
        <f t="shared" si="9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10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13"/>
        <v>OC12</v>
      </c>
      <c r="F205" t="str">
        <f t="shared" si="9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10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13"/>
        <v>OC12</v>
      </c>
      <c r="F206" t="str">
        <f t="shared" si="9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10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13"/>
        <v>OC12</v>
      </c>
      <c r="F207" t="str">
        <f t="shared" si="9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10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13"/>
        <v>OC12</v>
      </c>
      <c r="F208" t="str">
        <f t="shared" si="9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10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13"/>
        <v>OC12</v>
      </c>
      <c r="F209" t="str">
        <f t="shared" ref="F209:F253" si="14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15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13"/>
        <v>OC12</v>
      </c>
      <c r="F210" t="str">
        <f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13"/>
        <v>OC12</v>
      </c>
      <c r="F211" t="str">
        <f t="shared" si="14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3395.8482962962953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65560.247208296278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15"/>
        <v>65560.247208296278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13"/>
        <v>OC12</v>
      </c>
      <c r="F212" t="str">
        <f t="shared" si="14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15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13"/>
        <v>OC12</v>
      </c>
      <c r="F213" t="str">
        <f t="shared" si="14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15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13"/>
        <v>OC12</v>
      </c>
      <c r="F214" t="str">
        <f t="shared" si="14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15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13"/>
        <v>OC12</v>
      </c>
      <c r="F215" t="str">
        <f t="shared" si="14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15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13"/>
        <v>OC12</v>
      </c>
      <c r="F216" t="str">
        <f t="shared" si="14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15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13"/>
        <v>OC12</v>
      </c>
      <c r="F217" t="str">
        <f t="shared" si="14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15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13"/>
        <v>OC12</v>
      </c>
      <c r="F218" t="str">
        <f t="shared" si="14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15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13"/>
        <v>OC12</v>
      </c>
      <c r="F219" t="str">
        <f t="shared" si="14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15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13"/>
        <v>OC12</v>
      </c>
      <c r="F220" t="str">
        <f t="shared" si="14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15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13"/>
        <v>OC12</v>
      </c>
      <c r="F221" t="str">
        <f t="shared" si="14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15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13"/>
        <v>OC12</v>
      </c>
      <c r="F222" t="str">
        <f t="shared" si="14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15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13"/>
        <v>OC12</v>
      </c>
      <c r="F223" t="str">
        <f t="shared" si="14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15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13"/>
        <v>OC12</v>
      </c>
      <c r="F224" t="str">
        <f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13"/>
        <v>OC12</v>
      </c>
      <c r="F225" t="str">
        <f t="shared" si="14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15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13"/>
        <v>OC12</v>
      </c>
      <c r="F226" t="str">
        <f t="shared" si="14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1599.3968978237997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10516.642374012656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3686.1711928320833</v>
      </c>
      <c r="J226" s="74">
        <f t="shared" si="15"/>
        <v>3686.1711928320833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13"/>
        <v>OC12</v>
      </c>
      <c r="F227" t="str">
        <f t="shared" si="14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92.09202952487432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283.66923670487984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90.436326861541971</v>
      </c>
      <c r="J227" s="74">
        <f t="shared" si="15"/>
        <v>90.436326861541971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13"/>
        <v>OC12</v>
      </c>
      <c r="F228" t="str">
        <f t="shared" si="14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119.25500809717734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404.03596743323692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231.73852745152391</v>
      </c>
      <c r="J228" s="74">
        <f t="shared" si="15"/>
        <v>231.73852745152391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13"/>
        <v>OC12</v>
      </c>
      <c r="F229" t="str">
        <f t="shared" si="14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2750.3969422854166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149030.36833361301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15"/>
        <v>149030.36833361301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13"/>
        <v>OC12</v>
      </c>
      <c r="F230" t="str">
        <f t="shared" si="14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3.1968207667243238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52.934556665804713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15"/>
        <v>52.934556665804713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13"/>
        <v>OC12</v>
      </c>
      <c r="F231" t="str">
        <f t="shared" si="14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169.20866063209289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5734.7823242183067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15"/>
        <v>5734.7823242183067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13"/>
        <v>OC12</v>
      </c>
      <c r="F232" t="str">
        <f t="shared" si="14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1.8298330644739016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118.64724985060809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15"/>
        <v>118.64724985060809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13"/>
        <v>OC12</v>
      </c>
      <c r="F233" t="str">
        <f t="shared" si="14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227.55765487630734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11769.422995948638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15"/>
        <v>11769.422995948638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16">Organ12</f>
        <v>OC12</v>
      </c>
      <c r="F234" t="str">
        <f t="shared" si="14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6.5211108865925631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44.18065667888235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15"/>
        <v>44.18065667888235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16"/>
        <v>OC12</v>
      </c>
      <c r="F235" t="str">
        <f t="shared" si="14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115.33172411697309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2742.2611941198643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15"/>
        <v>2742.2611941198643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16"/>
        <v>OC12</v>
      </c>
      <c r="F236" t="str">
        <f t="shared" si="14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366.94698655710141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4184.1170088301133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746.45204789256411</v>
      </c>
      <c r="J236" s="74">
        <f t="shared" si="15"/>
        <v>746.45204789256411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16"/>
        <v>OC12</v>
      </c>
      <c r="F237" t="str">
        <f t="shared" si="14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32.706918850889117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1305.0060621504758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15"/>
        <v>1305.0060621504758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16"/>
        <v>OC12</v>
      </c>
      <c r="F238" t="str">
        <f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77.205461856732612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1502.6819161383567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>IF(I238&lt;&gt;0,I238,H238)</f>
        <v>1502.6819161383567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16"/>
        <v>OC12</v>
      </c>
      <c r="F239" t="str">
        <f t="shared" si="14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7484.8751474917772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144502.99959747624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15"/>
        <v>144502.99959747624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16"/>
        <v>OC12</v>
      </c>
      <c r="F240" t="str">
        <f t="shared" si="14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15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16"/>
        <v>OC12</v>
      </c>
      <c r="F241" t="str">
        <f t="shared" si="14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15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16"/>
        <v>OC12</v>
      </c>
      <c r="F242" t="str">
        <f t="shared" si="14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15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16"/>
        <v>OC12</v>
      </c>
      <c r="F243" t="str">
        <f t="shared" si="14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15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16"/>
        <v>OC12</v>
      </c>
      <c r="F244" t="str">
        <f t="shared" si="14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15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16"/>
        <v>OC12</v>
      </c>
      <c r="F245" t="str">
        <f t="shared" si="14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15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16"/>
        <v>OC12</v>
      </c>
      <c r="F246" t="str">
        <f t="shared" si="14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15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16"/>
        <v>OC12</v>
      </c>
      <c r="F247" t="str">
        <f t="shared" si="14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15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16"/>
        <v>OC12</v>
      </c>
      <c r="F248" t="str">
        <f t="shared" si="14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15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16"/>
        <v>OC12</v>
      </c>
      <c r="F249" t="str">
        <f t="shared" si="14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15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16"/>
        <v>OC12</v>
      </c>
      <c r="F250" t="str">
        <f t="shared" si="14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15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16"/>
        <v>OC12</v>
      </c>
      <c r="F251" t="str">
        <f t="shared" si="14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15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16"/>
        <v>OC12</v>
      </c>
      <c r="F252" t="str">
        <f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16"/>
        <v>OC12</v>
      </c>
      <c r="F253" t="str">
        <f t="shared" si="14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3395.8482962962953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65560.247208296278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15"/>
        <v>65560.247208296278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17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15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17"/>
        <v>JB1-10</v>
      </c>
      <c r="F255" t="str">
        <f t="shared" ref="F255:F265" si="18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15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17"/>
        <v>JB1-10</v>
      </c>
      <c r="F256" t="str">
        <f t="shared" si="18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15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17"/>
        <v>JB1-10</v>
      </c>
      <c r="F257" t="str">
        <f t="shared" si="18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15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17"/>
        <v>JB1-10</v>
      </c>
      <c r="F258" t="str">
        <f t="shared" si="18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15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17"/>
        <v>JB1-10</v>
      </c>
      <c r="F259" t="str">
        <f t="shared" si="18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15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17"/>
        <v>JB1-10</v>
      </c>
      <c r="F260" t="str">
        <f t="shared" si="18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15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17"/>
        <v>JB1-10</v>
      </c>
      <c r="F261" t="str">
        <f t="shared" si="18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15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17"/>
        <v>JB1-10</v>
      </c>
      <c r="F262" t="str">
        <f t="shared" si="18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15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17"/>
        <v>JB1-10</v>
      </c>
      <c r="F263" t="str">
        <f t="shared" si="18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15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17"/>
        <v>JB1-10</v>
      </c>
      <c r="F264" t="str">
        <f t="shared" si="18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15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17"/>
        <v>JB1-10</v>
      </c>
      <c r="F265" t="str">
        <f t="shared" si="18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15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17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15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17"/>
        <v>JB1-10</v>
      </c>
      <c r="F267" t="str">
        <f t="shared" ref="F267:F335" si="19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15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17"/>
        <v>JB1-10</v>
      </c>
      <c r="F268" t="str">
        <f t="shared" si="19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139605.98929550874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978637.98496151622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343020.80645915837</v>
      </c>
      <c r="J268" s="74">
        <f t="shared" si="15"/>
        <v>343020.80645915837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17"/>
        <v>JB1-10</v>
      </c>
      <c r="F269" t="str">
        <f t="shared" si="19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30535.684540723742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117867.74232719364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37577.305862827532</v>
      </c>
      <c r="J269" s="74">
        <f t="shared" si="15"/>
        <v>37577.305862827532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17"/>
        <v>JB1-10</v>
      </c>
      <c r="F270" t="str">
        <f t="shared" si="19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36264.587599780585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159564.1854390346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91519.499124181064</v>
      </c>
      <c r="J270" s="74">
        <f t="shared" si="15"/>
        <v>91519.499124181064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17"/>
        <v>JB1-10</v>
      </c>
      <c r="F271" t="str">
        <f t="shared" si="19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72038.621486705946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3574556.3981703492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15"/>
        <v>3574556.3981703492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17"/>
        <v>JB1-10</v>
      </c>
      <c r="F272" t="str">
        <f t="shared" si="19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3008.481202286293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62425.984947440578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15"/>
        <v>62425.984947440578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17"/>
        <v>JB1-10</v>
      </c>
      <c r="F273" t="str">
        <f t="shared" si="19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12653.951447780619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537424.69984833349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15"/>
        <v>537424.69984833349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17"/>
        <v>JB1-10</v>
      </c>
      <c r="F274" t="str">
        <f t="shared" si="19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7782.2280444329399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632335.06677452126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15"/>
        <v>632335.06677452126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17"/>
        <v>JB1-10</v>
      </c>
      <c r="F275" t="str">
        <f t="shared" si="19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18896.748301264219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841094.2668892704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15"/>
        <v>841094.2668892704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17"/>
        <v>JB1-10</v>
      </c>
      <c r="F276" t="str">
        <f t="shared" si="19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12572.980085436488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106744.60092535579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15"/>
        <v>106744.60092535579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17"/>
        <v>JB1-10</v>
      </c>
      <c r="F277" t="str">
        <f t="shared" si="19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7263.9100942126888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216435.05481570555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20">IF(I277&lt;&gt;0,I277,H277)</f>
        <v>216435.05481570555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17"/>
        <v>JB1-10</v>
      </c>
      <c r="F278" t="str">
        <f t="shared" si="19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10491.306102220859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149908.8120798601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26743.931763380704</v>
      </c>
      <c r="J278" s="74">
        <f t="shared" si="20"/>
        <v>26743.931763380704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17"/>
        <v>JB1-10</v>
      </c>
      <c r="F279" t="str">
        <f t="shared" si="19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2884.822794857841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144241.13974289206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20"/>
        <v>144241.13974289206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17"/>
        <v>JB1-10</v>
      </c>
      <c r="F280" t="str">
        <f t="shared" si="19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7855.4565133477763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191596.50032555553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20"/>
        <v>191596.50032555553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17"/>
        <v>JB1-10</v>
      </c>
      <c r="F281" t="str">
        <f t="shared" si="19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18380.83548506023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253471.7213389806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20"/>
        <v>253471.7213389806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17"/>
        <v>JB1-10</v>
      </c>
      <c r="F282" t="str">
        <f t="shared" si="19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12262.026478572649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85956.805614794255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34296.851041226786</v>
      </c>
      <c r="J282" s="74">
        <f t="shared" si="20"/>
        <v>34296.851041226786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17"/>
        <v>JB1-10</v>
      </c>
      <c r="F283" t="str">
        <f t="shared" si="19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36328.42150866046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140227.70702342939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50890.895365635486</v>
      </c>
      <c r="J283" s="74">
        <f t="shared" si="20"/>
        <v>50890.895365635486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17"/>
        <v>JB1-10</v>
      </c>
      <c r="F284" t="str">
        <f t="shared" si="19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32054.489566465109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141039.7540924465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92086.367463330418</v>
      </c>
      <c r="J284" s="74">
        <f t="shared" si="20"/>
        <v>92086.367463330418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17"/>
        <v>JB1-10</v>
      </c>
      <c r="F285" t="str">
        <f t="shared" si="19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74793.80898841859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3711268.8020053306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20"/>
        <v>3711268.8020053306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21">Jordbund1</f>
        <v>JB1-10</v>
      </c>
      <c r="F286" t="str">
        <f t="shared" si="19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2742.211558421523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56900.889837246599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20"/>
        <v>56900.889837246599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21"/>
        <v>JB1-10</v>
      </c>
      <c r="F287" t="str">
        <f t="shared" si="19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11533.996587194459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489859.20955243346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20"/>
        <v>489859.20955243346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21"/>
        <v>JB1-10</v>
      </c>
      <c r="F288" t="str">
        <f t="shared" si="19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7093.4515653607632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576369.40778841777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20"/>
        <v>576369.40778841777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21"/>
        <v>JB1-10</v>
      </c>
      <c r="F289" t="str">
        <f t="shared" si="19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1659.7599372226859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73875.914805781766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20"/>
        <v>73875.914805781766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21"/>
        <v>JB1-10</v>
      </c>
      <c r="F290" t="str">
        <f t="shared" si="19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19124.895676548345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162370.36429389546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20"/>
        <v>162370.36429389546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21"/>
        <v>JB1-10</v>
      </c>
      <c r="F291" t="str">
        <f t="shared" si="19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638.01172401471331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19010.161286302951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20"/>
        <v>19010.161286302951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21"/>
        <v>JB1-10</v>
      </c>
      <c r="F292" t="str">
        <f t="shared" si="19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921.48391246980407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13166.955317394482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2673.9854454123674</v>
      </c>
      <c r="J292" s="74">
        <f t="shared" si="20"/>
        <v>2673.9854454123674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21"/>
        <v>JB1-10</v>
      </c>
      <c r="F293" t="str">
        <f t="shared" si="19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1621.3021865186959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81065.109325934798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20"/>
        <v>81065.109325934798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21"/>
        <v>JB1-10</v>
      </c>
      <c r="F294" t="str">
        <f t="shared" si="19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11308.291703398067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275811.99276580656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20"/>
        <v>275811.99276580656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21"/>
        <v>JB1-10</v>
      </c>
      <c r="F295" t="str">
        <f t="shared" si="19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1614.4457165015567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22263.206430556471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20"/>
        <v>22263.206430556471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21"/>
        <v>JB1-10</v>
      </c>
      <c r="F296" t="str">
        <f t="shared" si="19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20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21"/>
        <v>JB1-10</v>
      </c>
      <c r="F297" t="str">
        <f t="shared" si="19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20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21"/>
        <v>JB1-10</v>
      </c>
      <c r="F298" t="str">
        <f t="shared" si="19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20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21"/>
        <v>JB1-10</v>
      </c>
      <c r="F299" t="str">
        <f t="shared" si="19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20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21"/>
        <v>JB1-10</v>
      </c>
      <c r="F300" t="str">
        <f t="shared" si="19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20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21"/>
        <v>JB1-10</v>
      </c>
      <c r="F301" t="str">
        <f t="shared" si="19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20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21"/>
        <v>JB1-10</v>
      </c>
      <c r="F302" t="str">
        <f t="shared" si="19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20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21"/>
        <v>JB1-10</v>
      </c>
      <c r="F303" t="str">
        <f t="shared" si="19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20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21"/>
        <v>JB1-10</v>
      </c>
      <c r="F304" t="str">
        <f t="shared" si="19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20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21"/>
        <v>JB1-10</v>
      </c>
      <c r="F305" t="str">
        <f t="shared" si="19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20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21"/>
        <v>JB1-10</v>
      </c>
      <c r="F306" t="str">
        <f t="shared" si="19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20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21"/>
        <v>JB1-10</v>
      </c>
      <c r="F307" t="str">
        <f t="shared" si="19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20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21"/>
        <v>JB1-10</v>
      </c>
      <c r="F308" t="str">
        <f t="shared" si="19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20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21"/>
        <v>JB1-10</v>
      </c>
      <c r="F309" t="str">
        <f t="shared" si="19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20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21"/>
        <v>JB1-10</v>
      </c>
      <c r="F310" t="str">
        <f t="shared" si="19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46674.150433143222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219214.48233934375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76836.511227924158</v>
      </c>
      <c r="J310" s="74">
        <f t="shared" si="20"/>
        <v>76836.511227924158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21"/>
        <v>JB1-10</v>
      </c>
      <c r="F311" t="str">
        <f t="shared" si="19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10208.92542665859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22461.677723734232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7160.9866902684143</v>
      </c>
      <c r="J311" s="74">
        <f t="shared" si="20"/>
        <v>7160.9866902684143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21"/>
        <v>JB1-10</v>
      </c>
      <c r="F312" t="str">
        <f t="shared" si="19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12124.256456112609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29340.700623792516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16828.627411932626</v>
      </c>
      <c r="J312" s="74">
        <f t="shared" si="20"/>
        <v>16828.627411932626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21"/>
        <v>JB1-10</v>
      </c>
      <c r="F313" t="str">
        <f t="shared" si="19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24084.507213724151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932157.13339709421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20"/>
        <v>932157.13339709421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21"/>
        <v>JB1-10</v>
      </c>
      <c r="F314" t="str">
        <f t="shared" si="19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1005.8186251133239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11896.319788527839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20"/>
        <v>11896.319788527839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21"/>
        <v>JB1-10</v>
      </c>
      <c r="F315" t="str">
        <f t="shared" si="19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4230.5665854867711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102415.30184957839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20"/>
        <v>102415.30184957839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21"/>
        <v>JB1-10</v>
      </c>
      <c r="F316" t="str">
        <f t="shared" si="19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2601.8144657248918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120502.06615375516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20"/>
        <v>120502.06615375516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21"/>
        <v>JB1-10</v>
      </c>
      <c r="F317" t="str">
        <f t="shared" si="19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6317.7065494196841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233396.92836717624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20"/>
        <v>233396.92836717624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22">Jordbund1</f>
        <v>JB1-10</v>
      </c>
      <c r="F318" t="str">
        <f t="shared" si="19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4203.4956154954561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20341.976332067163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20"/>
        <v>20341.976332067163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22"/>
        <v>JB1-10</v>
      </c>
      <c r="F319" t="str">
        <f t="shared" si="19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2428.5264133794421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41245.334418079525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20"/>
        <v>41245.334418079525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22"/>
        <v>JB1-10</v>
      </c>
      <c r="F320" t="str">
        <f t="shared" si="19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3507.5343237509874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28567.641649896908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5096.5053243070724</v>
      </c>
      <c r="J320" s="74">
        <f t="shared" si="20"/>
        <v>5096.5053243070724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22"/>
        <v>JB1-10</v>
      </c>
      <c r="F321" t="str">
        <f t="shared" si="19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964.47619317495321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27487.571505486165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20"/>
        <v>27487.571505486165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22"/>
        <v>JB1-10</v>
      </c>
      <c r="F322" t="str">
        <f t="shared" si="19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2626.2967719022085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36511.930731323388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20"/>
        <v>36511.930731323388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22"/>
        <v>JB1-10</v>
      </c>
      <c r="F323" t="str">
        <f t="shared" si="19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6145.2226000174778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84742.619654241018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20"/>
        <v>84742.619654241018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22"/>
        <v>JB1-10</v>
      </c>
      <c r="F324" t="str">
        <f t="shared" si="19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12262.026478572649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57591.059761912154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22978.890197621953</v>
      </c>
      <c r="J324" s="74">
        <f t="shared" si="20"/>
        <v>22978.890197621953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22"/>
        <v>JB1-10</v>
      </c>
      <c r="F325" t="str">
        <f t="shared" si="19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36328.42150866046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79929.793003354745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29007.810358412222</v>
      </c>
      <c r="J325" s="74">
        <f t="shared" si="20"/>
        <v>29007.810358412222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22"/>
        <v>JB1-10</v>
      </c>
      <c r="F326" t="str">
        <f t="shared" si="19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32054.489566465109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77571.864750845576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50647.502104831729</v>
      </c>
      <c r="J326" s="74">
        <f t="shared" si="20"/>
        <v>50647.502104831729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22"/>
        <v>JB1-10</v>
      </c>
      <c r="F327" t="str">
        <f t="shared" si="19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74793.80898841859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2894789.665564158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20"/>
        <v>2894789.665564158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22"/>
        <v>JB1-10</v>
      </c>
      <c r="F328" t="str">
        <f t="shared" si="19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2742.211558421523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32433.507207230563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20"/>
        <v>32433.507207230563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22"/>
        <v>JB1-10</v>
      </c>
      <c r="F329" t="str">
        <f t="shared" si="19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11533.996587194459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279219.74944488704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20"/>
        <v>279219.74944488704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22"/>
        <v>JB1-10</v>
      </c>
      <c r="F330" t="str">
        <f t="shared" si="19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7093.4515653607632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328530.56243939814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20"/>
        <v>328530.56243939814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22"/>
        <v>JB1-10</v>
      </c>
      <c r="F331" t="str">
        <f t="shared" si="19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1659.7599372226859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61317.009288798858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20"/>
        <v>61317.009288798858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22"/>
        <v>JB1-10</v>
      </c>
      <c r="F332" t="str">
        <f t="shared" si="19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19124.895676548345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92551.107647520403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20"/>
        <v>92551.107647520403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22"/>
        <v>JB1-10</v>
      </c>
      <c r="F333" t="str">
        <f t="shared" si="19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638.01172401471331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10835.791933192682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20"/>
        <v>10835.791933192682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22"/>
        <v>JB1-10</v>
      </c>
      <c r="F334" t="str">
        <f t="shared" si="19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921.48391246980407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7505.1645309148553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1524.1717038850493</v>
      </c>
      <c r="J334" s="74">
        <f t="shared" si="20"/>
        <v>1524.1717038850493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22"/>
        <v>JB1-10</v>
      </c>
      <c r="F335" t="str">
        <f t="shared" si="19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1621.3021865186959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46207.112315782833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20"/>
        <v>46207.112315782833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22"/>
        <v>JB1-10</v>
      </c>
      <c r="F336" t="str">
        <f t="shared" ref="F336:F399" si="23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11308.291703398067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157212.83587650972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20"/>
        <v>157212.83587650972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22"/>
        <v>JB1-10</v>
      </c>
      <c r="F337" t="str">
        <f t="shared" si="23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1614.4457165015567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22263.206430556471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20"/>
        <v>22263.206430556471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24">Organ6</f>
        <v>OC6</v>
      </c>
      <c r="F338" t="str">
        <f t="shared" si="23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20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24"/>
        <v>OC6</v>
      </c>
      <c r="F339" t="str">
        <f t="shared" si="23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20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24"/>
        <v>OC6</v>
      </c>
      <c r="F340" t="str">
        <f t="shared" si="23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20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24"/>
        <v>OC6</v>
      </c>
      <c r="F341" t="str">
        <f t="shared" si="23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25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24"/>
        <v>OC6</v>
      </c>
      <c r="F342" t="str">
        <f t="shared" si="23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25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24"/>
        <v>OC6</v>
      </c>
      <c r="F343" t="str">
        <f t="shared" si="23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25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24"/>
        <v>OC6</v>
      </c>
      <c r="F344" t="str">
        <f t="shared" si="23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25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24"/>
        <v>OC6</v>
      </c>
      <c r="F345" t="str">
        <f t="shared" si="23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25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24"/>
        <v>OC6</v>
      </c>
      <c r="F346" t="str">
        <f t="shared" si="23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25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24"/>
        <v>OC6</v>
      </c>
      <c r="F347" t="str">
        <f t="shared" si="23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25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24"/>
        <v>OC6</v>
      </c>
      <c r="F348" t="str">
        <f t="shared" si="23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25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24"/>
        <v>OC6</v>
      </c>
      <c r="F349" t="str">
        <f t="shared" si="23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25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24"/>
        <v>OC6</v>
      </c>
      <c r="F350" t="str">
        <f t="shared" si="23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25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24"/>
        <v>OC6</v>
      </c>
      <c r="F351" t="str">
        <f t="shared" si="23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25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24"/>
        <v>OC6</v>
      </c>
      <c r="F352" t="str">
        <f t="shared" si="23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1885.6446303801165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15862.04263075754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5559.7787321794603</v>
      </c>
      <c r="J352" s="74">
        <f t="shared" si="25"/>
        <v>5559.7787321794603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24"/>
        <v>OC6</v>
      </c>
      <c r="F353" t="str">
        <f t="shared" si="23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50.990844974029841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236.18959391970625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75.299385880322959</v>
      </c>
      <c r="J353" s="74">
        <f t="shared" si="25"/>
        <v>75.299385880322959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24"/>
        <v>OC6</v>
      </c>
      <c r="F354" t="str">
        <f t="shared" si="23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205.95998830023743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1087.4687382252537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623.72764891910037</v>
      </c>
      <c r="J354" s="74">
        <f t="shared" si="25"/>
        <v>623.72764891910037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24"/>
        <v>OC6</v>
      </c>
      <c r="F355" t="str">
        <f t="shared" si="23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605.60866356368342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36060.362263235969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25"/>
        <v>36060.362263235969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24"/>
        <v>OC6</v>
      </c>
      <c r="F356" t="str">
        <f t="shared" si="23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11.46957223200376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285.59234857689358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25"/>
        <v>285.59234857689358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24"/>
        <v>OC6</v>
      </c>
      <c r="F357" t="str">
        <f t="shared" si="23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19.499322517256413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993.78451965725219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25"/>
        <v>993.78451965725219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24"/>
        <v>OC6</v>
      </c>
      <c r="F358" t="str">
        <f t="shared" si="23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54.477004659634666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5311.7518812009148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25"/>
        <v>5311.7518812009148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24"/>
        <v>OC6</v>
      </c>
      <c r="F359" t="str">
        <f t="shared" si="23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58.080893697554018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3102.2166941737555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25"/>
        <v>3102.2166941737555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24"/>
        <v>OC6</v>
      </c>
      <c r="F360" t="str">
        <f t="shared" si="23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12.529242712581604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127.6479247557814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25"/>
        <v>127.6479247557814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24"/>
        <v>OC6</v>
      </c>
      <c r="F361" t="str">
        <f t="shared" si="23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89.464869797138064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3198.8282477313228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25"/>
        <v>3198.8282477313228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24"/>
        <v>OC6</v>
      </c>
      <c r="F362" t="str">
        <f t="shared" si="23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649.51071214656338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11136.921753194183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1986.8416758773726</v>
      </c>
      <c r="J362" s="74">
        <f t="shared" si="25"/>
        <v>1986.8416758773726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24"/>
        <v>OC6</v>
      </c>
      <c r="F363" t="str">
        <f t="shared" si="23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19.633252031251775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1177.9951218751064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25"/>
        <v>1177.9951218751064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24"/>
        <v>OC6</v>
      </c>
      <c r="F364" t="str">
        <f t="shared" si="23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41.669093631679907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1219.58322824429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25"/>
        <v>1219.58322824429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24"/>
        <v>OC6</v>
      </c>
      <c r="F365" t="str">
        <f t="shared" si="23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3909.3241537121544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64691.49609562874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25"/>
        <v>64691.49609562874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24"/>
        <v>OC6</v>
      </c>
      <c r="F366" t="str">
        <f t="shared" si="23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25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24"/>
        <v>OC6</v>
      </c>
      <c r="F367" t="str">
        <f t="shared" si="23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25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24"/>
        <v>OC6</v>
      </c>
      <c r="F368" t="str">
        <f t="shared" si="23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25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24"/>
        <v>OC6</v>
      </c>
      <c r="F369" t="str">
        <f t="shared" si="23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25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26">Organ6</f>
        <v>OC6</v>
      </c>
      <c r="F370" t="str">
        <f t="shared" si="23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25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26"/>
        <v>OC6</v>
      </c>
      <c r="F371" t="str">
        <f t="shared" si="23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25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26"/>
        <v>OC6</v>
      </c>
      <c r="F372" t="str">
        <f t="shared" si="23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25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26"/>
        <v>OC6</v>
      </c>
      <c r="F373" t="str">
        <f t="shared" si="23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25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26"/>
        <v>OC6</v>
      </c>
      <c r="F374" t="str">
        <f t="shared" si="23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25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26"/>
        <v>OC6</v>
      </c>
      <c r="F375" t="str">
        <f t="shared" si="23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25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26"/>
        <v>OC6</v>
      </c>
      <c r="F376" t="str">
        <f t="shared" si="23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25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26"/>
        <v>OC6</v>
      </c>
      <c r="F377" t="str">
        <f t="shared" si="23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25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26"/>
        <v>OC6</v>
      </c>
      <c r="F378" t="str">
        <f t="shared" si="23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25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26"/>
        <v>OC6</v>
      </c>
      <c r="F379" t="str">
        <f t="shared" si="23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662.5687407407404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10964.187521777772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25"/>
        <v>10964.187521777772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26"/>
        <v>OC6</v>
      </c>
      <c r="F380" t="str">
        <f t="shared" si="23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25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26"/>
        <v>OC6</v>
      </c>
      <c r="F381" t="str">
        <f t="shared" si="23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25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26"/>
        <v>OC6</v>
      </c>
      <c r="F382" t="str">
        <f t="shared" si="23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25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26"/>
        <v>OC6</v>
      </c>
      <c r="F383" t="str">
        <f t="shared" si="23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25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26"/>
        <v>OC6</v>
      </c>
      <c r="F384" t="str">
        <f t="shared" si="23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25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26"/>
        <v>OC6</v>
      </c>
      <c r="F385" t="str">
        <f t="shared" si="23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25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26"/>
        <v>OC6</v>
      </c>
      <c r="F386" t="str">
        <f t="shared" si="23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25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26"/>
        <v>OC6</v>
      </c>
      <c r="F387" t="str">
        <f t="shared" si="23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25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26"/>
        <v>OC6</v>
      </c>
      <c r="F388" t="str">
        <f t="shared" si="23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25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26"/>
        <v>OC6</v>
      </c>
      <c r="F389" t="str">
        <f t="shared" si="23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25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26"/>
        <v>OC6</v>
      </c>
      <c r="F390" t="str">
        <f t="shared" si="23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25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26"/>
        <v>OC6</v>
      </c>
      <c r="F391" t="str">
        <f t="shared" si="23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25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26"/>
        <v>OC6</v>
      </c>
      <c r="F392" t="str">
        <f t="shared" si="23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25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26"/>
        <v>OC6</v>
      </c>
      <c r="F393" t="str">
        <f t="shared" si="23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25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26"/>
        <v>OC6</v>
      </c>
      <c r="F394" t="str">
        <f t="shared" si="23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630.42324749774684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3553.0906398272014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1245.3880141837544</v>
      </c>
      <c r="J394" s="74">
        <f t="shared" si="25"/>
        <v>1245.3880141837544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26"/>
        <v>OC6</v>
      </c>
      <c r="F395" t="str">
        <f t="shared" si="23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17.047652332402613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45.009893594102671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14.349562526987507</v>
      </c>
      <c r="J395" s="74">
        <f t="shared" si="25"/>
        <v>14.349562526987507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26"/>
        <v>OC6</v>
      </c>
      <c r="F396" t="str">
        <f t="shared" si="23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68.858130841260106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199.96401196301935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114.69118942552105</v>
      </c>
      <c r="J396" s="74">
        <f t="shared" si="25"/>
        <v>114.69118942552105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26"/>
        <v>OC6</v>
      </c>
      <c r="F397" t="str">
        <f t="shared" si="23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202.47175647281159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9403.6630485853348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25"/>
        <v>9403.6630485853348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26"/>
        <v>OC6</v>
      </c>
      <c r="F398" t="str">
        <f t="shared" si="23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3.8345957967977244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54.424418143950099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25"/>
        <v>54.424418143950099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26"/>
        <v>OC6</v>
      </c>
      <c r="F399" t="str">
        <f t="shared" si="23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6.5191638059906802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189.38232943677266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25"/>
        <v>189.38232943677266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26"/>
        <v>OC6</v>
      </c>
      <c r="F400" t="str">
        <f t="shared" ref="F400:F467" si="27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18.213172110035202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1012.2435243798453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25"/>
        <v>1012.2435243798453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26"/>
        <v>OC6</v>
      </c>
      <c r="F401" t="str">
        <f t="shared" si="27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19.418052072198943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860.84030774264068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25"/>
        <v>860.84030774264068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28">Organ6</f>
        <v>OC6</v>
      </c>
      <c r="F402" t="str">
        <f t="shared" si="27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4.188872999872153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24.325455729937573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25"/>
        <v>24.325455729937573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28"/>
        <v>OC6</v>
      </c>
      <c r="F403" t="str">
        <f t="shared" si="27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29.910584871501143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609.59044243559299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25"/>
        <v>609.59044243559299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28"/>
        <v>OC6</v>
      </c>
      <c r="F404" t="str">
        <f t="shared" si="27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217.14942775483027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2122.3274690396697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378.62604755555191</v>
      </c>
      <c r="J404" s="74">
        <f t="shared" si="25"/>
        <v>378.62604755555191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28"/>
        <v>OC6</v>
      </c>
      <c r="F405" t="str">
        <f t="shared" si="27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6.5639401534468442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224.48675324788206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29">IF(I405&lt;&gt;0,I405,H405)</f>
        <v>224.48675324788206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28"/>
        <v>OC6</v>
      </c>
      <c r="F406" t="str">
        <f t="shared" si="27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13.93113257097435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232.41206533040136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29"/>
        <v>232.41206533040136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28"/>
        <v>OC6</v>
      </c>
      <c r="F407" t="str">
        <f t="shared" si="27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1306.995384388938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21628.159620868148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29"/>
        <v>21628.159620868148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28"/>
        <v>OC6</v>
      </c>
      <c r="F408" t="str">
        <f t="shared" si="27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29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28"/>
        <v>OC6</v>
      </c>
      <c r="F409" t="str">
        <f t="shared" si="27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29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28"/>
        <v>OC6</v>
      </c>
      <c r="F410" t="str">
        <f t="shared" si="27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29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28"/>
        <v>OC6</v>
      </c>
      <c r="F411" t="str">
        <f t="shared" si="27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29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28"/>
        <v>OC6</v>
      </c>
      <c r="F412" t="str">
        <f t="shared" si="27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29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28"/>
        <v>OC6</v>
      </c>
      <c r="F413" t="str">
        <f t="shared" si="27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29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28"/>
        <v>OC6</v>
      </c>
      <c r="F414" t="str">
        <f t="shared" si="27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29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28"/>
        <v>OC6</v>
      </c>
      <c r="F415" t="str">
        <f t="shared" si="27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29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28"/>
        <v>OC6</v>
      </c>
      <c r="F416" t="str">
        <f t="shared" si="27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29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28"/>
        <v>OC6</v>
      </c>
      <c r="F417" t="str">
        <f t="shared" si="27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29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28"/>
        <v>OC6</v>
      </c>
      <c r="F418" t="str">
        <f t="shared" si="27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29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28"/>
        <v>OC6</v>
      </c>
      <c r="F419" t="str">
        <f t="shared" si="27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29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28"/>
        <v>OC6</v>
      </c>
      <c r="F420" t="str">
        <f t="shared" si="27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29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28"/>
        <v>OC6</v>
      </c>
      <c r="F421" t="str">
        <f t="shared" si="27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662.5687407407404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10964.187521777772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29"/>
        <v>10964.187521777772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30">Organ12</f>
        <v>OC12</v>
      </c>
      <c r="F422" t="str">
        <f t="shared" si="27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29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30"/>
        <v>OC12</v>
      </c>
      <c r="F423" t="str">
        <f t="shared" si="27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29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30"/>
        <v>OC12</v>
      </c>
      <c r="F424" t="str">
        <f t="shared" si="27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29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30"/>
        <v>OC12</v>
      </c>
      <c r="F425" t="str">
        <f t="shared" si="27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29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30"/>
        <v>OC12</v>
      </c>
      <c r="F426" t="str">
        <f t="shared" si="27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29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30"/>
        <v>OC12</v>
      </c>
      <c r="F427" t="str">
        <f t="shared" si="27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29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30"/>
        <v>OC12</v>
      </c>
      <c r="F428" t="str">
        <f t="shared" si="27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29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30"/>
        <v>OC12</v>
      </c>
      <c r="F429" t="str">
        <f t="shared" si="27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29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30"/>
        <v>OC12</v>
      </c>
      <c r="F430" t="str">
        <f t="shared" si="27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29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30"/>
        <v>OC12</v>
      </c>
      <c r="F431" t="str">
        <f t="shared" si="27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29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30"/>
        <v>OC12</v>
      </c>
      <c r="F432" t="str">
        <f t="shared" si="27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29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30"/>
        <v>OC12</v>
      </c>
      <c r="F433" t="str">
        <f t="shared" si="27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29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30"/>
        <v>OC12</v>
      </c>
      <c r="F434" t="str">
        <f t="shared" si="27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29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30"/>
        <v>OC12</v>
      </c>
      <c r="F435" t="str">
        <f t="shared" si="27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29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30"/>
        <v>OC12</v>
      </c>
      <c r="F436" t="str">
        <f t="shared" si="27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1039.4234458542505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10200.901697613614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3575.5014425110603</v>
      </c>
      <c r="J436" s="74">
        <f t="shared" si="29"/>
        <v>3575.5014425110603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30"/>
        <v>OC12</v>
      </c>
      <c r="F437" t="str">
        <f t="shared" si="27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18.879357376435923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102.02404726225973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32.526192100084025</v>
      </c>
      <c r="J437" s="74">
        <f t="shared" si="29"/>
        <v>32.526192100084025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30"/>
        <v>OC12</v>
      </c>
      <c r="F438" t="str">
        <f t="shared" si="27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92.221243178496934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568.08285797954102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325.82912312227609</v>
      </c>
      <c r="J438" s="74">
        <f t="shared" si="29"/>
        <v>325.82912312227609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30"/>
        <v>OC12</v>
      </c>
      <c r="F439" t="str">
        <f t="shared" si="27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677.69572474534289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47078.166606609477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29"/>
        <v>47078.166606609477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30"/>
        <v>OC12</v>
      </c>
      <c r="F440" t="str">
        <f t="shared" si="27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3.1896419604766248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92.659098951845948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29"/>
        <v>92.659098951845948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30"/>
        <v>OC12</v>
      </c>
      <c r="F441" t="str">
        <f t="shared" si="27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18.180578675197953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1081.0037409319552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29"/>
        <v>1081.0037409319552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30"/>
        <v>OC12</v>
      </c>
      <c r="F442" t="str">
        <f t="shared" si="27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20.936492564620558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2381.6353989628656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29"/>
        <v>2381.6353989628656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30"/>
        <v>OC12</v>
      </c>
      <c r="F443" t="str">
        <f t="shared" si="27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21.50444750263269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1340.0281416790535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29"/>
        <v>1340.0281416790535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30"/>
        <v>OC12</v>
      </c>
      <c r="F444" t="str">
        <f t="shared" si="27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7.8034365445890632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92.751646768985609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29"/>
        <v>92.751646768985609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30"/>
        <v>OC12</v>
      </c>
      <c r="F445" t="str">
        <f t="shared" si="27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55.720321686388786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2324.3353801158519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29"/>
        <v>2324.3353801158519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30"/>
        <v>OC12</v>
      </c>
      <c r="F446" t="str">
        <f t="shared" si="27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521.44066181544724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10431.110215426816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1860.923957352584</v>
      </c>
      <c r="J446" s="74">
        <f t="shared" si="29"/>
        <v>1860.923957352584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30"/>
        <v>OC12</v>
      </c>
      <c r="F447" t="str">
        <f t="shared" si="27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12.227940658851667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855.95584611961658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29"/>
        <v>855.95584611961658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30"/>
        <v>OC12</v>
      </c>
      <c r="F448" t="str">
        <f t="shared" si="27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37.300345620778415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1273.6703382704825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29"/>
        <v>1273.6703382704825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30"/>
        <v>OC12</v>
      </c>
      <c r="F449" t="str">
        <f t="shared" si="27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3400.2009155611872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65644.278875824282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29"/>
        <v>65644.278875824282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30"/>
        <v>OC12</v>
      </c>
      <c r="F450" t="str">
        <f t="shared" si="27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29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30"/>
        <v>OC12</v>
      </c>
      <c r="F451" t="str">
        <f t="shared" si="27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29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30"/>
        <v>OC12</v>
      </c>
      <c r="F452" t="str">
        <f t="shared" si="27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29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30"/>
        <v>OC12</v>
      </c>
      <c r="F453" t="str">
        <f t="shared" si="27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29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31">Organ12</f>
        <v>OC12</v>
      </c>
      <c r="F454" t="str">
        <f t="shared" si="27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29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31"/>
        <v>OC12</v>
      </c>
      <c r="F455" t="str">
        <f t="shared" si="27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29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31"/>
        <v>OC12</v>
      </c>
      <c r="F456" t="str">
        <f t="shared" si="27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29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31"/>
        <v>OC12</v>
      </c>
      <c r="F457" t="str">
        <f t="shared" si="27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29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31"/>
        <v>OC12</v>
      </c>
      <c r="F458" t="str">
        <f t="shared" si="27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29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31"/>
        <v>OC12</v>
      </c>
      <c r="F459" t="str">
        <f t="shared" si="27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29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31"/>
        <v>OC12</v>
      </c>
      <c r="F460" t="str">
        <f t="shared" si="27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29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31"/>
        <v>OC12</v>
      </c>
      <c r="F461" t="str">
        <f t="shared" si="27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29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31"/>
        <v>OC12</v>
      </c>
      <c r="F462" t="str">
        <f t="shared" si="27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29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31"/>
        <v>OC12</v>
      </c>
      <c r="F463" t="str">
        <f t="shared" si="27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515.75170370370324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9957.1023917036946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29"/>
        <v>9957.1023917036946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31"/>
        <v>OC12</v>
      </c>
      <c r="F464" t="str">
        <f t="shared" si="27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29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31"/>
        <v>OC12</v>
      </c>
      <c r="F465" t="str">
        <f t="shared" si="27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29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31"/>
        <v>OC12</v>
      </c>
      <c r="F466" t="str">
        <f t="shared" si="27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29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31"/>
        <v>OC12</v>
      </c>
      <c r="F467" t="str">
        <f t="shared" si="27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29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31"/>
        <v>OC12</v>
      </c>
      <c r="F468" t="str">
        <f t="shared" ref="F468:F505" si="32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29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31"/>
        <v>OC12</v>
      </c>
      <c r="F469" t="str">
        <f t="shared" si="32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33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31"/>
        <v>OC12</v>
      </c>
      <c r="F470" t="str">
        <f t="shared" si="32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33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31"/>
        <v>OC12</v>
      </c>
      <c r="F471" t="str">
        <f t="shared" si="32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33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31"/>
        <v>OC12</v>
      </c>
      <c r="F472" t="str">
        <f t="shared" si="32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33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31"/>
        <v>OC12</v>
      </c>
      <c r="F473" t="str">
        <f t="shared" si="32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33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31"/>
        <v>OC12</v>
      </c>
      <c r="F474" t="str">
        <f t="shared" si="32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33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31"/>
        <v>OC12</v>
      </c>
      <c r="F475" t="str">
        <f t="shared" si="32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33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31"/>
        <v>OC12</v>
      </c>
      <c r="F476" t="str">
        <f t="shared" si="32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33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31"/>
        <v>OC12</v>
      </c>
      <c r="F477" t="str">
        <f t="shared" si="32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33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31"/>
        <v>OC12</v>
      </c>
      <c r="F478" t="str">
        <f t="shared" si="32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347.50805836020203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2284.997536780505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800.9107656438058</v>
      </c>
      <c r="J478" s="74">
        <f t="shared" si="33"/>
        <v>800.9107656438058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31"/>
        <v>OC12</v>
      </c>
      <c r="F479" t="str">
        <f t="shared" si="32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6.3118922813807306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19.442395556491434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6.1984121364119842</v>
      </c>
      <c r="J479" s="74">
        <f t="shared" si="33"/>
        <v>6.1984121364119842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31"/>
        <v>OC12</v>
      </c>
      <c r="F480" t="str">
        <f t="shared" si="32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30.832116866658851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104.45921194424018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59.913537174644922</v>
      </c>
      <c r="J480" s="74">
        <f t="shared" si="33"/>
        <v>59.913537174644922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31"/>
        <v>OC12</v>
      </c>
      <c r="F481" t="str">
        <f t="shared" si="32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226.57245841872887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12276.837722317161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33"/>
        <v>12276.837722317161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31"/>
        <v>OC12</v>
      </c>
      <c r="F482" t="str">
        <f t="shared" si="32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1.0663856861901932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17.657747384780315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33"/>
        <v>17.657747384780315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31"/>
        <v>OC12</v>
      </c>
      <c r="F483" t="str">
        <f t="shared" si="32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6.0782711997520584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206.00341677506344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33"/>
        <v>206.00341677506344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31"/>
        <v>OC12</v>
      </c>
      <c r="F484" t="str">
        <f t="shared" si="32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6.9996495740238407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453.86062149592021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33"/>
        <v>453.86062149592021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31"/>
        <v>OC12</v>
      </c>
      <c r="F485" t="str">
        <f t="shared" si="32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7.1895326467329399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371.84708599926864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33"/>
        <v>371.84708599926864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34">Organ12</f>
        <v>OC12</v>
      </c>
      <c r="F486" t="str">
        <f t="shared" si="32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2.6089050549735591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17.675383925546964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33"/>
        <v>17.675383925546964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34"/>
        <v>OC12</v>
      </c>
      <c r="F487" t="str">
        <f t="shared" si="32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18.628847441986572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442.94114063123419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33"/>
        <v>442.94114063123419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34"/>
        <v>OC12</v>
      </c>
      <c r="F488" t="str">
        <f t="shared" si="32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174.33206135601603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1987.8232274040327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354.63031167931513</v>
      </c>
      <c r="J488" s="74">
        <f t="shared" ref="J488:J505" si="35">IF(I488&lt;&gt;0,I488,H488)</f>
        <v>354.63031167931513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34"/>
        <v>OC12</v>
      </c>
      <c r="F489" t="str">
        <f t="shared" si="32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4.0881393748137143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163.1167610550672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35"/>
        <v>163.1167610550672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34"/>
        <v>OC12</v>
      </c>
      <c r="F490" t="str">
        <f t="shared" si="32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12.470539061381483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242.71927246298594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35"/>
        <v>242.71927246298594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34"/>
        <v>OC12</v>
      </c>
      <c r="F491" t="str">
        <f t="shared" si="32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1136.7813790559183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21946.70130405356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35"/>
        <v>21946.70130405356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34"/>
        <v>OC12</v>
      </c>
      <c r="F492" t="str">
        <f t="shared" si="32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35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34"/>
        <v>OC12</v>
      </c>
      <c r="F493" t="str">
        <f t="shared" si="32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35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34"/>
        <v>OC12</v>
      </c>
      <c r="F494" t="str">
        <f t="shared" si="32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35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34"/>
        <v>OC12</v>
      </c>
      <c r="F495" t="str">
        <f t="shared" si="32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35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34"/>
        <v>OC12</v>
      </c>
      <c r="F496" t="str">
        <f t="shared" si="32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35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34"/>
        <v>OC12</v>
      </c>
      <c r="F497" t="str">
        <f t="shared" si="32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35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34"/>
        <v>OC12</v>
      </c>
      <c r="F498" t="str">
        <f t="shared" si="32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35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34"/>
        <v>OC12</v>
      </c>
      <c r="F499" t="str">
        <f t="shared" si="32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35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34"/>
        <v>OC12</v>
      </c>
      <c r="F500" t="str">
        <f t="shared" si="32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35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34"/>
        <v>OC12</v>
      </c>
      <c r="F501" t="str">
        <f t="shared" si="32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35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34"/>
        <v>OC12</v>
      </c>
      <c r="F502" t="str">
        <f t="shared" si="32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35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34"/>
        <v>OC12</v>
      </c>
      <c r="F503" t="str">
        <f t="shared" si="32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35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34"/>
        <v>OC12</v>
      </c>
      <c r="F504" t="str">
        <f t="shared" si="32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35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34"/>
        <v>OC12</v>
      </c>
      <c r="F505" t="str">
        <f t="shared" si="32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515.75170370370324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9957.1023917036946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35"/>
        <v>9957.1023917036946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11</vt:i4>
      </vt:variant>
    </vt:vector>
  </HeadingPairs>
  <TitlesOfParts>
    <vt:vector size="52" baseType="lpstr">
      <vt:lpstr>Overblik</vt:lpstr>
      <vt:lpstr>Resume</vt:lpstr>
      <vt:lpstr>Farvekoder</vt:lpstr>
      <vt:lpstr>Arealanvendelse</vt:lpstr>
      <vt:lpstr>Landbrug</vt:lpstr>
      <vt:lpstr>Landbrugsproduktivititet</vt:lpstr>
      <vt:lpstr>Græsprotein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2023-12-20T12:27:41Z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