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26D53EEC-937E-4E40-A467-733BB5C81197}" xr6:coauthVersionLast="47" xr6:coauthVersionMax="47" xr10:uidLastSave="{00000000-0000-0000-0000-000000000000}"/>
  <bookViews>
    <workbookView xWindow="-120" yWindow="-120" windowWidth="29040" windowHeight="1584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756" r:id="rId38"/>
    <pivotCache cacheId="1760" r:id="rId39"/>
    <pivotCache cacheId="1765" r:id="rId40"/>
    <pivotCache cacheId="1770" r:id="rId41"/>
    <pivotCache cacheId="1776" r:id="rId42"/>
    <pivotCache cacheId="1781" r:id="rId43"/>
    <pivotCache cacheId="1786" r:id="rId44"/>
    <pivotCache cacheId="1791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7" i="39" l="1"/>
  <c r="D5" i="39"/>
  <c r="D4" i="39"/>
  <c r="D3" i="39"/>
  <c r="E35" i="17"/>
  <c r="D17" i="17" l="1"/>
  <c r="E17" i="17" s="1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B12" i="32" l="1"/>
  <c r="G227" i="35"/>
  <c r="E12" i="32"/>
  <c r="G228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8" i="70"/>
  <c r="Q36" i="70"/>
  <c r="Q37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282" i="72" s="1" a="1"/>
  <c r="D282" i="72" s="1"/>
  <c r="D283" i="72" s="1" a="1"/>
  <c r="D283" i="72" s="1"/>
  <c r="D34" i="72" a="1"/>
  <c r="D34" i="72" s="1"/>
  <c r="D35" i="72" s="1" a="1"/>
  <c r="D35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3" i="34" l="1"/>
  <c r="D4" i="34"/>
  <c r="D5" i="34"/>
  <c r="E5" i="34" s="1"/>
  <c r="D6" i="34"/>
  <c r="E6" i="34" s="1"/>
  <c r="E7" i="34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4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F140" i="66"/>
  <c r="J459" i="41"/>
  <c r="I435" i="41"/>
  <c r="F284" i="66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J153" i="66"/>
  <c r="R153" i="66" s="1"/>
  <c r="P16" i="39"/>
  <c r="Q16" i="39" s="1"/>
  <c r="H478" i="41"/>
  <c r="H459" i="41"/>
  <c r="C40" i="63"/>
  <c r="R189" i="66"/>
  <c r="S189" i="66"/>
  <c r="P189" i="66"/>
  <c r="P9" i="66"/>
  <c r="S9" i="66"/>
  <c r="R9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T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R7" i="9"/>
  <c r="E32" i="22"/>
  <c r="R40" i="9"/>
  <c r="O40" i="9"/>
  <c r="O30" i="9"/>
  <c r="E39" i="22"/>
  <c r="P9" i="9"/>
  <c r="K42" i="39"/>
  <c r="E140" i="38" s="1"/>
  <c r="C42" i="39"/>
  <c r="E89" i="38" s="1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5" i="39" l="1"/>
  <c r="P15" i="39"/>
  <c r="Q15" i="39" s="1"/>
  <c r="D6" i="39"/>
  <c r="L42" i="39"/>
  <c r="E157" i="38" s="1"/>
  <c r="J236" i="66" s="1"/>
  <c r="D42" i="39"/>
  <c r="E106" i="38" s="1"/>
  <c r="J92" i="66" s="1"/>
  <c r="D15" i="39"/>
  <c r="AB3" i="3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92" i="66" l="1"/>
  <c r="P92" i="66"/>
  <c r="S92" i="66"/>
  <c r="F15" i="39"/>
  <c r="N236" i="66"/>
  <c r="S236" i="66"/>
  <c r="P236" i="66"/>
  <c r="M42" i="39"/>
  <c r="E174" i="38" s="1"/>
  <c r="J284" i="66" s="1"/>
  <c r="E42" i="39"/>
  <c r="E123" i="38" s="1"/>
  <c r="J140" i="66" s="1"/>
  <c r="E15" i="39"/>
  <c r="AC3" i="39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236" i="66" l="1"/>
  <c r="Q236" i="66" s="1"/>
  <c r="R236" i="66" s="1"/>
  <c r="T236" i="66" s="1"/>
  <c r="N140" i="66"/>
  <c r="G15" i="39"/>
  <c r="P140" i="66"/>
  <c r="S140" i="66"/>
  <c r="N284" i="66"/>
  <c r="P284" i="66"/>
  <c r="S284" i="66"/>
  <c r="Y236" i="66"/>
  <c r="Z92" i="66"/>
  <c r="O92" i="66"/>
  <c r="Q92" i="66" s="1"/>
  <c r="R92" i="66" s="1"/>
  <c r="T92" i="66" s="1"/>
  <c r="Z236" i="66"/>
  <c r="Y92" i="66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Z284" i="66"/>
  <c r="Y140" i="66"/>
  <c r="O140" i="66"/>
  <c r="Q140" i="66" s="1"/>
  <c r="R140" i="66" s="1"/>
  <c r="T140" i="66" s="1"/>
  <c r="Y284" i="66"/>
  <c r="Z140" i="66"/>
  <c r="Q44" i="66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220" i="72" l="1"/>
  <c r="G189" i="72"/>
  <c r="G34" i="72"/>
  <c r="G3" i="72"/>
  <c r="G251" i="72"/>
  <c r="G282" i="72"/>
  <c r="G65" i="72"/>
  <c r="G96" i="72"/>
  <c r="G158" i="72"/>
  <c r="G127" i="72"/>
  <c r="E127" i="72" l="1"/>
  <c r="F127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G252" i="72" l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E128" i="72" l="1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97" i="72"/>
  <c r="F97" i="72" s="1"/>
  <c r="I4" i="58"/>
  <c r="I4" i="37"/>
  <c r="J4" i="58"/>
  <c r="J4" i="37"/>
  <c r="E190" i="72"/>
  <c r="F190" i="72" s="1"/>
  <c r="E66" i="72"/>
  <c r="F66" i="72" s="1"/>
  <c r="E4" i="72"/>
  <c r="F4" i="72" s="1"/>
  <c r="E221" i="72"/>
  <c r="F221" i="72" s="1"/>
  <c r="E159" i="72"/>
  <c r="F159" i="72" s="1"/>
  <c r="E283" i="72"/>
  <c r="F283" i="72" s="1"/>
  <c r="E35" i="72"/>
  <c r="F35" i="72" s="1"/>
  <c r="E252" i="72"/>
  <c r="F252" i="72" s="1"/>
  <c r="H4" i="58" l="1"/>
  <c r="H4" i="37"/>
  <c r="F245" i="66"/>
  <c r="E37" i="53"/>
  <c r="O4" i="58"/>
  <c r="E25" i="53"/>
  <c r="F197" i="66"/>
  <c r="N4" i="58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19" i="53"/>
  <c r="F53" i="66"/>
  <c r="I4" i="41"/>
  <c r="D45" i="39" s="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129" i="72"/>
  <c r="F129" i="72" s="1"/>
  <c r="E31" i="53"/>
  <c r="J4" i="41"/>
  <c r="E45" i="39" s="1"/>
  <c r="F101" i="66"/>
  <c r="E253" i="72" l="1"/>
  <c r="F253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284" i="72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67" i="72"/>
  <c r="F67" i="72" s="1"/>
  <c r="G68" i="72" s="1"/>
  <c r="L45" i="39"/>
  <c r="M45" i="39"/>
  <c r="E191" i="72"/>
  <c r="F191" i="72" s="1"/>
  <c r="D59" i="39"/>
  <c r="D60" i="39" s="1"/>
  <c r="E107" i="38"/>
  <c r="D56" i="39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124" i="38"/>
  <c r="E59" i="39"/>
  <c r="E60" i="39" s="1"/>
  <c r="E56" i="39"/>
  <c r="E36" i="72"/>
  <c r="F36" i="72" s="1"/>
  <c r="E222" i="72"/>
  <c r="F222" i="72" s="1"/>
  <c r="E160" i="72"/>
  <c r="F160" i="72" s="1"/>
  <c r="H4" i="41"/>
  <c r="K45" i="39" s="1"/>
  <c r="F5" i="66"/>
  <c r="E7" i="53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5" i="72"/>
  <c r="F5" i="72" s="1"/>
  <c r="F149" i="66"/>
  <c r="E13" i="53"/>
  <c r="M4" i="58"/>
  <c r="H69" i="72" l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99" i="72"/>
  <c r="F99" i="72" s="1"/>
  <c r="G100" i="72" s="1"/>
  <c r="C45" i="39"/>
  <c r="J474" i="37"/>
  <c r="J466" i="37"/>
  <c r="J101" i="66"/>
  <c r="D31" i="53"/>
  <c r="F31" i="53" s="1"/>
  <c r="H37" i="53" s="1"/>
  <c r="E58" i="39"/>
  <c r="E57" i="39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161" i="72"/>
  <c r="F161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D57" i="39"/>
  <c r="D58" i="39"/>
  <c r="K59" i="39"/>
  <c r="K60" i="39" s="1"/>
  <c r="E141" i="38"/>
  <c r="K56" i="39"/>
  <c r="E130" i="72"/>
  <c r="F130" i="72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254" i="72"/>
  <c r="F254" i="72" s="1"/>
  <c r="I474" i="37"/>
  <c r="D19" i="53"/>
  <c r="F19" i="53" s="1"/>
  <c r="H25" i="53" s="1"/>
  <c r="J53" i="66"/>
  <c r="I466" i="37"/>
  <c r="E158" i="38"/>
  <c r="L59" i="39"/>
  <c r="L60" i="39" s="1"/>
  <c r="L56" i="39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75" i="38"/>
  <c r="M56" i="39"/>
  <c r="M59" i="39"/>
  <c r="M60" i="39" s="1"/>
  <c r="E285" i="72"/>
  <c r="F285" i="72" s="1"/>
  <c r="H101" i="72" l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100" i="72"/>
  <c r="F100" i="72" s="1"/>
  <c r="J479" i="37"/>
  <c r="F103" i="66"/>
  <c r="J489" i="37"/>
  <c r="F102" i="66"/>
  <c r="M58" i="39"/>
  <c r="M57" i="39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D37" i="53"/>
  <c r="F37" i="53" s="1"/>
  <c r="J245" i="66"/>
  <c r="J466" i="58"/>
  <c r="J466" i="41" s="1"/>
  <c r="J474" i="58"/>
  <c r="E192" i="72"/>
  <c r="F192" i="72" s="1"/>
  <c r="E223" i="72"/>
  <c r="F223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K58" i="39"/>
  <c r="K57" i="39"/>
  <c r="E69" i="72"/>
  <c r="F69" i="72" s="1"/>
  <c r="L58" i="39"/>
  <c r="L57" i="39"/>
  <c r="J149" i="66"/>
  <c r="H474" i="58"/>
  <c r="H466" i="58"/>
  <c r="D13" i="53"/>
  <c r="F13" i="53" s="1"/>
  <c r="H7" i="53" s="1"/>
  <c r="F55" i="66"/>
  <c r="I479" i="37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I474" i="58"/>
  <c r="I474" i="41" s="1"/>
  <c r="D25" i="53"/>
  <c r="F25" i="53" s="1"/>
  <c r="J197" i="66"/>
  <c r="I466" i="58"/>
  <c r="I489" i="37"/>
  <c r="F54" i="66"/>
  <c r="C56" i="39"/>
  <c r="C59" i="39"/>
  <c r="C60" i="39" s="1"/>
  <c r="E90" i="38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37" i="72"/>
  <c r="F37" i="72" s="1"/>
  <c r="W53" i="66"/>
  <c r="S53" i="66"/>
  <c r="E6" i="72"/>
  <c r="F6" i="72" s="1"/>
  <c r="S101" i="66"/>
  <c r="W101" i="66"/>
  <c r="E101" i="72" l="1"/>
  <c r="F101" i="72" s="1"/>
  <c r="E255" i="72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86" i="72"/>
  <c r="F286" i="72" s="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I480" i="37"/>
  <c r="E360" i="38"/>
  <c r="K55" i="66" s="1"/>
  <c r="N55" i="66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F198" i="66"/>
  <c r="I489" i="58"/>
  <c r="I489" i="41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S197" i="66"/>
  <c r="W197" i="66"/>
  <c r="H19" i="53"/>
  <c r="G19" i="53" s="1"/>
  <c r="G25" i="53"/>
  <c r="F199" i="66"/>
  <c r="I479" i="58"/>
  <c r="I479" i="41" s="1"/>
  <c r="F150" i="66"/>
  <c r="H489" i="58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H474" i="37"/>
  <c r="D7" i="53"/>
  <c r="F7" i="53" s="1"/>
  <c r="H466" i="37"/>
  <c r="J5" i="66"/>
  <c r="H479" i="58"/>
  <c r="F151" i="66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L102" i="66"/>
  <c r="P102" i="66" s="1"/>
  <c r="S149" i="66"/>
  <c r="W149" i="66"/>
  <c r="E131" i="72"/>
  <c r="F131" i="72" s="1"/>
  <c r="F247" i="66"/>
  <c r="J479" i="58"/>
  <c r="J479" i="41" s="1"/>
  <c r="C58" i="39"/>
  <c r="C57" i="39"/>
  <c r="J489" i="58"/>
  <c r="J489" i="41" s="1"/>
  <c r="F246" i="66"/>
  <c r="I466" i="4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S245" i="66"/>
  <c r="W245" i="66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L54" i="66"/>
  <c r="P54" i="66" s="1"/>
  <c r="G37" i="53"/>
  <c r="H31" i="53"/>
  <c r="G31" i="53" s="1"/>
  <c r="J474" i="41"/>
  <c r="J480" i="37"/>
  <c r="E366" i="38"/>
  <c r="K103" i="66" s="1"/>
  <c r="N103" i="66" s="1"/>
  <c r="E163" i="72" l="1"/>
  <c r="F163" i="72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E38" i="72"/>
  <c r="F38" i="72" s="1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N102" i="66"/>
  <c r="J480" i="58"/>
  <c r="E385" i="38" s="1"/>
  <c r="K266" i="66" s="1"/>
  <c r="N266" i="66" s="1"/>
  <c r="E384" i="38"/>
  <c r="K247" i="66" s="1"/>
  <c r="N247" i="66" s="1"/>
  <c r="Y103" i="66" s="1"/>
  <c r="E313" i="38"/>
  <c r="E307" i="38"/>
  <c r="E256" i="72"/>
  <c r="F256" i="72" s="1"/>
  <c r="H474" i="41"/>
  <c r="F7" i="66"/>
  <c r="H479" i="37"/>
  <c r="E102" i="72"/>
  <c r="F102" i="72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L198" i="66"/>
  <c r="P198" i="66" s="1"/>
  <c r="E367" i="38"/>
  <c r="K122" i="66" s="1"/>
  <c r="N122" i="66" s="1"/>
  <c r="N54" i="66"/>
  <c r="E70" i="72"/>
  <c r="F70" i="72" s="1"/>
  <c r="E372" i="38"/>
  <c r="K151" i="66" s="1"/>
  <c r="N151" i="66" s="1"/>
  <c r="H480" i="58"/>
  <c r="E373" i="38" s="1"/>
  <c r="K170" i="66" s="1"/>
  <c r="N170" i="66" s="1"/>
  <c r="E224" i="72"/>
  <c r="F224" i="72" s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25" i="38"/>
  <c r="M197" i="66" s="1"/>
  <c r="E319" i="38"/>
  <c r="L246" i="66"/>
  <c r="P246" i="66" s="1"/>
  <c r="W5" i="66"/>
  <c r="S5" i="66"/>
  <c r="L150" i="66"/>
  <c r="P150" i="66" s="1"/>
  <c r="V150" i="66" s="1"/>
  <c r="X150" i="66" s="1"/>
  <c r="E361" i="38"/>
  <c r="K74" i="66" s="1"/>
  <c r="N74" i="66" s="1"/>
  <c r="E337" i="38"/>
  <c r="E331" i="38"/>
  <c r="F6" i="66"/>
  <c r="H489" i="37"/>
  <c r="H489" i="41" s="1"/>
  <c r="H466" i="41"/>
  <c r="E378" i="38"/>
  <c r="K199" i="66" s="1"/>
  <c r="N199" i="66" s="1"/>
  <c r="Z55" i="66" s="1"/>
  <c r="I480" i="58"/>
  <c r="E379" i="38" s="1"/>
  <c r="K218" i="66" s="1"/>
  <c r="N218" i="66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349" i="38"/>
  <c r="M245" i="66" s="1"/>
  <c r="E343" i="38"/>
  <c r="E193" i="72"/>
  <c r="F193" i="72" s="1"/>
  <c r="H13" i="53"/>
  <c r="G13" i="53" s="1"/>
  <c r="G7" i="53"/>
  <c r="Z247" i="66" l="1"/>
  <c r="Y247" i="66"/>
  <c r="Z199" i="66"/>
  <c r="Z103" i="66"/>
  <c r="Y55" i="66"/>
  <c r="Y199" i="66"/>
  <c r="E164" i="72"/>
  <c r="F164" i="72" s="1"/>
  <c r="E287" i="72"/>
  <c r="F287" i="72" s="1"/>
  <c r="N198" i="66"/>
  <c r="O198" i="66" s="1"/>
  <c r="J480" i="41"/>
  <c r="C20" i="8"/>
  <c r="M53" i="66"/>
  <c r="F18" i="39" s="1"/>
  <c r="E39" i="72"/>
  <c r="F39" i="72" s="1"/>
  <c r="Y266" i="66"/>
  <c r="Z266" i="66"/>
  <c r="Z122" i="66"/>
  <c r="Y122" i="66"/>
  <c r="E132" i="72"/>
  <c r="F132" i="72" s="1"/>
  <c r="I480" i="4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71" i="72"/>
  <c r="F71" i="72" s="1"/>
  <c r="Y54" i="66"/>
  <c r="Y74" i="66"/>
  <c r="Y218" i="66"/>
  <c r="Z74" i="66"/>
  <c r="Z218" i="66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289" i="38"/>
  <c r="E283" i="38"/>
  <c r="N150" i="66"/>
  <c r="N246" i="66"/>
  <c r="E8" i="72"/>
  <c r="F8" i="72" s="1"/>
  <c r="H479" i="41"/>
  <c r="H480" i="37"/>
  <c r="E354" i="38"/>
  <c r="K7" i="66" s="1"/>
  <c r="N7" i="66" s="1"/>
  <c r="E295" i="38"/>
  <c r="E301" i="38"/>
  <c r="M149" i="66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L6" i="66"/>
  <c r="P6" i="66" s="1"/>
  <c r="V6" i="66" s="1"/>
  <c r="X6" i="66" s="1"/>
  <c r="L101" i="66"/>
  <c r="J486" i="37"/>
  <c r="I486" i="58"/>
  <c r="L197" i="66"/>
  <c r="O54" i="66"/>
  <c r="Y198" i="66"/>
  <c r="D20" i="8"/>
  <c r="M101" i="66"/>
  <c r="G18" i="39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J486" i="58"/>
  <c r="L245" i="66"/>
  <c r="I486" i="37"/>
  <c r="L53" i="66"/>
  <c r="Z198" i="66" l="1"/>
  <c r="Z54" i="66"/>
  <c r="P101" i="66"/>
  <c r="N101" i="66"/>
  <c r="P53" i="66"/>
  <c r="N53" i="66"/>
  <c r="P197" i="66"/>
  <c r="N197" i="66"/>
  <c r="N245" i="66"/>
  <c r="P245" i="66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N6" i="66"/>
  <c r="Y6" i="66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194" i="72"/>
  <c r="F194" i="72" s="1"/>
  <c r="H486" i="37"/>
  <c r="L5" i="66"/>
  <c r="E165" i="72"/>
  <c r="F165" i="72" s="1"/>
  <c r="E103" i="72"/>
  <c r="F103" i="72" s="1"/>
  <c r="I486" i="41"/>
  <c r="Z6" i="66"/>
  <c r="O6" i="66"/>
  <c r="Z150" i="66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B20" i="8"/>
  <c r="M5" i="66"/>
  <c r="Q54" i="66"/>
  <c r="U54" i="66"/>
  <c r="V54" i="66"/>
  <c r="X54" i="66" s="1"/>
  <c r="Z7" i="66"/>
  <c r="Y151" i="66"/>
  <c r="Z151" i="66"/>
  <c r="Y7" i="66"/>
  <c r="E355" i="38"/>
  <c r="K26" i="66" s="1"/>
  <c r="N26" i="66" s="1"/>
  <c r="H480" i="41"/>
  <c r="J486" i="41"/>
  <c r="H486" i="58"/>
  <c r="L149" i="66"/>
  <c r="V198" i="66"/>
  <c r="X198" i="66" s="1"/>
  <c r="U198" i="66"/>
  <c r="Q198" i="66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225" i="72"/>
  <c r="F225" i="72" s="1"/>
  <c r="O246" i="66"/>
  <c r="Z246" i="66"/>
  <c r="Y102" i="66"/>
  <c r="O102" i="66"/>
  <c r="Z102" i="66"/>
  <c r="Y246" i="66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Y150" i="66" l="1"/>
  <c r="O245" i="66"/>
  <c r="O197" i="66"/>
  <c r="U197" i="66" s="1"/>
  <c r="Z101" i="66"/>
  <c r="Y245" i="66"/>
  <c r="Z245" i="66"/>
  <c r="Y101" i="66"/>
  <c r="O101" i="66"/>
  <c r="Z53" i="66"/>
  <c r="Y53" i="66"/>
  <c r="Y197" i="66"/>
  <c r="O53" i="66"/>
  <c r="Z197" i="66"/>
  <c r="R149" i="66"/>
  <c r="T149" i="66" s="1"/>
  <c r="P149" i="66"/>
  <c r="V149" i="66" s="1"/>
  <c r="X149" i="66" s="1"/>
  <c r="N149" i="66"/>
  <c r="R5" i="66"/>
  <c r="T5" i="66" s="1"/>
  <c r="P5" i="66"/>
  <c r="V5" i="66" s="1"/>
  <c r="X5" i="66" s="1"/>
  <c r="N5" i="66"/>
  <c r="Q197" i="66"/>
  <c r="R197" i="66" s="1"/>
  <c r="T197" i="66" s="1"/>
  <c r="V197" i="66"/>
  <c r="X197" i="66" s="1"/>
  <c r="E258" i="72"/>
  <c r="F258" i="72" s="1"/>
  <c r="V245" i="66"/>
  <c r="X245" i="66" s="1"/>
  <c r="Q245" i="66"/>
  <c r="R245" i="66" s="1"/>
  <c r="T245" i="66" s="1"/>
  <c r="U245" i="66"/>
  <c r="O150" i="66"/>
  <c r="E288" i="72"/>
  <c r="F288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V102" i="66"/>
  <c r="X102" i="66" s="1"/>
  <c r="Q102" i="66"/>
  <c r="U102" i="66"/>
  <c r="E40" i="72"/>
  <c r="F40" i="72" s="1"/>
  <c r="U6" i="66"/>
  <c r="Q6" i="66"/>
  <c r="U246" i="66"/>
  <c r="V246" i="66"/>
  <c r="X246" i="66" s="1"/>
  <c r="Q246" i="66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9" i="72"/>
  <c r="F9" i="72" s="1"/>
  <c r="E72" i="72"/>
  <c r="F72" i="72" s="1"/>
  <c r="H486" i="41"/>
  <c r="Z170" i="66"/>
  <c r="Z26" i="66"/>
  <c r="Y26" i="66"/>
  <c r="Y170" i="66"/>
  <c r="E133" i="72"/>
  <c r="F133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Q150" i="66" l="1"/>
  <c r="U150" i="66"/>
  <c r="O149" i="66"/>
  <c r="U53" i="66"/>
  <c r="Q53" i="66"/>
  <c r="R53" i="66" s="1"/>
  <c r="T53" i="66" s="1"/>
  <c r="V53" i="66"/>
  <c r="X53" i="66" s="1"/>
  <c r="V101" i="66"/>
  <c r="X101" i="66" s="1"/>
  <c r="U101" i="66"/>
  <c r="Q101" i="66"/>
  <c r="R101" i="66" s="1"/>
  <c r="T101" i="66" s="1"/>
  <c r="Y5" i="66"/>
  <c r="O5" i="66"/>
  <c r="Z5" i="66"/>
  <c r="Z149" i="66"/>
  <c r="Y149" i="66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66" i="72"/>
  <c r="F166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95" i="72"/>
  <c r="F195" i="72" s="1"/>
  <c r="E226" i="72"/>
  <c r="F226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104" i="72"/>
  <c r="F104" i="72" s="1"/>
  <c r="E259" i="72"/>
  <c r="F259" i="72" s="1"/>
  <c r="E289" i="72" l="1"/>
  <c r="F289" i="72" s="1"/>
  <c r="Q5" i="66"/>
  <c r="U5" i="66"/>
  <c r="Q149" i="66"/>
  <c r="U149" i="66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134" i="72"/>
  <c r="F134" i="72" s="1"/>
  <c r="G135" i="72" s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41" i="72"/>
  <c r="F41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10" i="72"/>
  <c r="F10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E290" i="72" l="1"/>
  <c r="F290" i="72" s="1"/>
  <c r="E167" i="72"/>
  <c r="F167" i="72" s="1"/>
  <c r="G168" i="72" s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35" i="72"/>
  <c r="F135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96" i="72"/>
  <c r="F196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05" i="72"/>
  <c r="F105" i="72" s="1"/>
  <c r="E227" i="72"/>
  <c r="F227" i="72" s="1"/>
  <c r="E260" i="72"/>
  <c r="F260" i="72" s="1"/>
  <c r="G291" i="72" l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74" i="72"/>
  <c r="F74" i="72" s="1"/>
  <c r="E42" i="72"/>
  <c r="F42" i="72" s="1"/>
  <c r="E168" i="72"/>
  <c r="F168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11" i="72"/>
  <c r="F11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291" i="72" l="1"/>
  <c r="F291" i="72" s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136" i="72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261" i="72"/>
  <c r="F261" i="72" s="1"/>
  <c r="E197" i="72"/>
  <c r="F197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06" i="72"/>
  <c r="F106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292" i="72" l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169" i="72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3" i="72"/>
  <c r="F43" i="72" s="1"/>
  <c r="G44" i="72" s="1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37" i="72"/>
  <c r="F137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75" i="72"/>
  <c r="F75" i="72" s="1"/>
  <c r="E229" i="72"/>
  <c r="F229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2" i="72"/>
  <c r="F12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292" i="72" l="1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262" i="72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44" i="72"/>
  <c r="F44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98" i="72"/>
  <c r="F198" i="72" s="1"/>
  <c r="E170" i="72"/>
  <c r="F170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293" i="72" l="1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63" i="72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108" i="72"/>
  <c r="F108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76" i="72"/>
  <c r="F76" i="72" s="1"/>
  <c r="E13" i="72"/>
  <c r="F13" i="72" s="1"/>
  <c r="E230" i="72"/>
  <c r="F230" i="72" s="1"/>
  <c r="E138" i="72"/>
  <c r="F138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294" i="72" l="1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199" i="72"/>
  <c r="F199" i="72" s="1"/>
  <c r="E171" i="72"/>
  <c r="F171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45" i="72"/>
  <c r="F45" i="72" s="1"/>
  <c r="E264" i="72"/>
  <c r="F264" i="72" s="1"/>
  <c r="E295" i="72" l="1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77" i="72"/>
  <c r="F77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4" i="72"/>
  <c r="F14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31" i="72"/>
  <c r="F231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09" i="72"/>
  <c r="F109" i="72" s="1"/>
  <c r="E139" i="72"/>
  <c r="F139" i="72" s="1"/>
  <c r="E296" i="72" l="1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46" i="72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200" i="72"/>
  <c r="F200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172" i="72"/>
  <c r="F172" i="72" s="1"/>
  <c r="E297" i="72" l="1"/>
  <c r="F297" i="72" s="1"/>
  <c r="E140" i="72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47" i="72"/>
  <c r="F47" i="72" s="1"/>
  <c r="G48" i="72" s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78" i="72"/>
  <c r="F78" i="72" s="1"/>
  <c r="E232" i="72"/>
  <c r="F232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15" i="72"/>
  <c r="F15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110" i="72"/>
  <c r="F110" i="72" s="1"/>
  <c r="E266" i="72"/>
  <c r="F266" i="72" s="1"/>
  <c r="E298" i="72" l="1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48" i="72"/>
  <c r="F48" i="72" s="1"/>
  <c r="E201" i="72"/>
  <c r="F201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141" i="72"/>
  <c r="F141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173" i="72"/>
  <c r="F173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6" i="72" l="1"/>
  <c r="F16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267" i="72"/>
  <c r="F267" i="72" s="1"/>
  <c r="E233" i="72"/>
  <c r="F233" i="72" s="1"/>
  <c r="E79" i="72"/>
  <c r="F79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99" i="72"/>
  <c r="F299" i="72" s="1"/>
  <c r="E174" i="72" l="1"/>
  <c r="F174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12" i="72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202" i="72"/>
  <c r="F202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142" i="72"/>
  <c r="F142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17" i="72" l="1"/>
  <c r="F17" i="72" s="1"/>
  <c r="E300" i="72"/>
  <c r="F300" i="72" s="1"/>
  <c r="E175" i="72"/>
  <c r="F175" i="72" s="1"/>
  <c r="G176" i="72" s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68" i="72"/>
  <c r="F268" i="72" s="1"/>
  <c r="E50" i="72"/>
  <c r="F50" i="72" s="1"/>
  <c r="E234" i="72"/>
  <c r="F234" i="72" s="1"/>
  <c r="E113" i="72"/>
  <c r="F113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80" i="72"/>
  <c r="F80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81" i="72" l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143" i="72"/>
  <c r="F143" i="72" s="1"/>
  <c r="E18" i="72"/>
  <c r="F18" i="72" s="1"/>
  <c r="E176" i="72"/>
  <c r="F176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03" i="72"/>
  <c r="F203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301" i="72"/>
  <c r="F301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69" i="72" l="1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51" i="72"/>
  <c r="F51" i="72" s="1"/>
  <c r="E235" i="72"/>
  <c r="F235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114" i="72"/>
  <c r="F114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81" i="72"/>
  <c r="F81" i="72" s="1"/>
  <c r="E144" i="72" l="1"/>
  <c r="F144" i="72" s="1"/>
  <c r="E19" i="72"/>
  <c r="F19" i="72" s="1"/>
  <c r="E270" i="72"/>
  <c r="F270" i="72" s="1"/>
  <c r="E177" i="72"/>
  <c r="F177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204" i="72"/>
  <c r="F204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302" i="72"/>
  <c r="F302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20" i="72" l="1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5" i="72"/>
  <c r="F145" i="72" s="1"/>
  <c r="E236" i="72"/>
  <c r="F236" i="72" s="1"/>
  <c r="E82" i="72"/>
  <c r="F82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271" i="72"/>
  <c r="F271" i="72" s="1"/>
  <c r="E115" i="72"/>
  <c r="F115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52" i="72"/>
  <c r="F52" i="72" s="1"/>
  <c r="E20" i="72"/>
  <c r="F20" i="72" s="1"/>
  <c r="E303" i="72" l="1"/>
  <c r="F303" i="72" s="1"/>
  <c r="G304" i="72" s="1"/>
  <c r="H305" i="72" s="1"/>
  <c r="I306" i="72" s="1"/>
  <c r="J307" i="72" s="1"/>
  <c r="K308" i="72" s="1"/>
  <c r="L309" i="72" s="1"/>
  <c r="M310" i="72" s="1"/>
  <c r="N311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178" i="72"/>
  <c r="F178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205" i="72"/>
  <c r="F205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21" i="72" l="1"/>
  <c r="F21" i="72" s="1"/>
  <c r="G22" i="72" s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46" i="72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E83" i="72"/>
  <c r="F83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272" i="72"/>
  <c r="F272" i="72" s="1"/>
  <c r="E116" i="72"/>
  <c r="F116" i="72" s="1"/>
  <c r="E304" i="72"/>
  <c r="F304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237" i="72"/>
  <c r="F237" i="72" s="1"/>
  <c r="E53" i="72"/>
  <c r="F53" i="72" s="1"/>
  <c r="E179" i="72" l="1"/>
  <c r="F179" i="72" s="1"/>
  <c r="E22" i="72"/>
  <c r="F22" i="72" s="1"/>
  <c r="G305" i="72"/>
  <c r="H306" i="72" s="1"/>
  <c r="I307" i="72" s="1"/>
  <c r="J308" i="72" s="1"/>
  <c r="K309" i="72" s="1"/>
  <c r="L310" i="72" s="1"/>
  <c r="M311" i="72" s="1"/>
  <c r="E147" i="72"/>
  <c r="F147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G273" i="72"/>
  <c r="H274" i="72" s="1"/>
  <c r="I275" i="72" s="1"/>
  <c r="J276" i="72" s="1"/>
  <c r="K277" i="72" s="1"/>
  <c r="L278" i="72" s="1"/>
  <c r="M279" i="72" s="1"/>
  <c r="N280" i="72" s="1"/>
  <c r="E206" i="72"/>
  <c r="F206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54" i="72" l="1"/>
  <c r="F54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273" i="72"/>
  <c r="F273" i="72" s="1"/>
  <c r="E117" i="72"/>
  <c r="F117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84" i="72"/>
  <c r="F84" i="72" s="1"/>
  <c r="E305" i="72"/>
  <c r="F305" i="72" s="1"/>
  <c r="E238" i="72"/>
  <c r="F238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G180" i="72"/>
  <c r="H181" i="72" s="1"/>
  <c r="I182" i="72" s="1"/>
  <c r="J183" i="72" s="1"/>
  <c r="K184" i="72" s="1"/>
  <c r="L185" i="72" s="1"/>
  <c r="M186" i="72" s="1"/>
  <c r="N187" i="72" s="1"/>
  <c r="E180" i="72" l="1"/>
  <c r="F180" i="72" s="1"/>
  <c r="G181" i="72" s="1"/>
  <c r="H182" i="72" s="1"/>
  <c r="I183" i="72" s="1"/>
  <c r="J184" i="72" s="1"/>
  <c r="K185" i="72" s="1"/>
  <c r="L186" i="72" s="1"/>
  <c r="M187" i="72" s="1"/>
  <c r="E23" i="72"/>
  <c r="F23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306" i="72"/>
  <c r="H307" i="72" s="1"/>
  <c r="I308" i="72" s="1"/>
  <c r="J309" i="72" s="1"/>
  <c r="K310" i="72" s="1"/>
  <c r="L311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148" i="72"/>
  <c r="F148" i="72" s="1"/>
  <c r="G118" i="72"/>
  <c r="H119" i="72" s="1"/>
  <c r="I120" i="72" s="1"/>
  <c r="J121" i="72" s="1"/>
  <c r="K122" i="72" s="1"/>
  <c r="L123" i="72" s="1"/>
  <c r="M124" i="72" s="1"/>
  <c r="N125" i="72" s="1"/>
  <c r="G274" i="72"/>
  <c r="H275" i="72" s="1"/>
  <c r="I276" i="72" s="1"/>
  <c r="J277" i="72" s="1"/>
  <c r="K278" i="72" s="1"/>
  <c r="L279" i="72" s="1"/>
  <c r="M280" i="72" s="1"/>
  <c r="E207" i="72"/>
  <c r="F207" i="72" s="1"/>
  <c r="G55" i="72"/>
  <c r="H56" i="72" s="1"/>
  <c r="I57" i="72" s="1"/>
  <c r="J58" i="72" s="1"/>
  <c r="K59" i="72" s="1"/>
  <c r="L60" i="72" s="1"/>
  <c r="M61" i="72" s="1"/>
  <c r="N62" i="72" s="1"/>
  <c r="O63" i="72" s="1"/>
  <c r="E274" i="72" l="1"/>
  <c r="F274" i="72" s="1"/>
  <c r="E118" i="72"/>
  <c r="F118" i="72" s="1"/>
  <c r="G149" i="72"/>
  <c r="H150" i="72" s="1"/>
  <c r="I151" i="72" s="1"/>
  <c r="J152" i="72" s="1"/>
  <c r="K153" i="72" s="1"/>
  <c r="L154" i="72" s="1"/>
  <c r="M155" i="72" s="1"/>
  <c r="N156" i="72" s="1"/>
  <c r="E85" i="72"/>
  <c r="F85" i="72" s="1"/>
  <c r="E55" i="72"/>
  <c r="F55" i="72" s="1"/>
  <c r="E306" i="72"/>
  <c r="F306" i="72" s="1"/>
  <c r="E181" i="72"/>
  <c r="F181" i="72" s="1"/>
  <c r="E239" i="72"/>
  <c r="F239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24" i="72"/>
  <c r="H25" i="72" s="1"/>
  <c r="I26" i="72" s="1"/>
  <c r="J27" i="72" s="1"/>
  <c r="K28" i="72" s="1"/>
  <c r="L29" i="72" s="1"/>
  <c r="M30" i="72" s="1"/>
  <c r="N31" i="72" s="1"/>
  <c r="O32" i="72" s="1"/>
  <c r="E208" i="72" l="1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182" i="72"/>
  <c r="H183" i="72" s="1"/>
  <c r="I184" i="72" s="1"/>
  <c r="J185" i="72" s="1"/>
  <c r="K186" i="72" s="1"/>
  <c r="L187" i="72" s="1"/>
  <c r="G307" i="72"/>
  <c r="H308" i="72" s="1"/>
  <c r="I309" i="72" s="1"/>
  <c r="J310" i="72" s="1"/>
  <c r="K311" i="72" s="1"/>
  <c r="G56" i="72"/>
  <c r="H57" i="72" s="1"/>
  <c r="I58" i="72" s="1"/>
  <c r="J59" i="72" s="1"/>
  <c r="K60" i="72" s="1"/>
  <c r="L61" i="72" s="1"/>
  <c r="M62" i="72" s="1"/>
  <c r="N63" i="72" s="1"/>
  <c r="G86" i="72"/>
  <c r="H87" i="72" s="1"/>
  <c r="I88" i="72" s="1"/>
  <c r="J89" i="72" s="1"/>
  <c r="K90" i="72" s="1"/>
  <c r="L91" i="72" s="1"/>
  <c r="M92" i="72" s="1"/>
  <c r="N93" i="72" s="1"/>
  <c r="O94" i="72" s="1"/>
  <c r="E149" i="72"/>
  <c r="F149" i="72" s="1"/>
  <c r="G119" i="72"/>
  <c r="H120" i="72" s="1"/>
  <c r="I121" i="72" s="1"/>
  <c r="J122" i="72" s="1"/>
  <c r="K123" i="72" s="1"/>
  <c r="L124" i="72" s="1"/>
  <c r="M125" i="72" s="1"/>
  <c r="E24" i="72"/>
  <c r="F24" i="72" s="1"/>
  <c r="G275" i="72"/>
  <c r="H276" i="72" s="1"/>
  <c r="I277" i="72" s="1"/>
  <c r="J278" i="72" s="1"/>
  <c r="K279" i="72" s="1"/>
  <c r="L280" i="72" s="1"/>
  <c r="E119" i="72" l="1"/>
  <c r="F119" i="72" s="1"/>
  <c r="G120" i="72" s="1"/>
  <c r="H121" i="72" s="1"/>
  <c r="I122" i="72" s="1"/>
  <c r="J123" i="72" s="1"/>
  <c r="K124" i="72" s="1"/>
  <c r="L125" i="72" s="1"/>
  <c r="E86" i="72"/>
  <c r="F86" i="72" s="1"/>
  <c r="E56" i="72"/>
  <c r="F56" i="72" s="1"/>
  <c r="E209" i="72"/>
  <c r="F209" i="72" s="1"/>
  <c r="E275" i="72"/>
  <c r="F275" i="72" s="1"/>
  <c r="E307" i="72"/>
  <c r="F307" i="72" s="1"/>
  <c r="G25" i="72"/>
  <c r="H26" i="72" s="1"/>
  <c r="I27" i="72" s="1"/>
  <c r="J28" i="72" s="1"/>
  <c r="K29" i="72" s="1"/>
  <c r="L30" i="72" s="1"/>
  <c r="M31" i="72" s="1"/>
  <c r="N32" i="72" s="1"/>
  <c r="E182" i="72"/>
  <c r="F182" i="72" s="1"/>
  <c r="E240" i="72"/>
  <c r="F240" i="72" s="1"/>
  <c r="G150" i="72"/>
  <c r="H151" i="72" s="1"/>
  <c r="I152" i="72" s="1"/>
  <c r="J153" i="72" s="1"/>
  <c r="K154" i="72" s="1"/>
  <c r="L155" i="72" s="1"/>
  <c r="M156" i="72" s="1"/>
  <c r="G241" i="72" l="1"/>
  <c r="H242" i="72" s="1"/>
  <c r="I243" i="72" s="1"/>
  <c r="J244" i="72" s="1"/>
  <c r="K245" i="72" s="1"/>
  <c r="L246" i="72" s="1"/>
  <c r="M247" i="72" s="1"/>
  <c r="N248" i="72" s="1"/>
  <c r="O249" i="72" s="1"/>
  <c r="E120" i="72"/>
  <c r="F120" i="72" s="1"/>
  <c r="G183" i="72"/>
  <c r="H184" i="72" s="1"/>
  <c r="I185" i="72" s="1"/>
  <c r="J186" i="72" s="1"/>
  <c r="K187" i="72" s="1"/>
  <c r="E25" i="72"/>
  <c r="F25" i="72" s="1"/>
  <c r="G308" i="72"/>
  <c r="H309" i="72" s="1"/>
  <c r="I310" i="72" s="1"/>
  <c r="J311" i="72" s="1"/>
  <c r="G276" i="72"/>
  <c r="H277" i="72" s="1"/>
  <c r="I278" i="72" s="1"/>
  <c r="J279" i="72" s="1"/>
  <c r="K280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G57" i="72"/>
  <c r="H58" i="72" s="1"/>
  <c r="I59" i="72" s="1"/>
  <c r="J60" i="72" s="1"/>
  <c r="K61" i="72" s="1"/>
  <c r="L62" i="72" s="1"/>
  <c r="M63" i="72" s="1"/>
  <c r="E150" i="72"/>
  <c r="F150" i="72" s="1"/>
  <c r="G87" i="72"/>
  <c r="H88" i="72" s="1"/>
  <c r="I89" i="72" s="1"/>
  <c r="J90" i="72" s="1"/>
  <c r="K91" i="72" s="1"/>
  <c r="L92" i="72" s="1"/>
  <c r="M93" i="72" s="1"/>
  <c r="N94" i="72" s="1"/>
  <c r="E210" i="72" l="1"/>
  <c r="F210" i="72" s="1"/>
  <c r="E276" i="72"/>
  <c r="F276" i="72" s="1"/>
  <c r="E308" i="72"/>
  <c r="F308" i="72" s="1"/>
  <c r="G26" i="72"/>
  <c r="H27" i="72" s="1"/>
  <c r="I28" i="72" s="1"/>
  <c r="J29" i="72" s="1"/>
  <c r="K30" i="72" s="1"/>
  <c r="L31" i="72" s="1"/>
  <c r="M32" i="72" s="1"/>
  <c r="E87" i="72"/>
  <c r="F87" i="72" s="1"/>
  <c r="E183" i="72"/>
  <c r="F183" i="72" s="1"/>
  <c r="G151" i="72"/>
  <c r="H152" i="72" s="1"/>
  <c r="I153" i="72" s="1"/>
  <c r="J154" i="72" s="1"/>
  <c r="K155" i="72" s="1"/>
  <c r="L156" i="72" s="1"/>
  <c r="G121" i="72"/>
  <c r="H122" i="72" s="1"/>
  <c r="I123" i="72" s="1"/>
  <c r="J124" i="72" s="1"/>
  <c r="K125" i="72" s="1"/>
  <c r="E57" i="72"/>
  <c r="F57" i="72" s="1"/>
  <c r="E241" i="72"/>
  <c r="F241" i="72" s="1"/>
  <c r="E121" i="72" l="1"/>
  <c r="F121" i="72" s="1"/>
  <c r="G122" i="72" s="1"/>
  <c r="H123" i="72" s="1"/>
  <c r="I124" i="72" s="1"/>
  <c r="J125" i="72" s="1"/>
  <c r="G58" i="72"/>
  <c r="H59" i="72" s="1"/>
  <c r="I60" i="72" s="1"/>
  <c r="J61" i="72" s="1"/>
  <c r="K62" i="72" s="1"/>
  <c r="L63" i="72" s="1"/>
  <c r="E151" i="72"/>
  <c r="F151" i="72" s="1"/>
  <c r="G184" i="72"/>
  <c r="H185" i="72" s="1"/>
  <c r="I186" i="72" s="1"/>
  <c r="J187" i="72" s="1"/>
  <c r="G88" i="72"/>
  <c r="H89" i="72" s="1"/>
  <c r="I90" i="72" s="1"/>
  <c r="J91" i="72" s="1"/>
  <c r="K92" i="72" s="1"/>
  <c r="L93" i="72" s="1"/>
  <c r="M94" i="72" s="1"/>
  <c r="E26" i="72"/>
  <c r="F26" i="72" s="1"/>
  <c r="G309" i="72"/>
  <c r="H310" i="72" s="1"/>
  <c r="I311" i="72" s="1"/>
  <c r="G277" i="72"/>
  <c r="H278" i="72" s="1"/>
  <c r="I279" i="72" s="1"/>
  <c r="J280" i="72" s="1"/>
  <c r="G242" i="72"/>
  <c r="H243" i="72" s="1"/>
  <c r="I244" i="72" s="1"/>
  <c r="J245" i="72" s="1"/>
  <c r="K246" i="72" s="1"/>
  <c r="L247" i="72" s="1"/>
  <c r="M248" i="72" s="1"/>
  <c r="N249" i="72" s="1"/>
  <c r="G211" i="72"/>
  <c r="H212" i="72" s="1"/>
  <c r="I213" i="72" s="1"/>
  <c r="J214" i="72" s="1"/>
  <c r="K215" i="72" s="1"/>
  <c r="L216" i="72" s="1"/>
  <c r="M217" i="72" s="1"/>
  <c r="N218" i="72" s="1"/>
  <c r="E211" i="72" l="1"/>
  <c r="F211" i="72" s="1"/>
  <c r="G212" i="72" s="1"/>
  <c r="H213" i="72" s="1"/>
  <c r="I214" i="72" s="1"/>
  <c r="J215" i="72" s="1"/>
  <c r="K216" i="72" s="1"/>
  <c r="L217" i="72" s="1"/>
  <c r="M218" i="72" s="1"/>
  <c r="E242" i="72"/>
  <c r="F242" i="72" s="1"/>
  <c r="G243" i="72" s="1"/>
  <c r="H244" i="72" s="1"/>
  <c r="I245" i="72" s="1"/>
  <c r="J246" i="72" s="1"/>
  <c r="K247" i="72" s="1"/>
  <c r="L248" i="72" s="1"/>
  <c r="M249" i="72" s="1"/>
  <c r="E309" i="72"/>
  <c r="F309" i="72" s="1"/>
  <c r="G27" i="72"/>
  <c r="H28" i="72" s="1"/>
  <c r="I29" i="72" s="1"/>
  <c r="J30" i="72" s="1"/>
  <c r="K31" i="72" s="1"/>
  <c r="L32" i="72" s="1"/>
  <c r="E122" i="72"/>
  <c r="F122" i="72" s="1"/>
  <c r="E88" i="72"/>
  <c r="F88" i="72" s="1"/>
  <c r="E184" i="72"/>
  <c r="F184" i="72" s="1"/>
  <c r="G152" i="72"/>
  <c r="H153" i="72" s="1"/>
  <c r="I154" i="72" s="1"/>
  <c r="J155" i="72" s="1"/>
  <c r="K156" i="72" s="1"/>
  <c r="E277" i="72"/>
  <c r="F277" i="72" s="1"/>
  <c r="E58" i="72"/>
  <c r="F58" i="72" s="1"/>
  <c r="E152" i="72" l="1"/>
  <c r="F152" i="72" s="1"/>
  <c r="E243" i="72"/>
  <c r="F243" i="72" s="1"/>
  <c r="G185" i="72"/>
  <c r="H186" i="72" s="1"/>
  <c r="I187" i="72" s="1"/>
  <c r="E212" i="72"/>
  <c r="F212" i="72" s="1"/>
  <c r="G89" i="72"/>
  <c r="H90" i="72" s="1"/>
  <c r="I91" i="72" s="1"/>
  <c r="J92" i="72" s="1"/>
  <c r="K93" i="72" s="1"/>
  <c r="L94" i="72" s="1"/>
  <c r="G123" i="72"/>
  <c r="H124" i="72" s="1"/>
  <c r="I125" i="72" s="1"/>
  <c r="E27" i="72"/>
  <c r="F27" i="72" s="1"/>
  <c r="G59" i="72"/>
  <c r="H60" i="72" s="1"/>
  <c r="I61" i="72" s="1"/>
  <c r="J62" i="72" s="1"/>
  <c r="K63" i="72" s="1"/>
  <c r="G278" i="72"/>
  <c r="H279" i="72" s="1"/>
  <c r="I280" i="72" s="1"/>
  <c r="G310" i="72"/>
  <c r="H311" i="72" s="1"/>
  <c r="E59" i="72" l="1"/>
  <c r="F59" i="72" s="1"/>
  <c r="G28" i="72"/>
  <c r="H29" i="72" s="1"/>
  <c r="I30" i="72" s="1"/>
  <c r="J31" i="72" s="1"/>
  <c r="K32" i="72" s="1"/>
  <c r="E123" i="72"/>
  <c r="F123" i="72" s="1"/>
  <c r="E89" i="72"/>
  <c r="F89" i="72" s="1"/>
  <c r="G213" i="72"/>
  <c r="H214" i="72" s="1"/>
  <c r="I215" i="72" s="1"/>
  <c r="J216" i="72" s="1"/>
  <c r="K217" i="72" s="1"/>
  <c r="L218" i="72" s="1"/>
  <c r="E310" i="72"/>
  <c r="F310" i="72" s="1"/>
  <c r="G311" i="72" s="1"/>
  <c r="E311" i="72" s="1"/>
  <c r="F311" i="72" s="1"/>
  <c r="E185" i="72"/>
  <c r="F185" i="72" s="1"/>
  <c r="E278" i="72"/>
  <c r="F278" i="72" s="1"/>
  <c r="G244" i="72"/>
  <c r="H245" i="72" s="1"/>
  <c r="I246" i="72" s="1"/>
  <c r="J247" i="72" s="1"/>
  <c r="K248" i="72" s="1"/>
  <c r="L249" i="72" s="1"/>
  <c r="G153" i="72"/>
  <c r="H154" i="72" s="1"/>
  <c r="I155" i="72" s="1"/>
  <c r="J156" i="72" s="1"/>
  <c r="E153" i="72" l="1"/>
  <c r="F153" i="72" s="1"/>
  <c r="G154" i="72" s="1"/>
  <c r="H155" i="72" s="1"/>
  <c r="I156" i="72" s="1"/>
  <c r="E244" i="72"/>
  <c r="F244" i="72" s="1"/>
  <c r="G279" i="72"/>
  <c r="H280" i="72" s="1"/>
  <c r="G186" i="72"/>
  <c r="H187" i="72" s="1"/>
  <c r="E213" i="72"/>
  <c r="F213" i="72" s="1"/>
  <c r="G90" i="72"/>
  <c r="H91" i="72" s="1"/>
  <c r="I92" i="72" s="1"/>
  <c r="J93" i="72" s="1"/>
  <c r="K94" i="72" s="1"/>
  <c r="G124" i="72"/>
  <c r="H125" i="72" s="1"/>
  <c r="E28" i="72"/>
  <c r="F28" i="72" s="1"/>
  <c r="G60" i="72"/>
  <c r="H61" i="72" s="1"/>
  <c r="I62" i="72" s="1"/>
  <c r="J63" i="72" s="1"/>
  <c r="E60" i="72" l="1"/>
  <c r="F60" i="72" s="1"/>
  <c r="G61" i="72" s="1"/>
  <c r="H62" i="72" s="1"/>
  <c r="I63" i="72" s="1"/>
  <c r="G29" i="72"/>
  <c r="H30" i="72" s="1"/>
  <c r="I31" i="72" s="1"/>
  <c r="J32" i="72" s="1"/>
  <c r="E124" i="72"/>
  <c r="F124" i="72" s="1"/>
  <c r="G125" i="72" s="1"/>
  <c r="E125" i="72" s="1"/>
  <c r="F125" i="72" s="1"/>
  <c r="AL125" i="72" s="1"/>
  <c r="E90" i="72"/>
  <c r="F90" i="72" s="1"/>
  <c r="G214" i="72"/>
  <c r="H215" i="72" s="1"/>
  <c r="I216" i="72" s="1"/>
  <c r="J217" i="72" s="1"/>
  <c r="K218" i="72" s="1"/>
  <c r="E186" i="72"/>
  <c r="F186" i="72" s="1"/>
  <c r="G187" i="72" s="1"/>
  <c r="E187" i="72" s="1"/>
  <c r="F187" i="72" s="1"/>
  <c r="E279" i="72"/>
  <c r="F279" i="72" s="1"/>
  <c r="G280" i="72" s="1"/>
  <c r="E280" i="72" s="1"/>
  <c r="F280" i="72" s="1"/>
  <c r="E154" i="72"/>
  <c r="F154" i="72" s="1"/>
  <c r="G245" i="72"/>
  <c r="H246" i="72" s="1"/>
  <c r="I247" i="72" s="1"/>
  <c r="J248" i="72" s="1"/>
  <c r="K249" i="72" s="1"/>
  <c r="G155" i="72" l="1"/>
  <c r="H156" i="72" s="1"/>
  <c r="E61" i="72"/>
  <c r="F61" i="72" s="1"/>
  <c r="E214" i="72"/>
  <c r="F214" i="72" s="1"/>
  <c r="G91" i="72"/>
  <c r="H92" i="72" s="1"/>
  <c r="I93" i="72" s="1"/>
  <c r="J94" i="72" s="1"/>
  <c r="E29" i="72"/>
  <c r="F29" i="72" s="1"/>
  <c r="E245" i="72"/>
  <c r="F245" i="72" s="1"/>
  <c r="G246" i="72" l="1"/>
  <c r="H247" i="72" s="1"/>
  <c r="I248" i="72" s="1"/>
  <c r="J249" i="72" s="1"/>
  <c r="G30" i="72"/>
  <c r="H31" i="72" s="1"/>
  <c r="I32" i="72" s="1"/>
  <c r="E91" i="72"/>
  <c r="F91" i="72" s="1"/>
  <c r="G215" i="72"/>
  <c r="H216" i="72" s="1"/>
  <c r="I217" i="72" s="1"/>
  <c r="J218" i="72" s="1"/>
  <c r="G62" i="72"/>
  <c r="H63" i="72" s="1"/>
  <c r="E155" i="72"/>
  <c r="F155" i="72" s="1"/>
  <c r="G156" i="72" s="1"/>
  <c r="E156" i="72" s="1"/>
  <c r="F156" i="72" s="1"/>
  <c r="E62" i="72" l="1"/>
  <c r="F62" i="72" s="1"/>
  <c r="G63" i="72" s="1"/>
  <c r="E63" i="72" s="1"/>
  <c r="F63" i="72" s="1"/>
  <c r="AL63" i="72" s="1"/>
  <c r="E215" i="72"/>
  <c r="F215" i="72" s="1"/>
  <c r="G92" i="72"/>
  <c r="H93" i="72" s="1"/>
  <c r="I94" i="72" s="1"/>
  <c r="E30" i="72"/>
  <c r="F30" i="72" s="1"/>
  <c r="E246" i="72"/>
  <c r="F246" i="72" s="1"/>
  <c r="G247" i="72" l="1"/>
  <c r="H248" i="72" s="1"/>
  <c r="I249" i="72" s="1"/>
  <c r="G31" i="72"/>
  <c r="H32" i="72" s="1"/>
  <c r="E92" i="72"/>
  <c r="F92" i="72" s="1"/>
  <c r="G216" i="72"/>
  <c r="H217" i="72" s="1"/>
  <c r="I218" i="72" s="1"/>
  <c r="E216" i="72" l="1"/>
  <c r="F216" i="72" s="1"/>
  <c r="G93" i="72"/>
  <c r="H94" i="72" s="1"/>
  <c r="E31" i="72"/>
  <c r="F31" i="72" s="1"/>
  <c r="E247" i="72"/>
  <c r="F247" i="72" s="1"/>
  <c r="G32" i="72" l="1"/>
  <c r="E32" i="72" s="1"/>
  <c r="F32" i="72" s="1"/>
  <c r="G248" i="72"/>
  <c r="H249" i="72" s="1"/>
  <c r="E93" i="72"/>
  <c r="F93" i="72" s="1"/>
  <c r="G94" i="72" s="1"/>
  <c r="E94" i="72" s="1"/>
  <c r="F94" i="72" s="1"/>
  <c r="AL94" i="72" s="1"/>
  <c r="AL127" i="72" s="1"/>
  <c r="G217" i="72"/>
  <c r="H218" i="72" s="1"/>
  <c r="F36" i="26" l="1" a="1"/>
  <c r="F36" i="26" s="1"/>
  <c r="G220" i="35" s="1"/>
  <c r="AL32" i="72"/>
  <c r="H38" i="26" a="1"/>
  <c r="H38" i="26" s="1"/>
  <c r="I222" i="35" s="1"/>
  <c r="E217" i="72"/>
  <c r="F217" i="72" s="1"/>
  <c r="G218" i="72" s="1"/>
  <c r="E218" i="72" s="1"/>
  <c r="F218" i="72" s="1"/>
  <c r="E248" i="72"/>
  <c r="F248" i="72" s="1"/>
  <c r="G249" i="72" s="1"/>
  <c r="E249" i="72" s="1"/>
  <c r="F249" i="72" s="1"/>
  <c r="G26" i="26" l="1" a="1"/>
  <c r="G26" i="26" s="1"/>
  <c r="H210" i="35" s="1"/>
  <c r="I29" i="58" s="1"/>
  <c r="F27" i="26" a="1"/>
  <c r="F27" i="26" s="1"/>
  <c r="E29" i="26" a="1"/>
  <c r="E29" i="26" s="1"/>
  <c r="I192" i="35" s="1"/>
  <c r="J39" i="37" s="1"/>
  <c r="G41" i="26" a="1"/>
  <c r="G41" i="26" s="1"/>
  <c r="H225" i="35" s="1"/>
  <c r="E27" i="26" a="1"/>
  <c r="E27" i="26" s="1"/>
  <c r="E33" i="26" a="1"/>
  <c r="E33" i="26" s="1"/>
  <c r="I196" i="35" s="1"/>
  <c r="J55" i="37" s="1"/>
  <c r="D35" i="26" a="1"/>
  <c r="D35" i="26" s="1"/>
  <c r="H31" i="26" a="1"/>
  <c r="H31" i="26" s="1"/>
  <c r="E30" i="26" a="1"/>
  <c r="E30" i="26" s="1"/>
  <c r="I193" i="35" s="1"/>
  <c r="J46" i="37" s="1"/>
  <c r="H26" i="26" a="1"/>
  <c r="H26" i="26" s="1"/>
  <c r="I210" i="35" s="1"/>
  <c r="D38" i="26" a="1"/>
  <c r="D38" i="26" s="1"/>
  <c r="H201" i="35" s="1"/>
  <c r="I75" i="37" s="1"/>
  <c r="D32" i="26" a="1"/>
  <c r="D32" i="26" s="1"/>
  <c r="H195" i="35" s="1"/>
  <c r="F31" i="26" a="1"/>
  <c r="F31" i="26" s="1"/>
  <c r="G31" i="26" a="1"/>
  <c r="G31" i="26" s="1"/>
  <c r="E36" i="26" a="1"/>
  <c r="E36" i="26" s="1"/>
  <c r="I199" i="35" s="1"/>
  <c r="G39" i="26" a="1"/>
  <c r="G39" i="26" s="1"/>
  <c r="E28" i="26" a="1"/>
  <c r="E28" i="26" s="1"/>
  <c r="I191" i="35" s="1"/>
  <c r="F39" i="26" a="1"/>
  <c r="F39" i="26" s="1"/>
  <c r="F23" i="26" a="1"/>
  <c r="F23" i="26" s="1"/>
  <c r="D42" i="26" a="1"/>
  <c r="D42" i="26" s="1"/>
  <c r="H205" i="35" s="1"/>
  <c r="E34" i="26" a="1"/>
  <c r="E34" i="26" s="1"/>
  <c r="I197" i="35" s="1"/>
  <c r="G35" i="26" a="1"/>
  <c r="G35" i="26" s="1"/>
  <c r="I27" i="58"/>
  <c r="I28" i="58"/>
  <c r="D37" i="26" a="1"/>
  <c r="D37" i="26" s="1"/>
  <c r="H200" i="35" s="1"/>
  <c r="D39" i="26" a="1"/>
  <c r="D39" i="26" s="1"/>
  <c r="F24" i="26" a="1"/>
  <c r="F24" i="26" s="1"/>
  <c r="G208" i="35" s="1"/>
  <c r="H23" i="26" a="1"/>
  <c r="H23" i="26" s="1"/>
  <c r="D26" i="26" a="1"/>
  <c r="D26" i="26" s="1"/>
  <c r="H189" i="35" s="1"/>
  <c r="G38" i="26" a="1"/>
  <c r="G38" i="26" s="1"/>
  <c r="H222" i="35" s="1"/>
  <c r="H36" i="26" a="1"/>
  <c r="H36" i="26" s="1"/>
  <c r="I220" i="35" s="1"/>
  <c r="F32" i="26" a="1"/>
  <c r="F32" i="26" s="1"/>
  <c r="G216" i="35" s="1"/>
  <c r="J42" i="37"/>
  <c r="J41" i="37"/>
  <c r="J40" i="37"/>
  <c r="H33" i="26" a="1"/>
  <c r="H33" i="26" s="1"/>
  <c r="I217" i="35" s="1"/>
  <c r="G30" i="26" a="1"/>
  <c r="G30" i="26" s="1"/>
  <c r="H214" i="35" s="1"/>
  <c r="G28" i="26" a="1"/>
  <c r="G28" i="26" s="1"/>
  <c r="H212" i="35" s="1"/>
  <c r="H28" i="26" a="1"/>
  <c r="H28" i="26" s="1"/>
  <c r="I212" i="35" s="1"/>
  <c r="E42" i="26" a="1"/>
  <c r="E42" i="26" s="1"/>
  <c r="I205" i="35" s="1"/>
  <c r="F41" i="26" a="1"/>
  <c r="F41" i="26" s="1"/>
  <c r="G225" i="35" s="1"/>
  <c r="H27" i="26" a="1"/>
  <c r="H27" i="26" s="1"/>
  <c r="I190" i="35"/>
  <c r="G211" i="35"/>
  <c r="D31" i="26" a="1"/>
  <c r="D31" i="26" s="1"/>
  <c r="E25" i="26" a="1"/>
  <c r="E25" i="26" s="1"/>
  <c r="I188" i="35" s="1"/>
  <c r="F33" i="26" a="1"/>
  <c r="F33" i="26" s="1"/>
  <c r="G217" i="35" s="1"/>
  <c r="G25" i="26" a="1"/>
  <c r="G25" i="26" s="1"/>
  <c r="H209" i="35" s="1"/>
  <c r="F25" i="26" a="1"/>
  <c r="F25" i="26" s="1"/>
  <c r="G209" i="35" s="1"/>
  <c r="H24" i="26" a="1"/>
  <c r="H24" i="26" s="1"/>
  <c r="I208" i="35" s="1"/>
  <c r="D40" i="26" a="1"/>
  <c r="D40" i="26" s="1"/>
  <c r="H203" i="35" s="1"/>
  <c r="D33" i="26" a="1"/>
  <c r="D33" i="26" s="1"/>
  <c r="H196" i="35" s="1"/>
  <c r="J45" i="37"/>
  <c r="J44" i="37"/>
  <c r="J43" i="37"/>
  <c r="E40" i="26" a="1"/>
  <c r="E40" i="26" s="1"/>
  <c r="I203" i="35" s="1"/>
  <c r="G33" i="26" a="1"/>
  <c r="G33" i="26" s="1"/>
  <c r="H217" i="35" s="1"/>
  <c r="E24" i="26" a="1"/>
  <c r="E24" i="26" s="1"/>
  <c r="I187" i="35" s="1"/>
  <c r="H39" i="26" a="1"/>
  <c r="H39" i="26" s="1"/>
  <c r="G24" i="26" a="1"/>
  <c r="G24" i="26" s="1"/>
  <c r="H208" i="35" s="1"/>
  <c r="E26" i="26" a="1"/>
  <c r="E26" i="26" s="1"/>
  <c r="I189" i="35" s="1"/>
  <c r="I215" i="35"/>
  <c r="H198" i="35"/>
  <c r="H40" i="26" a="1"/>
  <c r="H40" i="26" s="1"/>
  <c r="I224" i="35" s="1"/>
  <c r="H30" i="26" a="1"/>
  <c r="H30" i="26" s="1"/>
  <c r="I214" i="35" s="1"/>
  <c r="F29" i="26" a="1"/>
  <c r="F29" i="26" s="1"/>
  <c r="G213" i="35" s="1"/>
  <c r="G40" i="26" a="1"/>
  <c r="G40" i="26" s="1"/>
  <c r="H224" i="35" s="1"/>
  <c r="H32" i="26" a="1"/>
  <c r="H32" i="26" s="1"/>
  <c r="I216" i="35" s="1"/>
  <c r="F35" i="26" a="1"/>
  <c r="F35" i="26" s="1"/>
  <c r="G23" i="26" a="1"/>
  <c r="G23" i="26" s="1"/>
  <c r="H42" i="26" a="1"/>
  <c r="H42" i="26" s="1"/>
  <c r="I226" i="35" s="1"/>
  <c r="J77" i="58"/>
  <c r="J76" i="58"/>
  <c r="J75" i="58"/>
  <c r="J78" i="58"/>
  <c r="D27" i="26" a="1"/>
  <c r="D27" i="26" s="1"/>
  <c r="D34" i="26" a="1"/>
  <c r="D34" i="26" s="1"/>
  <c r="H197" i="35" s="1"/>
  <c r="G34" i="26" a="1"/>
  <c r="G34" i="26" s="1"/>
  <c r="H218" i="35" s="1"/>
  <c r="E38" i="26" a="1"/>
  <c r="E38" i="26" s="1"/>
  <c r="I201" i="35" s="1"/>
  <c r="F28" i="26" a="1"/>
  <c r="F28" i="26" s="1"/>
  <c r="G212" i="35" s="1"/>
  <c r="F42" i="26" a="1"/>
  <c r="F42" i="26" s="1"/>
  <c r="G226" i="35" s="1"/>
  <c r="H69" i="58"/>
  <c r="H69" i="41" s="1"/>
  <c r="H68" i="58"/>
  <c r="H68" i="41" s="1"/>
  <c r="H70" i="58"/>
  <c r="H70" i="41" s="1"/>
  <c r="H67" i="58"/>
  <c r="H67" i="41" s="1"/>
  <c r="I88" i="58"/>
  <c r="I89" i="58"/>
  <c r="I90" i="58"/>
  <c r="I87" i="58"/>
  <c r="F26" i="26" a="1"/>
  <c r="F26" i="26" s="1"/>
  <c r="G210" i="35" s="1"/>
  <c r="G29" i="26" a="1"/>
  <c r="G29" i="26" s="1"/>
  <c r="H213" i="35" s="1"/>
  <c r="E23" i="26" a="1"/>
  <c r="E23" i="26" s="1"/>
  <c r="H25" i="26" a="1"/>
  <c r="H25" i="26" s="1"/>
  <c r="I209" i="35" s="1"/>
  <c r="E41" i="26" a="1"/>
  <c r="E41" i="26" s="1"/>
  <c r="I204" i="35" s="1"/>
  <c r="G42" i="26" a="1"/>
  <c r="G42" i="26" s="1"/>
  <c r="H226" i="35" s="1"/>
  <c r="D23" i="26" a="1"/>
  <c r="D23" i="26" s="1"/>
  <c r="D28" i="26" a="1"/>
  <c r="D28" i="26" s="1"/>
  <c r="H191" i="35" s="1"/>
  <c r="I51" i="37"/>
  <c r="I52" i="37"/>
  <c r="I54" i="37"/>
  <c r="I53" i="37"/>
  <c r="E35" i="26" a="1"/>
  <c r="E35" i="26" s="1"/>
  <c r="F37" i="26" a="1"/>
  <c r="F37" i="26" s="1"/>
  <c r="G221" i="35" s="1"/>
  <c r="E39" i="26" a="1"/>
  <c r="E39" i="26" s="1"/>
  <c r="D41" i="26" a="1"/>
  <c r="D41" i="26" s="1"/>
  <c r="H204" i="35" s="1"/>
  <c r="G36" i="26" a="1"/>
  <c r="G36" i="26" s="1"/>
  <c r="H220" i="35" s="1"/>
  <c r="G27" i="26" a="1"/>
  <c r="G27" i="26" s="1"/>
  <c r="F34" i="26" a="1"/>
  <c r="F34" i="26" s="1"/>
  <c r="G218" i="35" s="1"/>
  <c r="E31" i="26" a="1"/>
  <c r="E31" i="26" s="1"/>
  <c r="H41" i="26" a="1"/>
  <c r="H41" i="26" s="1"/>
  <c r="I225" i="35" s="1"/>
  <c r="H35" i="26" a="1"/>
  <c r="H35" i="26" s="1"/>
  <c r="F40" i="26" a="1"/>
  <c r="F40" i="26" s="1"/>
  <c r="G224" i="35" s="1"/>
  <c r="J27" i="58"/>
  <c r="J30" i="58"/>
  <c r="J28" i="58"/>
  <c r="J29" i="58"/>
  <c r="G32" i="26" a="1"/>
  <c r="G32" i="26" s="1"/>
  <c r="H216" i="35" s="1"/>
  <c r="H29" i="26" a="1"/>
  <c r="H29" i="26" s="1"/>
  <c r="I213" i="35" s="1"/>
  <c r="H34" i="26" a="1"/>
  <c r="H34" i="26" s="1"/>
  <c r="I218" i="35" s="1"/>
  <c r="E37" i="26" a="1"/>
  <c r="E37" i="26" s="1"/>
  <c r="I200" i="35" s="1"/>
  <c r="F38" i="26" a="1"/>
  <c r="F38" i="26" s="1"/>
  <c r="G222" i="35" s="1"/>
  <c r="I77" i="37"/>
  <c r="D30" i="26" a="1"/>
  <c r="D30" i="26" s="1"/>
  <c r="H193" i="35" s="1"/>
  <c r="D29" i="26" a="1"/>
  <c r="D29" i="26" s="1"/>
  <c r="H192" i="35" s="1"/>
  <c r="D24" i="26" a="1"/>
  <c r="D24" i="26" s="1"/>
  <c r="H187" i="35" s="1"/>
  <c r="D25" i="26" a="1"/>
  <c r="D25" i="26" s="1"/>
  <c r="H188" i="35" s="1"/>
  <c r="F30" i="26" a="1"/>
  <c r="F30" i="26" s="1"/>
  <c r="G214" i="35" s="1"/>
  <c r="D36" i="26" a="1"/>
  <c r="D36" i="26" s="1"/>
  <c r="H199" i="35" s="1"/>
  <c r="G37" i="26" a="1"/>
  <c r="G37" i="26" s="1"/>
  <c r="H221" i="35" s="1"/>
  <c r="H37" i="26" a="1"/>
  <c r="H37" i="26" s="1"/>
  <c r="I221" i="35" s="1"/>
  <c r="E32" i="26" a="1"/>
  <c r="E32" i="26" s="1"/>
  <c r="I195" i="35" s="1"/>
  <c r="I76" i="37" l="1"/>
  <c r="I78" i="37"/>
  <c r="I30" i="58"/>
  <c r="J56" i="37"/>
  <c r="J57" i="37"/>
  <c r="J58" i="37"/>
  <c r="I72" i="58"/>
  <c r="I73" i="58"/>
  <c r="I71" i="58"/>
  <c r="I74" i="58"/>
  <c r="H78" i="58"/>
  <c r="H78" i="41" s="1"/>
  <c r="H76" i="58"/>
  <c r="H76" i="41" s="1"/>
  <c r="H75" i="58"/>
  <c r="H75" i="41" s="1"/>
  <c r="H77" i="58"/>
  <c r="H77" i="41" s="1"/>
  <c r="J89" i="58"/>
  <c r="J88" i="58"/>
  <c r="J90" i="58"/>
  <c r="J87" i="58"/>
  <c r="J86" i="58"/>
  <c r="J85" i="58"/>
  <c r="J83" i="58"/>
  <c r="J84" i="58"/>
  <c r="J19" i="37"/>
  <c r="J20" i="37"/>
  <c r="J22" i="37"/>
  <c r="J21" i="37"/>
  <c r="I36" i="58"/>
  <c r="I38" i="58"/>
  <c r="I37" i="58"/>
  <c r="I35" i="58"/>
  <c r="E50" i="26"/>
  <c r="H50" i="26" s="1"/>
  <c r="G207" i="35"/>
  <c r="G53" i="26"/>
  <c r="I219" i="35"/>
  <c r="D52" i="26"/>
  <c r="I194" i="35"/>
  <c r="I37" i="37"/>
  <c r="I36" i="37"/>
  <c r="I35" i="37"/>
  <c r="I35" i="41" s="1"/>
  <c r="I38" i="37"/>
  <c r="I38" i="41" s="1"/>
  <c r="I58" i="58"/>
  <c r="I57" i="58"/>
  <c r="I55" i="58"/>
  <c r="I56" i="58"/>
  <c r="H55" i="58"/>
  <c r="H55" i="41" s="1"/>
  <c r="H58" i="58"/>
  <c r="H58" i="41" s="1"/>
  <c r="H57" i="58"/>
  <c r="H57" i="41" s="1"/>
  <c r="H56" i="58"/>
  <c r="H56" i="41" s="1"/>
  <c r="I207" i="35"/>
  <c r="G50" i="26"/>
  <c r="E54" i="26"/>
  <c r="H54" i="26" s="1"/>
  <c r="G223" i="35"/>
  <c r="H45" i="58"/>
  <c r="H45" i="41" s="1"/>
  <c r="H43" i="58"/>
  <c r="H43" i="41" s="1"/>
  <c r="H46" i="58"/>
  <c r="H46" i="41" s="1"/>
  <c r="H44" i="58"/>
  <c r="H44" i="41" s="1"/>
  <c r="J86" i="37"/>
  <c r="J86" i="41" s="1"/>
  <c r="J84" i="37"/>
  <c r="J84" i="41" s="1"/>
  <c r="J83" i="37"/>
  <c r="J83" i="41" s="1"/>
  <c r="J85" i="37"/>
  <c r="J85" i="41" s="1"/>
  <c r="J26" i="37"/>
  <c r="J25" i="37"/>
  <c r="J23" i="37"/>
  <c r="J24" i="37"/>
  <c r="I45" i="58"/>
  <c r="I46" i="58"/>
  <c r="I44" i="58"/>
  <c r="I43" i="58"/>
  <c r="H19" i="58"/>
  <c r="H19" i="41" s="1"/>
  <c r="H22" i="58"/>
  <c r="H22" i="41" s="1"/>
  <c r="H20" i="58"/>
  <c r="H20" i="41" s="1"/>
  <c r="H21" i="58"/>
  <c r="H21" i="41" s="1"/>
  <c r="J37" i="37"/>
  <c r="J35" i="37"/>
  <c r="J36" i="37"/>
  <c r="J38" i="37"/>
  <c r="I26" i="37"/>
  <c r="I23" i="37"/>
  <c r="I25" i="37"/>
  <c r="I24" i="37"/>
  <c r="J40" i="58"/>
  <c r="J39" i="58"/>
  <c r="J41" i="58"/>
  <c r="J42" i="58"/>
  <c r="F51" i="26"/>
  <c r="H211" i="35"/>
  <c r="I93" i="58"/>
  <c r="I92" i="58"/>
  <c r="I91" i="58"/>
  <c r="I94" i="58"/>
  <c r="H194" i="35"/>
  <c r="C52" i="26"/>
  <c r="J58" i="58"/>
  <c r="J55" i="58"/>
  <c r="J56" i="58"/>
  <c r="J57" i="58"/>
  <c r="C54" i="26"/>
  <c r="H202" i="35"/>
  <c r="F54" i="26"/>
  <c r="H223" i="35"/>
  <c r="J60" i="58"/>
  <c r="J61" i="58"/>
  <c r="J59" i="58"/>
  <c r="J62" i="58"/>
  <c r="I52" i="58"/>
  <c r="I52" i="41" s="1"/>
  <c r="I54" i="58"/>
  <c r="I53" i="58"/>
  <c r="I53" i="41" s="1"/>
  <c r="I51" i="58"/>
  <c r="I51" i="41" s="1"/>
  <c r="I69" i="58"/>
  <c r="I68" i="58"/>
  <c r="I70" i="58"/>
  <c r="I67" i="58"/>
  <c r="J90" i="37"/>
  <c r="J90" i="41" s="1"/>
  <c r="J88" i="37"/>
  <c r="J88" i="41" s="1"/>
  <c r="J89" i="37"/>
  <c r="J89" i="41" s="1"/>
  <c r="J87" i="37"/>
  <c r="J94" i="58"/>
  <c r="J93" i="58"/>
  <c r="J92" i="58"/>
  <c r="J91" i="58"/>
  <c r="C53" i="26"/>
  <c r="E51" i="26"/>
  <c r="H51" i="26" s="1"/>
  <c r="J40" i="41"/>
  <c r="I72" i="37"/>
  <c r="I72" i="41" s="1"/>
  <c r="I71" i="37"/>
  <c r="I71" i="41" s="1"/>
  <c r="I74" i="37"/>
  <c r="I74" i="41" s="1"/>
  <c r="I73" i="37"/>
  <c r="I73" i="41" s="1"/>
  <c r="J70" i="37"/>
  <c r="J69" i="37"/>
  <c r="J67" i="37"/>
  <c r="J68" i="37"/>
  <c r="I68" i="37"/>
  <c r="I68" i="41" s="1"/>
  <c r="I69" i="37"/>
  <c r="I70" i="37"/>
  <c r="I67" i="37"/>
  <c r="I22" i="37"/>
  <c r="I19" i="37"/>
  <c r="I21" i="37"/>
  <c r="I20" i="37"/>
  <c r="I90" i="37"/>
  <c r="I90" i="41" s="1"/>
  <c r="I89" i="37"/>
  <c r="I89" i="41" s="1"/>
  <c r="I87" i="37"/>
  <c r="I87" i="41" s="1"/>
  <c r="I88" i="37"/>
  <c r="I88" i="41" s="1"/>
  <c r="J25" i="58"/>
  <c r="J24" i="58"/>
  <c r="J26" i="58"/>
  <c r="J23" i="58"/>
  <c r="H94" i="58"/>
  <c r="H94" i="41" s="1"/>
  <c r="H93" i="58"/>
  <c r="H93" i="41" s="1"/>
  <c r="H91" i="58"/>
  <c r="H91" i="41" s="1"/>
  <c r="H92" i="58"/>
  <c r="H92" i="41" s="1"/>
  <c r="F50" i="26"/>
  <c r="H207" i="35"/>
  <c r="I66" i="37"/>
  <c r="I64" i="37"/>
  <c r="I65" i="37"/>
  <c r="I63" i="37"/>
  <c r="H32" i="58"/>
  <c r="H32" i="41" s="1"/>
  <c r="H33" i="58"/>
  <c r="H33" i="41" s="1"/>
  <c r="H31" i="58"/>
  <c r="H31" i="41" s="1"/>
  <c r="H34" i="58"/>
  <c r="H34" i="41" s="1"/>
  <c r="J41" i="41"/>
  <c r="F52" i="26"/>
  <c r="H215" i="35"/>
  <c r="H190" i="35"/>
  <c r="C51" i="26"/>
  <c r="I51" i="26" s="1"/>
  <c r="C50" i="26"/>
  <c r="H186" i="35"/>
  <c r="I44" i="37"/>
  <c r="I44" i="41" s="1"/>
  <c r="I43" i="37"/>
  <c r="I43" i="41" s="1"/>
  <c r="I46" i="37"/>
  <c r="I46" i="41" s="1"/>
  <c r="I45" i="37"/>
  <c r="I45" i="41" s="1"/>
  <c r="I202" i="35"/>
  <c r="D54" i="26"/>
  <c r="D50" i="26"/>
  <c r="J50" i="26" s="1"/>
  <c r="I186" i="35"/>
  <c r="H36" i="58"/>
  <c r="H36" i="41" s="1"/>
  <c r="H38" i="58"/>
  <c r="H38" i="41" s="1"/>
  <c r="H35" i="58"/>
  <c r="H35" i="41" s="1"/>
  <c r="H37" i="58"/>
  <c r="H37" i="41" s="1"/>
  <c r="G52" i="26"/>
  <c r="J33" i="37"/>
  <c r="J31" i="37"/>
  <c r="J34" i="37"/>
  <c r="J32" i="37"/>
  <c r="J42" i="41"/>
  <c r="G215" i="35"/>
  <c r="E52" i="26"/>
  <c r="H52" i="26" s="1"/>
  <c r="J72" i="58"/>
  <c r="J74" i="58"/>
  <c r="J73" i="58"/>
  <c r="J71" i="58"/>
  <c r="H61" i="58"/>
  <c r="H61" i="41" s="1"/>
  <c r="H60" i="58"/>
  <c r="H60" i="41" s="1"/>
  <c r="H59" i="58"/>
  <c r="H59" i="41" s="1"/>
  <c r="H62" i="58"/>
  <c r="H62" i="41" s="1"/>
  <c r="I39" i="37"/>
  <c r="I42" i="37"/>
  <c r="I41" i="37"/>
  <c r="I41" i="41" s="1"/>
  <c r="I40" i="37"/>
  <c r="H73" i="58"/>
  <c r="H73" i="41" s="1"/>
  <c r="H72" i="58"/>
  <c r="H72" i="41" s="1"/>
  <c r="H71" i="58"/>
  <c r="H71" i="41" s="1"/>
  <c r="H74" i="58"/>
  <c r="H74" i="41" s="1"/>
  <c r="I41" i="58"/>
  <c r="I42" i="58"/>
  <c r="I40" i="58"/>
  <c r="I39" i="58"/>
  <c r="E53" i="26"/>
  <c r="H53" i="26" s="1"/>
  <c r="G219" i="35"/>
  <c r="J48" i="58"/>
  <c r="J47" i="58"/>
  <c r="J50" i="58"/>
  <c r="J49" i="58"/>
  <c r="I57" i="37"/>
  <c r="I57" i="41" s="1"/>
  <c r="I55" i="37"/>
  <c r="I55" i="41" s="1"/>
  <c r="I56" i="37"/>
  <c r="I56" i="41" s="1"/>
  <c r="I58" i="37"/>
  <c r="I58" i="41" s="1"/>
  <c r="D51" i="26"/>
  <c r="J39" i="41"/>
  <c r="J56" i="41"/>
  <c r="J72" i="37"/>
  <c r="J74" i="37"/>
  <c r="J73" i="37"/>
  <c r="J71" i="37"/>
  <c r="I76" i="41"/>
  <c r="D53" i="26"/>
  <c r="J53" i="26" s="1"/>
  <c r="I198" i="35"/>
  <c r="H29" i="58"/>
  <c r="H29" i="41" s="1"/>
  <c r="H28" i="58"/>
  <c r="H28" i="41" s="1"/>
  <c r="H30" i="58"/>
  <c r="H30" i="41" s="1"/>
  <c r="H27" i="58"/>
  <c r="H27" i="41" s="1"/>
  <c r="J76" i="37"/>
  <c r="J76" i="41" s="1"/>
  <c r="J78" i="37"/>
  <c r="J78" i="41" s="1"/>
  <c r="J77" i="37"/>
  <c r="J77" i="41" s="1"/>
  <c r="J75" i="37"/>
  <c r="J75" i="41" s="1"/>
  <c r="J52" i="58"/>
  <c r="J54" i="58"/>
  <c r="J51" i="58"/>
  <c r="J53" i="58"/>
  <c r="J30" i="37"/>
  <c r="J30" i="41" s="1"/>
  <c r="J28" i="37"/>
  <c r="J28" i="41" s="1"/>
  <c r="J29" i="37"/>
  <c r="J29" i="41" s="1"/>
  <c r="J27" i="37"/>
  <c r="J27" i="41" s="1"/>
  <c r="I85" i="37"/>
  <c r="I84" i="37"/>
  <c r="I86" i="37"/>
  <c r="I83" i="37"/>
  <c r="I211" i="35"/>
  <c r="G51" i="26"/>
  <c r="H53" i="58"/>
  <c r="H53" i="41" s="1"/>
  <c r="H54" i="58"/>
  <c r="H54" i="41" s="1"/>
  <c r="H51" i="58"/>
  <c r="H51" i="41" s="1"/>
  <c r="H52" i="58"/>
  <c r="H52" i="41" s="1"/>
  <c r="J57" i="41"/>
  <c r="I59" i="58"/>
  <c r="I61" i="58"/>
  <c r="I60" i="58"/>
  <c r="I62" i="58"/>
  <c r="I84" i="58"/>
  <c r="I86" i="58"/>
  <c r="I85" i="58"/>
  <c r="I83" i="58"/>
  <c r="I21" i="58"/>
  <c r="I19" i="58"/>
  <c r="I20" i="58"/>
  <c r="I22" i="58"/>
  <c r="J22" i="58"/>
  <c r="J19" i="58"/>
  <c r="J21" i="58"/>
  <c r="J20" i="58"/>
  <c r="H90" i="58"/>
  <c r="H90" i="41" s="1"/>
  <c r="H88" i="58"/>
  <c r="H88" i="41" s="1"/>
  <c r="H87" i="58"/>
  <c r="H87" i="41" s="1"/>
  <c r="H89" i="58"/>
  <c r="H89" i="41" s="1"/>
  <c r="J69" i="58"/>
  <c r="J70" i="58"/>
  <c r="J68" i="58"/>
  <c r="J67" i="58"/>
  <c r="F53" i="26"/>
  <c r="H219" i="35"/>
  <c r="J55" i="41"/>
  <c r="J54" i="37"/>
  <c r="J52" i="37"/>
  <c r="J51" i="37"/>
  <c r="J53" i="37"/>
  <c r="J53" i="41" s="1"/>
  <c r="H83" i="58"/>
  <c r="H83" i="41" s="1"/>
  <c r="H84" i="58"/>
  <c r="H84" i="41" s="1"/>
  <c r="H85" i="58"/>
  <c r="H85" i="41" s="1"/>
  <c r="H86" i="58"/>
  <c r="H86" i="41" s="1"/>
  <c r="I54" i="41"/>
  <c r="I62" i="37"/>
  <c r="I60" i="37"/>
  <c r="I61" i="37"/>
  <c r="I61" i="41" s="1"/>
  <c r="I59" i="37"/>
  <c r="I59" i="41" s="1"/>
  <c r="H39" i="58"/>
  <c r="H39" i="41" s="1"/>
  <c r="H41" i="58"/>
  <c r="H41" i="41" s="1"/>
  <c r="H40" i="58"/>
  <c r="H40" i="41" s="1"/>
  <c r="H42" i="58"/>
  <c r="H42" i="41" s="1"/>
  <c r="I223" i="35"/>
  <c r="G54" i="26"/>
  <c r="H24" i="58"/>
  <c r="H24" i="41" s="1"/>
  <c r="H25" i="58"/>
  <c r="H25" i="41" s="1"/>
  <c r="H26" i="58"/>
  <c r="H26" i="41" s="1"/>
  <c r="H23" i="58"/>
  <c r="H23" i="41" s="1"/>
  <c r="J92" i="37"/>
  <c r="J92" i="41" s="1"/>
  <c r="J91" i="37"/>
  <c r="J91" i="41" s="1"/>
  <c r="J94" i="37"/>
  <c r="J94" i="41" s="1"/>
  <c r="J93" i="37"/>
  <c r="J93" i="41" s="1"/>
  <c r="I77" i="58"/>
  <c r="I77" i="41" s="1"/>
  <c r="I78" i="58"/>
  <c r="I78" i="41" s="1"/>
  <c r="I75" i="58"/>
  <c r="I75" i="41" s="1"/>
  <c r="I76" i="58"/>
  <c r="J60" i="37"/>
  <c r="J62" i="37"/>
  <c r="J61" i="37"/>
  <c r="J59" i="37"/>
  <c r="J59" i="41" s="1"/>
  <c r="J58" i="41"/>
  <c r="J43" i="58"/>
  <c r="J43" i="41" s="1"/>
  <c r="J44" i="58"/>
  <c r="J44" i="41" s="1"/>
  <c r="J45" i="58"/>
  <c r="J45" i="41" s="1"/>
  <c r="J46" i="58"/>
  <c r="J46" i="41" s="1"/>
  <c r="I23" i="58"/>
  <c r="I24" i="58"/>
  <c r="I26" i="58"/>
  <c r="I25" i="58"/>
  <c r="J38" i="58"/>
  <c r="J36" i="58"/>
  <c r="J35" i="58"/>
  <c r="J37" i="58"/>
  <c r="I28" i="37"/>
  <c r="I28" i="41" s="1"/>
  <c r="I29" i="37"/>
  <c r="I29" i="41" s="1"/>
  <c r="I27" i="37"/>
  <c r="I27" i="41" s="1"/>
  <c r="I30" i="37"/>
  <c r="I30" i="41" s="1"/>
  <c r="I93" i="37"/>
  <c r="I93" i="41" s="1"/>
  <c r="I91" i="37"/>
  <c r="I91" i="41" s="1"/>
  <c r="I92" i="37"/>
  <c r="I92" i="41" s="1"/>
  <c r="I94" i="37"/>
  <c r="I94" i="41" s="1"/>
  <c r="I70" i="41" l="1"/>
  <c r="I37" i="41"/>
  <c r="J62" i="41"/>
  <c r="I67" i="41"/>
  <c r="J24" i="41"/>
  <c r="J61" i="41"/>
  <c r="I50" i="26"/>
  <c r="I36" i="41"/>
  <c r="I60" i="41"/>
  <c r="J60" i="41"/>
  <c r="I40" i="41"/>
  <c r="J51" i="41"/>
  <c r="J52" i="41"/>
  <c r="I83" i="41"/>
  <c r="J32" i="58"/>
  <c r="J34" i="58"/>
  <c r="J33" i="58"/>
  <c r="J33" i="41" s="1"/>
  <c r="J31" i="58"/>
  <c r="I19" i="41"/>
  <c r="J36" i="41"/>
  <c r="J23" i="41"/>
  <c r="I22" i="41"/>
  <c r="J35" i="41"/>
  <c r="J25" i="41"/>
  <c r="I81" i="58"/>
  <c r="I79" i="58"/>
  <c r="I82" i="58"/>
  <c r="I80" i="58"/>
  <c r="J37" i="41"/>
  <c r="J26" i="41"/>
  <c r="J15" i="58"/>
  <c r="J16" i="58"/>
  <c r="J17" i="58"/>
  <c r="J18" i="58"/>
  <c r="J21" i="41"/>
  <c r="J49" i="37"/>
  <c r="J49" i="41" s="1"/>
  <c r="J50" i="37"/>
  <c r="J50" i="41" s="1"/>
  <c r="J48" i="37"/>
  <c r="J48" i="41" s="1"/>
  <c r="J47" i="37"/>
  <c r="J47" i="41" s="1"/>
  <c r="J22" i="41"/>
  <c r="I84" i="41"/>
  <c r="J71" i="41"/>
  <c r="I15" i="37"/>
  <c r="I16" i="37"/>
  <c r="I18" i="37"/>
  <c r="I17" i="37"/>
  <c r="I69" i="41"/>
  <c r="I81" i="37"/>
  <c r="I81" i="41" s="1"/>
  <c r="I79" i="37"/>
  <c r="I79" i="41" s="1"/>
  <c r="I80" i="37"/>
  <c r="I80" i="41" s="1"/>
  <c r="I82" i="37"/>
  <c r="J52" i="26"/>
  <c r="J20" i="41"/>
  <c r="I86" i="41"/>
  <c r="J73" i="41"/>
  <c r="I53" i="26"/>
  <c r="I54" i="26"/>
  <c r="I24" i="41"/>
  <c r="J19" i="41"/>
  <c r="J74" i="41"/>
  <c r="J68" i="41"/>
  <c r="I25" i="41"/>
  <c r="J65" i="58"/>
  <c r="J66" i="58"/>
  <c r="J63" i="58"/>
  <c r="J64" i="58"/>
  <c r="J54" i="41"/>
  <c r="J72" i="41"/>
  <c r="H65" i="58"/>
  <c r="H65" i="41" s="1"/>
  <c r="H63" i="58"/>
  <c r="H63" i="41" s="1"/>
  <c r="H66" i="58"/>
  <c r="H66" i="41" s="1"/>
  <c r="H64" i="58"/>
  <c r="H64" i="41" s="1"/>
  <c r="H50" i="58"/>
  <c r="H50" i="41" s="1"/>
  <c r="H48" i="58"/>
  <c r="H48" i="41" s="1"/>
  <c r="H47" i="58"/>
  <c r="H47" i="41" s="1"/>
  <c r="H49" i="58"/>
  <c r="H49" i="41" s="1"/>
  <c r="I31" i="37"/>
  <c r="I32" i="37"/>
  <c r="I34" i="37"/>
  <c r="I33" i="37"/>
  <c r="J67" i="41"/>
  <c r="I23" i="41"/>
  <c r="J79" i="58"/>
  <c r="J80" i="58"/>
  <c r="J81" i="58"/>
  <c r="J82" i="58"/>
  <c r="I42" i="41"/>
  <c r="J15" i="37"/>
  <c r="J16" i="37"/>
  <c r="J18" i="37"/>
  <c r="J17" i="37"/>
  <c r="I47" i="58"/>
  <c r="I48" i="58"/>
  <c r="I50" i="58"/>
  <c r="I49" i="58"/>
  <c r="I15" i="58"/>
  <c r="I16" i="58"/>
  <c r="I18" i="58"/>
  <c r="I17" i="58"/>
  <c r="J69" i="41"/>
  <c r="I26" i="41"/>
  <c r="H18" i="58"/>
  <c r="H17" i="58"/>
  <c r="H16" i="58"/>
  <c r="H15" i="58"/>
  <c r="I62" i="41"/>
  <c r="I63" i="58"/>
  <c r="I63" i="41" s="1"/>
  <c r="I65" i="58"/>
  <c r="I65" i="41" s="1"/>
  <c r="I64" i="58"/>
  <c r="I64" i="41" s="1"/>
  <c r="I66" i="58"/>
  <c r="I66" i="41" s="1"/>
  <c r="I85" i="41"/>
  <c r="I39" i="41"/>
  <c r="J32" i="41"/>
  <c r="J70" i="41"/>
  <c r="J64" i="37"/>
  <c r="J65" i="37"/>
  <c r="J63" i="37"/>
  <c r="J66" i="37"/>
  <c r="J51" i="26"/>
  <c r="J34" i="41"/>
  <c r="J54" i="26"/>
  <c r="I20" i="41"/>
  <c r="J87" i="41"/>
  <c r="I52" i="26"/>
  <c r="J31" i="41"/>
  <c r="J80" i="37"/>
  <c r="J79" i="37"/>
  <c r="J82" i="37"/>
  <c r="J81" i="37"/>
  <c r="I21" i="41"/>
  <c r="I49" i="37"/>
  <c r="I49" i="41" s="1"/>
  <c r="I47" i="37"/>
  <c r="I47" i="41" s="1"/>
  <c r="I48" i="37"/>
  <c r="I48" i="41" s="1"/>
  <c r="I50" i="37"/>
  <c r="I31" i="58"/>
  <c r="I33" i="58"/>
  <c r="I34" i="58"/>
  <c r="I32" i="58"/>
  <c r="J38" i="41"/>
  <c r="H79" i="58"/>
  <c r="H79" i="41" s="1"/>
  <c r="H82" i="58"/>
  <c r="H82" i="41" s="1"/>
  <c r="H81" i="58"/>
  <c r="H81" i="41" s="1"/>
  <c r="H80" i="58"/>
  <c r="H80" i="41" s="1"/>
  <c r="J82" i="41" l="1"/>
  <c r="J80" i="41"/>
  <c r="J66" i="41"/>
  <c r="J79" i="41"/>
  <c r="J63" i="41"/>
  <c r="J65" i="41"/>
  <c r="J64" i="41"/>
  <c r="H18" i="41"/>
  <c r="J18" i="41"/>
  <c r="I18" i="41"/>
  <c r="C58" i="63"/>
  <c r="I33" i="41"/>
  <c r="I16" i="41"/>
  <c r="I423" i="37"/>
  <c r="I15" i="41"/>
  <c r="I424" i="37"/>
  <c r="E17" i="53" s="1"/>
  <c r="F17" i="53" s="1"/>
  <c r="J424" i="58"/>
  <c r="E35" i="53" s="1"/>
  <c r="F35" i="53" s="1"/>
  <c r="H29" i="53" s="1"/>
  <c r="J423" i="58"/>
  <c r="J423" i="37"/>
  <c r="J425" i="37" s="1"/>
  <c r="J15" i="41"/>
  <c r="J424" i="37"/>
  <c r="J81" i="41"/>
  <c r="C48" i="63"/>
  <c r="J16" i="41"/>
  <c r="E29" i="53"/>
  <c r="F29" i="53" s="1"/>
  <c r="F145" i="66"/>
  <c r="I423" i="58"/>
  <c r="I424" i="58"/>
  <c r="F241" i="66" s="1"/>
  <c r="H15" i="41"/>
  <c r="H424" i="58"/>
  <c r="H424" i="41" s="1"/>
  <c r="H423" i="58"/>
  <c r="I34" i="41"/>
  <c r="H16" i="41"/>
  <c r="E11" i="53"/>
  <c r="F11" i="53" s="1"/>
  <c r="F193" i="66"/>
  <c r="I32" i="41"/>
  <c r="I82" i="41"/>
  <c r="I50" i="41"/>
  <c r="H17" i="41"/>
  <c r="C38" i="63"/>
  <c r="J17" i="41"/>
  <c r="C28" i="63"/>
  <c r="I31" i="41"/>
  <c r="I17" i="41"/>
  <c r="C18" i="63"/>
  <c r="J425" i="58"/>
  <c r="C59" i="63" s="1"/>
  <c r="J424" i="41" l="1"/>
  <c r="J425" i="41"/>
  <c r="O3" i="41" s="1"/>
  <c r="C29" i="63"/>
  <c r="C22" i="63"/>
  <c r="H23" i="53"/>
  <c r="G29" i="53"/>
  <c r="E329" i="38" s="1"/>
  <c r="H35" i="53"/>
  <c r="G35" i="53" s="1"/>
  <c r="E341" i="38" s="1"/>
  <c r="E311" i="38"/>
  <c r="M98" i="66" s="1"/>
  <c r="F98" i="66"/>
  <c r="I423" i="41"/>
  <c r="E299" i="38"/>
  <c r="M194" i="66" s="1"/>
  <c r="H423" i="41"/>
  <c r="F194" i="66"/>
  <c r="E23" i="53"/>
  <c r="F23" i="53" s="1"/>
  <c r="H17" i="53" s="1"/>
  <c r="G17" i="53" s="1"/>
  <c r="E305" i="38" s="1"/>
  <c r="H425" i="58"/>
  <c r="H5" i="53"/>
  <c r="G5" i="53" s="1"/>
  <c r="E281" i="38" s="1"/>
  <c r="G11" i="53"/>
  <c r="E293" i="38" s="1"/>
  <c r="F242" i="66"/>
  <c r="E323" i="38"/>
  <c r="M242" i="66" s="1"/>
  <c r="C52" i="63"/>
  <c r="F146" i="66"/>
  <c r="E335" i="38"/>
  <c r="M146" i="66" s="1"/>
  <c r="J423" i="41"/>
  <c r="E347" i="38"/>
  <c r="M290" i="66" s="1"/>
  <c r="F290" i="66"/>
  <c r="F289" i="66"/>
  <c r="I425" i="37"/>
  <c r="I424" i="41"/>
  <c r="F97" i="66"/>
  <c r="I425" i="58"/>
  <c r="N242" i="66" l="1"/>
  <c r="N146" i="66"/>
  <c r="N290" i="66"/>
  <c r="L97" i="66"/>
  <c r="P97" i="66" s="1"/>
  <c r="I484" i="37"/>
  <c r="C39" i="63"/>
  <c r="H425" i="41"/>
  <c r="M3" i="41" s="1"/>
  <c r="C32" i="63"/>
  <c r="L193" i="66"/>
  <c r="H484" i="58"/>
  <c r="L49" i="66"/>
  <c r="H484" i="37"/>
  <c r="N98" i="66"/>
  <c r="C49" i="63"/>
  <c r="C42" i="63"/>
  <c r="N97" i="66"/>
  <c r="G23" i="53"/>
  <c r="E317" i="38" s="1"/>
  <c r="C19" i="63"/>
  <c r="I425" i="41"/>
  <c r="N3" i="41" s="1"/>
  <c r="C12" i="63"/>
  <c r="N194" i="66"/>
  <c r="J484" i="58"/>
  <c r="L289" i="66"/>
  <c r="P289" i="66" s="1"/>
  <c r="L145" i="66"/>
  <c r="J484" i="37"/>
  <c r="Y146" i="66"/>
  <c r="Z146" i="66"/>
  <c r="Z290" i="66"/>
  <c r="Y290" i="66"/>
  <c r="H484" i="41" l="1"/>
  <c r="R49" i="66"/>
  <c r="T49" i="66" s="1"/>
  <c r="N49" i="66"/>
  <c r="P49" i="66"/>
  <c r="V49" i="66" s="1"/>
  <c r="X49" i="66" s="1"/>
  <c r="L241" i="66"/>
  <c r="I484" i="58"/>
  <c r="I484" i="41" s="1"/>
  <c r="J484" i="41"/>
  <c r="Z242" i="66"/>
  <c r="Y242" i="66"/>
  <c r="Y98" i="66"/>
  <c r="Z98" i="66"/>
  <c r="N289" i="66"/>
  <c r="P145" i="66"/>
  <c r="N145" i="66"/>
  <c r="R193" i="66"/>
  <c r="T193" i="66" s="1"/>
  <c r="P193" i="66"/>
  <c r="V193" i="66" s="1"/>
  <c r="X193" i="66" s="1"/>
  <c r="N193" i="66"/>
  <c r="Z194" i="66"/>
  <c r="Y50" i="66"/>
  <c r="Z50" i="66"/>
  <c r="Y194" i="66"/>
  <c r="O289" i="66" l="1"/>
  <c r="O193" i="66"/>
  <c r="Y145" i="66"/>
  <c r="Y289" i="66"/>
  <c r="Z145" i="66"/>
  <c r="O145" i="66"/>
  <c r="Z289" i="66"/>
  <c r="P241" i="66"/>
  <c r="N241" i="66"/>
  <c r="U289" i="66"/>
  <c r="V289" i="66"/>
  <c r="X289" i="66" s="1"/>
  <c r="Q289" i="66"/>
  <c r="R289" i="66" s="1"/>
  <c r="T289" i="66" s="1"/>
  <c r="Y49" i="66"/>
  <c r="Z49" i="66"/>
  <c r="O49" i="66"/>
  <c r="Z193" i="66"/>
  <c r="Y193" i="66"/>
  <c r="Q193" i="66"/>
  <c r="U193" i="66"/>
  <c r="O241" i="66" l="1"/>
  <c r="Z241" i="66"/>
  <c r="O97" i="66"/>
  <c r="Y97" i="66"/>
  <c r="Y241" i="66"/>
  <c r="Z97" i="66"/>
  <c r="U49" i="66"/>
  <c r="Q49" i="66"/>
  <c r="U145" i="66"/>
  <c r="Q145" i="66"/>
  <c r="R145" i="66" s="1"/>
  <c r="T145" i="66" s="1"/>
  <c r="V145" i="66"/>
  <c r="X145" i="66" s="1"/>
  <c r="Q97" i="66" l="1"/>
  <c r="R97" i="66" s="1"/>
  <c r="T97" i="66" s="1"/>
  <c r="U97" i="66"/>
  <c r="V97" i="66"/>
  <c r="X97" i="66" s="1"/>
  <c r="U241" i="66"/>
  <c r="V241" i="66"/>
  <c r="X241" i="66" s="1"/>
  <c r="Q241" i="66"/>
  <c r="R241" i="66" s="1"/>
  <c r="T241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<sst xmlns="http://schemas.openxmlformats.org/spreadsheetml/2006/main" count="4744" uniqueCount="340">
  <si>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</si>
  <si>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</si>
  <si>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</si>
  <si>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</si>
  <si>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</si>
  <si>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</si>
  <si>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</si>
  <si>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</si>
  <si>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</si>
  <si>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</si>
  <si>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</si>
  <si>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</si>
  <si>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</si>
  <si>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</si>
  <si>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</si>
  <si>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</si>
  <si>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</si>
  <si>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</si>
  <si>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</si>
  <si>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</si>
  <si>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</si>
  <si>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</si>
  <si>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</si>
  <si>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</si>
  <si>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</si>
  <si>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</si>
  <si>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</si>
  <si>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</si>
  <si>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</si>
  <si>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</si>
  <si>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</si>
  <si>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</si>
  <si>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</si>
  <si>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</si>
  <si>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</si>
  <si>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</si>
  <si>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</si>
  <si>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</si>
  <si>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</si>
  <si>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</si>
  <si>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</si>
  <si>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</si>
  <si>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</si>
  <si>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</si>
  <si>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</si>
  <si>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</si>
  <si>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</si>
  <si>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</si>
  <si>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</si>
  <si>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</si>
  <si>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</si>
  <si>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</si>
  <si>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</si>
  <si>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</si>
  <si>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</si>
  <si>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</si>
  <si>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</si>
  <si>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</si>
  <si>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</si>
  <si>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</si>
  <si>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</si>
  <si>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</si>
  <si>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</si>
  <si>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</si>
  <si>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</si>
  <si>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</si>
  <si>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</si>
  <si>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</si>
  <si>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</si>
  <si>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</si>
  <si>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</si>
  <si>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</si>
  <si>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</si>
  <si>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</si>
  <si>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</si>
  <si>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</si>
  <si>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</si>
  <si>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</si>
  <si>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</si>
  <si>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</si>
  <si>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</si>
  <si>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</si>
  <si>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</si>
  <si>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</si>
  <si>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</si>
  <si>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</si>
  <si>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</si>
  <si>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</si>
  <si>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</si>
  <si>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</si>
  <si>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</si>
  <si>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</si>
  <si>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</si>
  <si>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</si>
  <si>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</si>
  <si>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</si>
  <si>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</si>
  <si>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</si>
  <si>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</si>
  <si>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</si>
  <si>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</si>
  <si>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</si>
  <si>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</si>
  <si>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</si>
  <si>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</si>
  <si>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</si>
  <si>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</si>
  <si>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</si>
  <si>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</si>
  <si>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</si>
  <si>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</si>
  <si>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</si>
  <si>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</si>
  <si>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</si>
  <si>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</si>
  <si>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</si>
  <si>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</si>
  <si>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</si>
  <si>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</si>
  <si>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</si>
  <si>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</si>
  <si>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</si>
  <si>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</si>
  <si>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</si>
  <si>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</si>
  <si>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</si>
  <si>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</si>
  <si>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</si>
  <si>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</si>
  <si>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</si>
  <si>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</si>
  <si>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</si>
  <si>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</si>
  <si>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</si>
  <si>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</si>
  <si>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</si>
  <si>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</si>
  <si>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</si>
  <si>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</si>
  <si>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</si>
  <si>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</si>
  <si>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</si>
  <si>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</si>
  <si>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</si>
  <si>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</si>
  <si>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</si>
  <si>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</si>
  <si>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</si>
  <si>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</si>
  <si>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</si>
  <si>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</si>
  <si>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</si>
  <si>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</si>
  <si>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</si>
  <si>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</si>
  <si>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</si>
  <si>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</si>
  <si>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</si>
  <si>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</si>
  <si>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</si>
  <si>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</si>
  <si>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</si>
  <si>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</si>
  <si>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</si>
  <si>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</si>
  <si>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</si>
  <si>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</si>
  <si>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</si>
  <si>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</si>
  <si>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</si>
  <si>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</si>
  <si>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</si>
  <si>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</si>
  <si>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</si>
  <si>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</si>
  <si>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</si>
  <si>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</si>
  <si>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</si>
  <si>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</si>
  <si>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</si>
  <si>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</si>
  <si>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</si>
  <si>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</si>
  <si>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</si>
  <si>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</si>
  <si>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</si>
  <si>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</si>
  <si>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</si>
  <si>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</si>
  <si>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</si>
  <si>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</si>
  <si>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</si>
  <si>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</si>
  <si>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</si>
  <si>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</si>
  <si>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</si>
  <si>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</si>
  <si>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</si>
  <si>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</si>
  <si>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</si>
  <si>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</si>
  <si>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</si>
  <si>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</si>
  <si>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</si>
  <si>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</si>
  <si>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</si>
  <si>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</si>
  <si>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</si>
  <si>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</si>
  <si>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</si>
  <si>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</si>
  <si>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</si>
  <si>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</si>
  <si>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</si>
  <si>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</si>
  <si>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</si>
  <si>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</si>
  <si>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</si>
  <si>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</si>
  <si>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</si>
  <si>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</si>
  <si>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</si>
  <si>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</si>
  <si>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</si>
  <si>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</si>
  <si>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</si>
  <si>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</si>
  <si>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</si>
  <si>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</si>
  <si>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</si>
  <si>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</si>
  <si>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</si>
  <si>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</si>
  <si>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</si>
  <si>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</si>
  <si>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</si>
  <si>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</si>
  <si>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</si>
  <si>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</si>
  <si>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</si>
  <si>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</si>
  <si>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</si>
  <si>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</si>
  <si>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</si>
  <si>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</si>
  <si>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</si>
  <si>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</si>
  <si>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</si>
  <si>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</si>
  <si>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</si>
  <si>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</si>
  <si>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</si>
  <si>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</si>
  <si>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</si>
  <si>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</si>
  <si>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</si>
  <si>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</si>
  <si>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</si>
  <si>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</si>
  <si>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</si>
  <si>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</si>
  <si>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</si>
  <si>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</si>
  <si>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</si>
  <si>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</si>
  <si>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</si>
  <si>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</si>
  <si>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</si>
  <si>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</si>
  <si>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</si>
  <si>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</si>
  <si>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</si>
  <si>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</si>
  <si>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</si>
  <si>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</si>
  <si>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</si>
  <si>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</si>
  <si>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</si>
  <si>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</si>
  <si>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</si>
  <si>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</si>
  <si>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</si>
  <si>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</si>
  <si>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</si>
  <si>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</si>
  <si>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</si>
  <si>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</si>
  <si>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</si>
  <si>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</si>
  <si>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</si>
  <si>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</si>
  <si>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</si>
  <si>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</si>
  <si>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</si>
  <si>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</si>
  <si>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</si>
  <si>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</si>
  <si>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</si>
  <si>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</si>
  <si>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</si>
  <si>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</si>
  <si>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</si>
  <si>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</si>
  <si>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</si>
  <si>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</si>
  <si>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</si>
  <si>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</si>
  <si>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</si>
  <si>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</si>
  <si>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</si>
  <si>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</si>
  <si>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</si>
  <si>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</si>
  <si>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</si>
  <si>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</si>
  <si>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</si>
  <si>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</si>
  <si>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</si>
  <si>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</si>
  <si>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</si>
  <si>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</si>
  <si>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</si>
  <si>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</si>
  <si>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</si>
  <si>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</si>
  <si>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</si>
  <si>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</si>
  <si>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</si>
  <si>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</si>
  <si>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</si>
  <si>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</si>
  <si>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</si>
  <si>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</si>
  <si>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</si>
  <si>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</si>
  <si>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</si>
  <si>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</si>
  <si>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</si>
  <si>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</si>
  <si>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Biomasse-scenariet fra MFVM-projekt minus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</si>
</sst>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-452792.62348796544</c:v>
                </c:pt>
                <c:pt idx="2">
                  <c:v>-440421.41166719497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10416099.753436632</c:v>
                </c:pt>
                <c:pt idx="2">
                  <c:v>7816436.4385350784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70714.46091817932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4625.795568945282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585897.98396059568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11677.56258440821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17345.073983380356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50518.159150673164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921525.54308632715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155081.49250673887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41644.367513597048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103139.18553800805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74614.172443133619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249941.24327345032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7390.1149836831491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95299.403912586349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67.440456557930133</c:v>
                </c:pt>
                <c:pt idx="2">
                  <c:v>69.144694188437583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29.457581705455638</c:v>
                </c:pt>
                <c:pt idx="2">
                  <c:v>27.215892259421679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0.4507670343200002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13.01893247752329</c:v>
                </c:pt>
                <c:pt idx="5">
                  <c:v>12.818126714593753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8823313.0931620356</c:v>
                </c:pt>
                <c:pt idx="2">
                  <c:v>9048868.0786811933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2525046.4830080615</c:v>
                </c:pt>
                <c:pt idx="2">
                  <c:v>2341798.7533032778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1968541.7998628975</c:v>
                </c:pt>
                <c:pt idx="2">
                  <c:v>1955560.6437424894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6510.908203702802</c:v>
                </c:pt>
                <c:pt idx="2">
                  <c:v>6723.8136862927022</c:v>
                </c:pt>
                <c:pt idx="15">
                  <c:v>4441.5</c:v>
                </c:pt>
                <c:pt idx="16">
                  <c:v>723.43424485586661</c:v>
                </c:pt>
                <c:pt idx="17">
                  <c:v>747.09040958807782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2420027.9136025696</c:v>
                </c:pt>
                <c:pt idx="11">
                  <c:v>2190222.3139427258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5136146.6628764244</c:v>
                </c:pt>
                <c:pt idx="5">
                  <c:v>5136146.6628764244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10012525.836481437</c:v>
                </c:pt>
                <c:pt idx="2">
                  <c:v>9821205.2946832664</c:v>
                </c:pt>
                <c:pt idx="15">
                  <c:v>9696490.333333334</c:v>
                </c:pt>
                <c:pt idx="16">
                  <c:v>1112502.8707201593</c:v>
                </c:pt>
                <c:pt idx="17">
                  <c:v>1091245.0327425848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1609561.7260275665</c:v>
                </c:pt>
                <c:pt idx="5">
                  <c:v>1609561.7260275665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12426575.77002522</c:v>
                </c:pt>
                <c:pt idx="2">
                  <c:v>11896912.23063612</c:v>
                </c:pt>
                <c:pt idx="15">
                  <c:v>14742130.666666664</c:v>
                </c:pt>
                <c:pt idx="16">
                  <c:v>1380730.6411139129</c:v>
                </c:pt>
                <c:pt idx="17">
                  <c:v>1321879.1367373462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23057912.630213477</c:v>
                </c:pt>
                <c:pt idx="17">
                  <c:v>22424260.40765525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1106852.5688040371</c:v>
                </c:pt>
                <c:pt idx="17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E2C4A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1106852.5688040371</c:v>
                </c:pt>
                <c:pt idx="2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232958.9113036553</c:v>
                </c:pt>
                <c:pt idx="2">
                  <c:v>234184.80513909008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2840877.0171293938</c:v>
                </c:pt>
                <c:pt idx="2">
                  <c:v>2973720.9739199397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25246455.421058252</c:v>
                </c:pt>
                <c:pt idx="2">
                  <c:v>25908831.037530463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1297758.6982125081</c:v>
                </c:pt>
                <c:pt idx="2">
                  <c:v>1336749.1175869717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2222801.0578479809</c:v>
                </c:pt>
                <c:pt idx="2">
                  <c:v>2344360.7093656687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4793694.4895566516</c:v>
                </c:pt>
                <c:pt idx="2">
                  <c:v>4811804.0768148107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48708.38860179724</c:v>
                </c:pt>
                <c:pt idx="2">
                  <c:v>49456.655720713003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-452792.62348796544</c:v>
                </c:pt>
                <c:pt idx="2">
                  <c:v>-440421.41166719497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10416099.753436632</c:v>
                </c:pt>
                <c:pt idx="2">
                  <c:v>7816436.4385350784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1106852.5688040371</c:v>
                </c:pt>
                <c:pt idx="2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232958.9113036553</c:v>
                </c:pt>
                <c:pt idx="2">
                  <c:v>234184.80513909008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2840877.0171293938</c:v>
                </c:pt>
                <c:pt idx="2">
                  <c:v>2973720.9739199397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25246455.421058252</c:v>
                </c:pt>
                <c:pt idx="2">
                  <c:v>25908831.037530463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1297758.6982125081</c:v>
                </c:pt>
                <c:pt idx="2">
                  <c:v>1336749.1175869717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2222801.0578479809</c:v>
                </c:pt>
                <c:pt idx="2">
                  <c:v>2344360.7093656687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4793694.4895566516</c:v>
                </c:pt>
                <c:pt idx="2">
                  <c:v>4811804.0768148107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48708.38860179724</c:v>
                </c:pt>
                <c:pt idx="2">
                  <c:v>49456.655720713003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-452792.62348796544</c:v>
                </c:pt>
                <c:pt idx="2">
                  <c:v>-440421.41166719497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10416099.753436632</c:v>
                </c:pt>
                <c:pt idx="2">
                  <c:v>7816436.4385350784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1106852.5688040371</c:v>
                </c:pt>
                <c:pt idx="2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232958.9113036553</c:v>
                </c:pt>
                <c:pt idx="2">
                  <c:v>234184.80513909008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2840877.0171293938</c:v>
                </c:pt>
                <c:pt idx="2">
                  <c:v>2973720.9739199397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25246455.421058252</c:v>
                </c:pt>
                <c:pt idx="2">
                  <c:v>25908831.037530463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1297758.6982125081</c:v>
                </c:pt>
                <c:pt idx="2">
                  <c:v>1336749.1175869717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2222801.0578479809</c:v>
                </c:pt>
                <c:pt idx="2">
                  <c:v>2344360.7093656687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4793694.4895566516</c:v>
                </c:pt>
                <c:pt idx="2">
                  <c:v>4811804.0768148107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48708.38860179724</c:v>
                </c:pt>
                <c:pt idx="2">
                  <c:v>49456.655720713003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2863529.5604047892</c:v>
                </c:pt>
                <c:pt idx="2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792502.62774827308</c:v>
                </c:pt>
                <c:pt idx="2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91743.361602826306</c:v>
                </c:pt>
                <c:pt idx="2">
                  <c:v>254467.37195031642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232958.9113036553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234184.80513909008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6510.908203702802</c:v>
                </c:pt>
                <c:pt idx="2">
                  <c:v>6723.8136862927022</c:v>
                </c:pt>
                <c:pt idx="15">
                  <c:v>4441.5</c:v>
                </c:pt>
                <c:pt idx="16">
                  <c:v>723.43424485586661</c:v>
                </c:pt>
                <c:pt idx="17">
                  <c:v>747.09040958807782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2420027.9136025696</c:v>
                </c:pt>
                <c:pt idx="11">
                  <c:v>2190222.3139427258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5136146.6628764244</c:v>
                </c:pt>
                <c:pt idx="5">
                  <c:v>5136146.6628764244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10012525.836481437</c:v>
                </c:pt>
                <c:pt idx="2">
                  <c:v>9821205.2946832664</c:v>
                </c:pt>
                <c:pt idx="15">
                  <c:v>9696490.333333334</c:v>
                </c:pt>
                <c:pt idx="16">
                  <c:v>1112502.8707201593</c:v>
                </c:pt>
                <c:pt idx="17">
                  <c:v>1091245.0327425848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1609561.7260275665</c:v>
                </c:pt>
                <c:pt idx="5">
                  <c:v>1609561.7260275665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12426575.77002522</c:v>
                </c:pt>
                <c:pt idx="2">
                  <c:v>11896912.23063612</c:v>
                </c:pt>
                <c:pt idx="15">
                  <c:v>14742130.666666664</c:v>
                </c:pt>
                <c:pt idx="16">
                  <c:v>1380730.6411139129</c:v>
                </c:pt>
                <c:pt idx="17">
                  <c:v>1321879.1367373462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23057912.630213477</c:v>
                </c:pt>
                <c:pt idx="17">
                  <c:v>22424260.40765525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1106852.5688040371</c:v>
                </c:pt>
                <c:pt idx="17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>
            <a:solidFill>
              <a:srgbClr val="BDEEFF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1106852.5688040371</c:v>
                </c:pt>
                <c:pt idx="2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232958.9113036553</c:v>
                </c:pt>
                <c:pt idx="2">
                  <c:v>234184.80513909008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2840877.0171293938</c:v>
                </c:pt>
                <c:pt idx="2">
                  <c:v>2973720.9739199397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25246455.421058252</c:v>
                </c:pt>
                <c:pt idx="2">
                  <c:v>25908831.037530463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1297758.6982125081</c:v>
                </c:pt>
                <c:pt idx="2">
                  <c:v>1336749.1175869717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2222801.0578479809</c:v>
                </c:pt>
                <c:pt idx="2">
                  <c:v>2344360.7093656687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4793694.4895566516</c:v>
                </c:pt>
                <c:pt idx="2">
                  <c:v>4811804.0768148107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48708.38860179724</c:v>
                </c:pt>
                <c:pt idx="2">
                  <c:v>49456.655720713003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67.440456557930133</c:v>
                </c:pt>
                <c:pt idx="2">
                  <c:v>69.144694188437583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29.457581705455638</c:v>
                </c:pt>
                <c:pt idx="2">
                  <c:v>27.215892259421679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0.4507670343200002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13.01893247752329</c:v>
                </c:pt>
                <c:pt idx="5">
                  <c:v>12.818126714593753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8823313.0931620356</c:v>
                </c:pt>
                <c:pt idx="2">
                  <c:v>9048868.0786811933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2525046.4830080615</c:v>
                </c:pt>
                <c:pt idx="2">
                  <c:v>2341798.7533032778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1968541.7998628975</c:v>
                </c:pt>
                <c:pt idx="2">
                  <c:v>1955560.6437424894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C8DC078-BFF8-4056-BD38-F6C34614BE56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4D4543F-87BF-4AB6-9C3C-E20AFEEBCD51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9928E459-3776-4F33-BCDC-F3E3947F60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4093287037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5656960.6347570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0853879.88663437"/>
    </cacheField>
    <cacheField name="Gødning" numFmtId="3">
      <sharedItems containsSemiMixedTypes="0" containsString="0" containsNumber="1" minValue="0" maxValue="19633758.54900625"/>
    </cacheField>
    <cacheField name="Energi" numFmtId="3">
      <sharedItems containsSemiMixedTypes="0" containsString="0" containsNumber="1" minValue="0" maxValue="505656960.63475704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8869956.444662571"/>
    </cacheField>
    <cacheField name="Potentiale til energi [ton]" numFmtId="3">
      <sharedItems containsSemiMixedTypes="0" containsString="0" containsNumber="1" minValue="0" maxValue="18869956.444662571"/>
    </cacheField>
    <cacheField name="Forbrug energi [ton/m3]" numFmtId="3">
      <sharedItems containsSemiMixedTypes="0" containsString="0" containsNumber="1" minValue="0" maxValue="505656960.63475704"/>
    </cacheField>
    <cacheField name="Potentiale til energi [PJ]" numFmtId="0">
      <sharedItems containsSemiMixedTypes="0" containsString="0" containsNumber="1" minValue="0" maxValue="34.718361113623551"/>
    </cacheField>
    <cacheField name="Forbrug/potentiale [PJ]" numFmtId="0">
      <sharedItems containsSemiMixedTypes="0" containsString="0" containsNumber="1" minValue="0" maxValue="34.840793560576984"/>
    </cacheField>
    <cacheField name="Biogasproduktion [PJ]" numFmtId="0">
      <sharedItems containsSemiMixedTypes="0" containsString="0" containsNumber="1" minValue="0" maxValue="4.7319236642239648"/>
    </cacheField>
    <cacheField name="Biomasser til energi eksl. biogas [PJ]" numFmtId="0">
      <sharedItems containsSemiMixedTypes="0" containsString="0" containsNumber="1" minValue="0" maxValue="34.718361113623551"/>
    </cacheField>
    <cacheField name="Potentiale til energi [Ton TS]" numFmtId="0">
      <sharedItems containsSemiMixedTypes="0" containsString="0" containsNumber="1" minValue="0" maxValue="5283587.8045055205"/>
    </cacheField>
    <cacheField name="Forbrug/potentiale [Ton TS]" numFmtId="0">
      <sharedItems containsSemiMixedTypes="0" containsString="0" containsNumber="1" minValue="0" maxValue="5302220.0948225046"/>
    </cacheField>
    <cacheField name="Biogasproduktion [Ton TS]" numFmtId="0">
      <sharedItems containsSemiMixedTypes="0" containsString="0" containsNumber="1" minValue="0" maxValue="710456.94004429423"/>
    </cacheField>
    <cacheField name="Biomasser til energi eksl. biogas [Ton TS]" numFmtId="0">
      <sharedItems containsSemiMixedTypes="0" containsString="0" containsNumber="1" minValue="0" maxValue="5283587.80450552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4094097223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521288.1827652766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4094328707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5656960.6347570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0853879.88663437"/>
    </cacheField>
    <cacheField name="Gødning" numFmtId="3">
      <sharedItems containsSemiMixedTypes="0" containsString="0" containsNumber="1" minValue="0" maxValue="19633758.54900625"/>
    </cacheField>
    <cacheField name="Energi" numFmtId="3">
      <sharedItems containsSemiMixedTypes="0" containsString="0" containsNumber="1" minValue="0" maxValue="505656960.63475704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8869956.444662571"/>
    </cacheField>
    <cacheField name="Potentiale til energi [ton]" numFmtId="3">
      <sharedItems containsSemiMixedTypes="0" containsString="0" containsNumber="1" minValue="0" maxValue="18869956.444662571"/>
    </cacheField>
    <cacheField name="Forbrug energi [ton/m3]" numFmtId="3">
      <sharedItems containsSemiMixedTypes="0" containsString="0" containsNumber="1" minValue="0" maxValue="505656960.63475704"/>
    </cacheField>
    <cacheField name="Potentiale til energi [PJ]" numFmtId="0">
      <sharedItems containsSemiMixedTypes="0" containsString="0" containsNumber="1" minValue="0" maxValue="34.718361113623551"/>
    </cacheField>
    <cacheField name="Forbrug/potentiale [PJ]" numFmtId="0">
      <sharedItems containsSemiMixedTypes="0" containsString="0" containsNumber="1" minValue="0" maxValue="34.840793560576984"/>
    </cacheField>
    <cacheField name="Biogasproduktion [PJ]" numFmtId="0">
      <sharedItems containsSemiMixedTypes="0" containsString="0" containsNumber="1" minValue="0" maxValue="4.7319236642239648"/>
    </cacheField>
    <cacheField name="Biomasser til energi eksl. biogas [PJ]" numFmtId="0">
      <sharedItems containsSemiMixedTypes="0" containsString="0" containsNumber="1" minValue="0" maxValue="34.718361113623551"/>
    </cacheField>
    <cacheField name="Potentiale til energi [Ton TS]" numFmtId="0">
      <sharedItems containsSemiMixedTypes="0" containsString="0" containsNumber="1" minValue="0" maxValue="5283587.8045055205"/>
    </cacheField>
    <cacheField name="Forbrug/potentiale [Ton TS]" numFmtId="0">
      <sharedItems containsSemiMixedTypes="0" containsString="0" containsNumber="1" minValue="0" maxValue="5302220.0948225046"/>
    </cacheField>
    <cacheField name="Biogasproduktion [Ton TS]" numFmtId="0">
      <sharedItems containsSemiMixedTypes="0" containsString="0" containsNumber="1" minValue="0" maxValue="710456.94004429423"/>
    </cacheField>
    <cacheField name="Biomasser til energi eksl. biogas [Ton TS]" numFmtId="0">
      <sharedItems containsSemiMixedTypes="0" containsString="0" containsNumber="1" minValue="0" maxValue="5283587.8045055214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4094560184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5656960.6347570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0853879.88663437"/>
    </cacheField>
    <cacheField name="Gødning" numFmtId="3">
      <sharedItems containsSemiMixedTypes="0" containsString="0" containsNumber="1" minValue="0" maxValue="19633758.54900625"/>
    </cacheField>
    <cacheField name="Energi" numFmtId="3">
      <sharedItems containsSemiMixedTypes="0" containsString="0" containsNumber="1" minValue="0" maxValue="505656960.63475704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8869956.444662571"/>
    </cacheField>
    <cacheField name="Potentiale til energi [ton]" numFmtId="3">
      <sharedItems containsSemiMixedTypes="0" containsString="0" containsNumber="1" minValue="0" maxValue="18869956.444662571"/>
    </cacheField>
    <cacheField name="Forbrug energi [ton/m3]" numFmtId="3">
      <sharedItems containsSemiMixedTypes="0" containsString="0" containsNumber="1" minValue="0" maxValue="505656960.63475704"/>
    </cacheField>
    <cacheField name="Potentiale til energi [PJ]" numFmtId="0">
      <sharedItems containsSemiMixedTypes="0" containsString="0" containsNumber="1" minValue="0" maxValue="34.718361113623551"/>
    </cacheField>
    <cacheField name="Forbrug/potentiale [PJ]" numFmtId="0">
      <sharedItems containsSemiMixedTypes="0" containsString="0" containsNumber="1" minValue="0" maxValue="34.840793560576984"/>
    </cacheField>
    <cacheField name="Biogasproduktion [PJ]" numFmtId="0">
      <sharedItems containsSemiMixedTypes="0" containsString="0" containsNumber="1" minValue="0" maxValue="4.7319236642239648"/>
    </cacheField>
    <cacheField name="Biomasser til energi eksl. biogas [PJ]" numFmtId="0">
      <sharedItems containsSemiMixedTypes="0" containsString="0" containsNumber="1" minValue="0" maxValue="34.718361113623551"/>
    </cacheField>
    <cacheField name="Potentiale til energi [Ton TS]" numFmtId="0">
      <sharedItems containsSemiMixedTypes="0" containsString="0" containsNumber="1" minValue="0" maxValue="5283587.8045055205"/>
    </cacheField>
    <cacheField name="Forbrug/potentiale [Ton TS]" numFmtId="0">
      <sharedItems containsSemiMixedTypes="0" containsString="0" containsNumber="1" minValue="0" maxValue="5302220.0948225046"/>
    </cacheField>
    <cacheField name="Biogasproduktion [Ton TS]" numFmtId="0">
      <sharedItems containsSemiMixedTypes="0" containsString="0" containsNumber="1" minValue="0" maxValue="710456.94004429423"/>
    </cacheField>
    <cacheField name="Biomasser til energi eksl. biogas [Ton TS]" numFmtId="0">
      <sharedItems containsSemiMixedTypes="0" containsString="0" containsNumber="1" minValue="0" maxValue="5283587.8045055214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4094907408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50433498519592468" maxValue="853064.00210361299"/>
    </cacheField>
    <cacheField name="Udbytte, hovedafgrøde" numFmtId="0">
      <sharedItems containsSemiMixedTypes="0" containsString="0" containsNumber="1" minValue="8.3510308523667174" maxValue="19304136.803821374"/>
    </cacheField>
    <cacheField name="Halmudbytte" numFmtId="0">
      <sharedItems containsSemiMixedTypes="0" containsString="0" containsNumber="1" minValue="0" maxValue="2056610.6420093102"/>
    </cacheField>
    <cacheField name="Potentielt til bioenergi" numFmtId="1">
      <sharedItems containsSemiMixedTypes="0" containsString="0" containsNumber="1" minValue="3.7694768510062779" maxValue="19304136.80382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4095023146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754.2866982633659" maxValue="28726652.2660584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4095254631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4095486108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9633758.549006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</r>
  <r>
    <x v="1"/>
    <x v="10"/>
    <n v="0"/>
    <x v="1"/>
    <s v="Vestdanmark"/>
    <n v="224570.40950584275"/>
    <n v="51598.780380153592"/>
    <n v="0"/>
    <n v="0"/>
    <n v="0"/>
    <n v="0"/>
    <n v="0"/>
    <n v="0"/>
    <n v="172971.62912568916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5656960.63475704"/>
    <n v="0"/>
    <n v="0"/>
    <n v="0"/>
    <n v="0"/>
    <n v="0"/>
    <n v="505656960.63475704"/>
    <n v="0"/>
    <n v="0"/>
    <n v="0"/>
    <n v="505656960.63475704"/>
    <n v="0"/>
    <n v="0"/>
    <n v="0"/>
    <n v="0"/>
    <n v="0"/>
    <n v="0"/>
    <n v="0"/>
    <n v="0"/>
  </r>
  <r>
    <x v="4"/>
    <x v="10"/>
    <n v="0"/>
    <x v="1"/>
    <s v="Vestdanmark"/>
    <n v="22052758.669106159"/>
    <n v="0"/>
    <n v="0"/>
    <n v="0"/>
    <n v="0"/>
    <n v="19633758.54900625"/>
    <n v="0"/>
    <n v="0"/>
    <n v="2419000.1200999096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6674.1809084363849"/>
    <n v="0"/>
    <n v="0"/>
    <n v="0"/>
    <n v="6006.7628175927466"/>
    <n v="667.41809084363831"/>
    <n v="0"/>
    <n v="0"/>
    <n v="0"/>
    <n v="0"/>
    <n v="6006.7628175927466"/>
    <n v="0"/>
    <n v="2.8249204854856927E-3"/>
    <n v="2.8249204854856927E-3"/>
    <n v="0"/>
    <n v="0"/>
    <n v="378.42605750834304"/>
    <n v="378.42605750834304"/>
    <n v="0"/>
  </r>
  <r>
    <x v="9"/>
    <x v="10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</r>
  <r>
    <x v="10"/>
    <x v="10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</r>
  <r>
    <x v="11"/>
    <x v="10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8408153.283469509"/>
    <n v="9790151.9274066389"/>
    <n v="0"/>
    <n v="0"/>
    <n v="67006.096493213583"/>
    <n v="0"/>
    <n v="0"/>
    <n v="0"/>
    <n v="18550995.259569656"/>
    <n v="18550995.259569656"/>
    <n v="67006.096493213583"/>
    <n v="34.131512403200723"/>
    <n v="34.254795244986177"/>
    <n v="0.12328284178545135"/>
    <n v="34.131512403200723"/>
    <n v="5194278.6726795044"/>
    <n v="5213040.3796976041"/>
    <n v="18761.707018099805"/>
    <n v="5194278.6726795044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</r>
  <r>
    <x v="16"/>
    <x v="5"/>
    <n v="1"/>
    <x v="1"/>
    <s v="Vestdanmark"/>
    <n v="2966243.8763621217"/>
    <n v="618468.71483434096"/>
    <n v="581579.9632190367"/>
    <n v="0"/>
    <n v="56757.88331613881"/>
    <n v="0"/>
    <n v="1709437.3149926052"/>
    <n v="0"/>
    <n v="0"/>
    <n v="0"/>
    <n v="1766195.198308744"/>
    <n v="0"/>
    <n v="17.99565288322793"/>
    <n v="0.32723984657453098"/>
    <n v="17.668413036653398"/>
    <n v="0"/>
    <n v="1501265.9185624323"/>
    <n v="48244.200818717989"/>
    <n v="1453021.7177437143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</r>
  <r>
    <x v="20"/>
    <x v="10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</r>
  <r>
    <x v="21"/>
    <x v="10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</r>
  <r>
    <x v="22"/>
    <x v="5"/>
    <n v="1"/>
    <x v="1"/>
    <s v="Vestdanmark"/>
    <n v="5381619.5037339376"/>
    <n v="4574649.0044539375"/>
    <n v="0"/>
    <n v="295933.04302308214"/>
    <n v="2914.9101192356643"/>
    <n v="0"/>
    <n v="0"/>
    <n v="0"/>
    <n v="508122.54613768216"/>
    <n v="508122.54613768216"/>
    <n v="2914.9101192356643"/>
    <n v="1.7402485833651025"/>
    <n v="1.7502317424360678"/>
    <n v="9.9831590709654593E-3"/>
    <n v="1.7402485833651025"/>
    <n v="157517.98930268147"/>
    <n v="158421.61143964453"/>
    <n v="903.62213696305594"/>
    <n v="157517.98930268147"/>
  </r>
  <r>
    <x v="23"/>
    <x v="10"/>
    <n v="0"/>
    <x v="1"/>
    <s v="Vestdanmark"/>
    <n v="0"/>
    <n v="0"/>
    <n v="0"/>
    <n v="0"/>
    <n v="0"/>
    <n v="754340.44222441351"/>
    <n v="0"/>
    <n v="0"/>
    <n v="-754340.44222441351"/>
    <n v="0"/>
    <n v="0"/>
    <n v="0"/>
    <n v="0"/>
    <n v="0"/>
    <n v="0"/>
    <n v="0"/>
    <n v="0"/>
    <n v="0"/>
    <n v="0"/>
  </r>
  <r>
    <x v="24"/>
    <x v="2"/>
    <n v="1"/>
    <x v="1"/>
    <s v="Vestdanmark"/>
    <n v="10386797.369068628"/>
    <n v="0"/>
    <n v="0"/>
    <n v="0"/>
    <n v="9348117.6321617663"/>
    <n v="1038679.7369068626"/>
    <n v="0"/>
    <n v="0"/>
    <n v="0"/>
    <n v="0"/>
    <n v="9348117.6321617663"/>
    <n v="0"/>
    <n v="4.7319236642239648"/>
    <n v="4.7319236642239648"/>
    <n v="0"/>
    <n v="0"/>
    <n v="710456.94004429423"/>
    <n v="710456.94004429423"/>
    <n v="0"/>
  </r>
  <r>
    <x v="25"/>
    <x v="10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</r>
  <r>
    <x v="26"/>
    <x v="4"/>
    <n v="1"/>
    <x v="1"/>
    <s v="Vestdanmark"/>
    <n v="5903489.3992296383"/>
    <n v="4525643.0291759707"/>
    <n v="0"/>
    <n v="0"/>
    <n v="255215.75389295255"/>
    <n v="0"/>
    <n v="0"/>
    <n v="0"/>
    <n v="1122630.616160715"/>
    <n v="1122630.616160715"/>
    <n v="255215.75389295255"/>
    <n v="4.0302439120169673"/>
    <n v="4.9464684684926672"/>
    <n v="0.91622455647569978"/>
    <n v="4.0302439120169673"/>
    <n v="336789.1848482145"/>
    <n v="413353.91101610026"/>
    <n v="76564.726167885761"/>
    <n v="336789.1848482145"/>
  </r>
  <r>
    <x v="27"/>
    <x v="10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</r>
  <r>
    <x v="30"/>
    <x v="10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</r>
  <r>
    <x v="31"/>
    <x v="7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</r>
  <r>
    <x v="35"/>
    <x v="10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85245.1379714873"/>
    <n v="171279.2848730098"/>
    <n v="0"/>
    <n v="0"/>
    <n v="0"/>
    <n v="0"/>
    <n v="0"/>
    <n v="0"/>
    <n v="13965.853098477499"/>
    <n v="0"/>
    <n v="0"/>
    <n v="0"/>
    <n v="0"/>
    <n v="0"/>
    <n v="0"/>
    <n v="0"/>
    <n v="0"/>
    <n v="0"/>
    <n v="0"/>
  </r>
  <r>
    <x v="37"/>
    <x v="9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</r>
  <r>
    <x v="38"/>
    <x v="4"/>
    <n v="1"/>
    <x v="1"/>
    <s v="Vestdanmark"/>
    <n v="4923583.0761439931"/>
    <n v="1433600.0178498654"/>
    <n v="0"/>
    <n v="0"/>
    <n v="21927.581361856195"/>
    <n v="0"/>
    <n v="0"/>
    <n v="0"/>
    <n v="3468055.4769322714"/>
    <n v="3468055.4769322714"/>
    <n v="21927.581361856195"/>
    <n v="9.4124412866132623"/>
    <n v="9.4719536195325951"/>
    <n v="5.9512332919332188E-2"/>
    <n v="9.4124412866132623"/>
    <n v="693611.09538645437"/>
    <n v="697996.61165882554"/>
    <n v="4385.5162723712392"/>
    <n v="693611.09538645425"/>
  </r>
  <r>
    <x v="39"/>
    <x v="10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</r>
  <r>
    <x v="40"/>
    <x v="10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</r>
  <r>
    <x v="41"/>
    <x v="1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</r>
  <r>
    <x v="42"/>
    <x v="2"/>
    <n v="1"/>
    <x v="1"/>
    <s v="Vestdanmark"/>
    <n v="12059866.540704856"/>
    <n v="0"/>
    <n v="0"/>
    <n v="0"/>
    <n v="10853879.88663437"/>
    <n v="1205986.6540704854"/>
    <n v="0"/>
    <n v="0"/>
    <n v="0"/>
    <n v="0"/>
    <n v="10853879.88663437"/>
    <n v="0"/>
    <n v="4.6758514551620873"/>
    <n v="4.6758514551620873"/>
    <n v="0"/>
    <n v="0"/>
    <n v="542693.99433171854"/>
    <n v="542693.99433171854"/>
    <n v="0"/>
  </r>
  <r>
    <x v="43"/>
    <x v="10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</r>
  <r>
    <x v="47"/>
    <x v="10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</r>
  <r>
    <x v="0"/>
    <x v="10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</r>
  <r>
    <x v="1"/>
    <x v="10"/>
    <n v="0"/>
    <x v="2"/>
    <s v="Vestdanmark"/>
    <n v="223655.47079475562"/>
    <n v="51598.780380153592"/>
    <n v="0"/>
    <n v="0"/>
    <n v="0"/>
    <n v="0"/>
    <n v="0"/>
    <n v="0"/>
    <n v="172056.6904146020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00890849.83000368"/>
    <n v="0"/>
    <n v="0"/>
    <n v="0"/>
    <n v="0"/>
    <n v="0"/>
    <n v="500890849.83000368"/>
    <n v="0"/>
    <n v="0"/>
    <n v="0"/>
    <n v="500890849.83000368"/>
    <n v="0"/>
    <n v="0"/>
    <n v="0"/>
    <n v="0"/>
    <n v="0"/>
    <n v="0"/>
    <n v="0"/>
    <n v="0"/>
  </r>
  <r>
    <x v="4"/>
    <x v="10"/>
    <n v="0"/>
    <x v="2"/>
    <s v="Vestdanmark"/>
    <n v="21557060.018007066"/>
    <n v="0"/>
    <n v="0"/>
    <n v="0"/>
    <n v="0"/>
    <n v="19033053.068458591"/>
    <n v="0"/>
    <n v="0"/>
    <n v="2524006.9495484754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6892.4253779859373"/>
    <n v="0"/>
    <n v="0"/>
    <n v="0"/>
    <n v="6203.1828401873436"/>
    <n v="689.24253779859362"/>
    <n v="0"/>
    <n v="0"/>
    <n v="0"/>
    <n v="0"/>
    <n v="6203.1828401873436"/>
    <n v="0"/>
    <n v="2.917294857911706E-3"/>
    <n v="2.917294857911706E-3"/>
    <n v="0"/>
    <n v="0"/>
    <n v="390.80051893180263"/>
    <n v="390.80051893180263"/>
    <n v="0"/>
  </r>
  <r>
    <x v="9"/>
    <x v="10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</r>
  <r>
    <x v="10"/>
    <x v="10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</r>
  <r>
    <x v="11"/>
    <x v="10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8726652.266058438"/>
    <n v="9790151.9274066389"/>
    <n v="0"/>
    <n v="0"/>
    <n v="66543.89398922697"/>
    <n v="0"/>
    <n v="0"/>
    <n v="0"/>
    <n v="18869956.444662571"/>
    <n v="18869956.444662571"/>
    <n v="66543.89398922697"/>
    <n v="34.718361113623551"/>
    <n v="34.840793560576984"/>
    <n v="0.12243244695342897"/>
    <n v="34.718361113623551"/>
    <n v="5283587.8045055205"/>
    <n v="5302220.0948225046"/>
    <n v="18632.290316983552"/>
    <n v="5283587.8045055214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</r>
  <r>
    <x v="16"/>
    <x v="5"/>
    <n v="1"/>
    <x v="2"/>
    <s v="Vestdanmark"/>
    <n v="2763935.1567625329"/>
    <n v="618468.71483434096"/>
    <n v="579210.80448009283"/>
    <n v="0"/>
    <n v="56035.402394015458"/>
    <n v="0"/>
    <n v="1510220.2350540829"/>
    <n v="0"/>
    <n v="0"/>
    <n v="0"/>
    <n v="1566255.6374480985"/>
    <n v="0"/>
    <n v="15.932418232879773"/>
    <n v="0.32307435391879191"/>
    <n v="15.609343878960981"/>
    <n v="0"/>
    <n v="1331317.2918308836"/>
    <n v="47630.092034913141"/>
    <n v="1283687.1997959705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</r>
  <r>
    <x v="20"/>
    <x v="10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</r>
  <r>
    <x v="21"/>
    <x v="10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</r>
  <r>
    <x v="22"/>
    <x v="5"/>
    <n v="1"/>
    <x v="2"/>
    <s v="Vestdanmark"/>
    <n v="5384297.8300240729"/>
    <n v="4574649.0044539375"/>
    <n v="0"/>
    <n v="307470.55071854044"/>
    <n v="2890.4979416445458"/>
    <n v="0"/>
    <n v="0"/>
    <n v="0"/>
    <n v="499287.77690995019"/>
    <n v="499287.77690995019"/>
    <n v="2890.4979416445458"/>
    <n v="1.7099907356278123"/>
    <n v="1.719890286408233"/>
    <n v="9.8995507804207402E-3"/>
    <n v="1.7099907356278123"/>
    <n v="154779.21084208455"/>
    <n v="155675.26520399438"/>
    <n v="896.05436190980924"/>
    <n v="154779.21084208458"/>
  </r>
  <r>
    <x v="23"/>
    <x v="10"/>
    <n v="0"/>
    <x v="2"/>
    <s v="Vestdanmark"/>
    <n v="0"/>
    <n v="0"/>
    <n v="0"/>
    <n v="0"/>
    <n v="0"/>
    <n v="666631.0841294959"/>
    <n v="0"/>
    <n v="0"/>
    <n v="-666631.0841294959"/>
    <n v="0"/>
    <n v="0"/>
    <n v="0"/>
    <n v="0"/>
    <n v="0"/>
    <n v="0"/>
    <n v="0"/>
    <n v="0"/>
    <n v="0"/>
    <n v="0"/>
  </r>
  <r>
    <x v="24"/>
    <x v="2"/>
    <n v="1"/>
    <x v="2"/>
    <s v="Vestdanmark"/>
    <n v="10188325.202039858"/>
    <n v="0"/>
    <n v="0"/>
    <n v="0"/>
    <n v="9169492.6818358731"/>
    <n v="1018832.5202039856"/>
    <n v="0"/>
    <n v="0"/>
    <n v="0"/>
    <n v="0"/>
    <n v="9169492.6818358731"/>
    <n v="0"/>
    <n v="4.6415055006185009"/>
    <n v="4.6415055006185009"/>
    <n v="0"/>
    <n v="0"/>
    <n v="696881.44381952635"/>
    <n v="696881.44381952635"/>
    <n v="0"/>
  </r>
  <r>
    <x v="25"/>
    <x v="10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</r>
  <r>
    <x v="26"/>
    <x v="4"/>
    <n v="1"/>
    <x v="2"/>
    <s v="Vestdanmark"/>
    <n v="5948728.1077614166"/>
    <n v="4525643.0291759707"/>
    <n v="0"/>
    <n v="0"/>
    <n v="253140.58627511252"/>
    <n v="0"/>
    <n v="0"/>
    <n v="0"/>
    <n v="1169944.4923103331"/>
    <n v="1169944.4923103331"/>
    <n v="253140.58627511252"/>
    <n v="4.200100727394096"/>
    <n v="5.1088754321217502"/>
    <n v="0.90877470472765409"/>
    <n v="4.200100727394096"/>
    <n v="350983.34769309993"/>
    <n v="426925.52357563371"/>
    <n v="75942.17588253376"/>
    <n v="350983.34769309993"/>
  </r>
  <r>
    <x v="27"/>
    <x v="10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</r>
  <r>
    <x v="30"/>
    <x v="10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</r>
  <r>
    <x v="31"/>
    <x v="7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</r>
  <r>
    <x v="35"/>
    <x v="10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4233.58131497409"/>
    <n v="171279.2848730098"/>
    <n v="0"/>
    <n v="0"/>
    <n v="0"/>
    <n v="0"/>
    <n v="0"/>
    <n v="0"/>
    <n v="12954.296441964281"/>
    <n v="0"/>
    <n v="0"/>
    <n v="0"/>
    <n v="0"/>
    <n v="0"/>
    <n v="0"/>
    <n v="0"/>
    <n v="0"/>
    <n v="0"/>
    <n v="0"/>
  </r>
  <r>
    <x v="37"/>
    <x v="9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</r>
  <r>
    <x v="38"/>
    <x v="4"/>
    <n v="1"/>
    <x v="2"/>
    <s v="Vestdanmark"/>
    <n v="4893003.8959338032"/>
    <n v="1433600.0178498654"/>
    <n v="0"/>
    <n v="0"/>
    <n v="21730.211139686518"/>
    <n v="0"/>
    <n v="0"/>
    <n v="0"/>
    <n v="3437673.6669442514"/>
    <n v="3437673.6669442514"/>
    <n v="21730.211139686518"/>
    <n v="9.3299838390333765"/>
    <n v="9.3889605012749318"/>
    <n v="5.8976662241554796E-2"/>
    <n v="9.3299838390333765"/>
    <n v="687534.73338885035"/>
    <n v="691880.77561678761"/>
    <n v="4346.0422279373042"/>
    <n v="687534.73338885035"/>
  </r>
  <r>
    <x v="39"/>
    <x v="10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</r>
  <r>
    <x v="40"/>
    <x v="10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</r>
  <r>
    <x v="41"/>
    <x v="1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</r>
  <r>
    <x v="42"/>
    <x v="2"/>
    <n v="1"/>
    <x v="2"/>
    <s v="Vestdanmark"/>
    <n v="11545833.414063649"/>
    <n v="0"/>
    <n v="0"/>
    <n v="0"/>
    <n v="10391250.072657285"/>
    <n v="1154583.3414063647"/>
    <n v="0"/>
    <n v="0"/>
    <n v="0"/>
    <n v="0"/>
    <n v="10391250.072657285"/>
    <n v="0"/>
    <n v="4.4765505313007594"/>
    <n v="4.4765505313007594"/>
    <n v="0"/>
    <n v="0"/>
    <n v="519562.50363286427"/>
    <n v="519562.50363286427"/>
    <n v="0"/>
  </r>
  <r>
    <x v="43"/>
    <x v="10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</r>
  <r>
    <x v="47"/>
    <x v="10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</r>
  <r>
    <x v="1"/>
    <x v="10"/>
    <n v="0"/>
    <x v="1"/>
    <s v="Østdanmark"/>
    <n v="66320.575580958233"/>
    <n v="6333.2934029920762"/>
    <n v="0"/>
    <n v="0"/>
    <n v="0"/>
    <n v="0"/>
    <n v="0"/>
    <n v="0"/>
    <n v="59987.28217796616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7001032.45606402"/>
    <n v="0"/>
    <n v="0"/>
    <n v="0"/>
    <n v="0"/>
    <n v="0"/>
    <n v="117001032.45606402"/>
    <n v="0"/>
    <n v="0"/>
    <n v="0"/>
    <n v="117001032.45606402"/>
    <n v="0"/>
    <n v="0"/>
    <n v="0"/>
    <n v="0"/>
    <n v="0"/>
    <n v="0"/>
    <n v="0"/>
    <n v="0"/>
  </r>
  <r>
    <x v="4"/>
    <x v="10"/>
    <n v="0"/>
    <x v="1"/>
    <s v="Østdanmark"/>
    <n v="3846030.9782367097"/>
    <n v="0"/>
    <n v="0"/>
    <n v="0"/>
    <n v="0"/>
    <n v="3424154.0812072256"/>
    <n v="0"/>
    <n v="0"/>
    <n v="421876.89702948416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560.16154012228367"/>
    <n v="0"/>
    <n v="0"/>
    <n v="0"/>
    <n v="504.14538611005531"/>
    <n v="56.016154012228355"/>
    <n v="0"/>
    <n v="0"/>
    <n v="0"/>
    <n v="0"/>
    <n v="504.14538611005531"/>
    <n v="0"/>
    <n v="2.3709453363369792E-4"/>
    <n v="2.3709453363369792E-4"/>
    <n v="0"/>
    <n v="0"/>
    <n v="31.761159324933484"/>
    <n v="31.761159324933484"/>
    <n v="0"/>
  </r>
  <r>
    <x v="9"/>
    <x v="10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</r>
  <r>
    <x v="10"/>
    <x v="10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</r>
  <r>
    <x v="11"/>
    <x v="10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915785.5258047525"/>
    <n v="1201654.4608093714"/>
    <n v="0"/>
    <n v="0"/>
    <n v="18670.90350678641"/>
    <n v="0"/>
    <n v="0"/>
    <n v="0"/>
    <n v="6695460.1614885945"/>
    <n v="6695460.1614885945"/>
    <n v="18670.90350678641"/>
    <n v="12.318809764618829"/>
    <n v="12.353161893208377"/>
    <n v="3.4352128589548649E-2"/>
    <n v="12.318809764618829"/>
    <n v="1874728.8452168067"/>
    <n v="1879956.6981987068"/>
    <n v="5227.8529819001951"/>
    <n v="1874728.8452168067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</r>
  <r>
    <x v="16"/>
    <x v="5"/>
    <n v="1"/>
    <x v="1"/>
    <s v="Østdanmark"/>
    <n v="888494.96140285372"/>
    <n v="75911.558427530035"/>
    <n v="82816.687681498166"/>
    <n v="0"/>
    <n v="19176.116683861201"/>
    <n v="0"/>
    <n v="710590.59860996436"/>
    <n v="0"/>
    <n v="0"/>
    <n v="0"/>
    <n v="729766.7152938256"/>
    <n v="0"/>
    <n v="7.455087481427622"/>
    <n v="0.11056066778546911"/>
    <n v="7.3445268136421529"/>
    <n v="0"/>
    <n v="620301.70799975179"/>
    <n v="16299.69918128202"/>
    <n v="604002.00881846971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</r>
  <r>
    <x v="19"/>
    <x v="1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</r>
  <r>
    <x v="20"/>
    <x v="10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</r>
  <r>
    <x v="21"/>
    <x v="10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</r>
  <r>
    <x v="22"/>
    <x v="5"/>
    <n v="1"/>
    <x v="1"/>
    <s v="Østdanmark"/>
    <n v="1608239.7398434528"/>
    <n v="561497.65842248674"/>
    <n v="0"/>
    <n v="256234.83946537593"/>
    <n v="871.08988076433457"/>
    <n v="0"/>
    <n v="0"/>
    <n v="0"/>
    <n v="789636.15207482583"/>
    <n v="789636.15207482583"/>
    <n v="871.08988076433457"/>
    <n v="2.7043932717949883"/>
    <n v="2.707376632684023"/>
    <n v="2.9833608890345396E-3"/>
    <n v="2.7043932717949883"/>
    <n v="244787.20714319599"/>
    <n v="245057.24500623296"/>
    <n v="270.03786303694369"/>
    <n v="244787.20714319602"/>
  </r>
  <r>
    <x v="23"/>
    <x v="10"/>
    <n v="0"/>
    <x v="1"/>
    <s v="Østdanmark"/>
    <n v="0"/>
    <n v="0"/>
    <n v="0"/>
    <n v="0"/>
    <n v="0"/>
    <n v="352512.12657962355"/>
    <n v="0"/>
    <n v="0"/>
    <n v="-352512.12657962355"/>
    <n v="0"/>
    <n v="0"/>
    <n v="0"/>
    <n v="0"/>
    <n v="0"/>
    <n v="0"/>
    <n v="0"/>
    <n v="0"/>
    <n v="0"/>
    <n v="0"/>
  </r>
  <r>
    <x v="24"/>
    <x v="2"/>
    <n v="1"/>
    <x v="1"/>
    <s v="Østdanmark"/>
    <n v="738231.33813296724"/>
    <n v="0"/>
    <n v="0"/>
    <n v="0"/>
    <n v="664408.20431967056"/>
    <n v="73823.133813296707"/>
    <n v="0"/>
    <n v="0"/>
    <n v="0"/>
    <n v="0"/>
    <n v="664408.20431967056"/>
    <n v="0"/>
    <n v="0.33631678894457406"/>
    <n v="0.33631678894457406"/>
    <n v="0"/>
    <n v="0"/>
    <n v="50495.023528294958"/>
    <n v="50495.023528294958"/>
    <n v="0"/>
  </r>
  <r>
    <x v="25"/>
    <x v="10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</r>
  <r>
    <x v="26"/>
    <x v="4"/>
    <n v="1"/>
    <x v="1"/>
    <s v="Østdanmark"/>
    <n v="1730463.2966817433"/>
    <n v="555482.60888742993"/>
    <n v="0"/>
    <n v="0"/>
    <n v="74810.246107047482"/>
    <n v="0"/>
    <n v="0"/>
    <n v="0"/>
    <n v="1100170.4416872659"/>
    <n v="1100170.4416872659"/>
    <n v="74810.246107047482"/>
    <n v="3.9496118856572848"/>
    <n v="4.2181806691815851"/>
    <n v="0.26856878352430047"/>
    <n v="3.9496118856572844"/>
    <n v="330051.13250617974"/>
    <n v="352494.20633829397"/>
    <n v="22443.073832114245"/>
    <n v="330051.13250617974"/>
  </r>
  <r>
    <x v="27"/>
    <x v="10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</r>
  <r>
    <x v="30"/>
    <x v="10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</r>
  <r>
    <x v="31"/>
    <x v="7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</r>
  <r>
    <x v="35"/>
    <x v="10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5765.551104918435"/>
    <n v="21023.015601598698"/>
    <n v="0"/>
    <n v="0"/>
    <n v="0"/>
    <n v="0"/>
    <n v="0"/>
    <n v="0"/>
    <n v="34742.535503319741"/>
    <n v="0"/>
    <n v="0"/>
    <n v="0"/>
    <n v="0"/>
    <n v="0"/>
    <n v="0"/>
    <n v="0"/>
    <n v="0"/>
    <n v="0"/>
    <n v="0"/>
  </r>
  <r>
    <x v="37"/>
    <x v="9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</r>
  <r>
    <x v="38"/>
    <x v="4"/>
    <n v="1"/>
    <x v="1"/>
    <s v="Østdanmark"/>
    <n v="1508318.1394402247"/>
    <n v="175961.7081777011"/>
    <n v="0"/>
    <n v="0"/>
    <n v="6717.4186381438076"/>
    <n v="0"/>
    <n v="0"/>
    <n v="0"/>
    <n v="1325639.0126243797"/>
    <n v="1325639.0126243797"/>
    <n v="6717.4186381438076"/>
    <n v="3.5978373058230715"/>
    <n v="3.6160686487037395"/>
    <n v="1.8231342880667821E-2"/>
    <n v="3.5978373058230715"/>
    <n v="265127.80252487597"/>
    <n v="266471.28625250474"/>
    <n v="1343.4837276287617"/>
    <n v="265127.80252487597"/>
  </r>
  <r>
    <x v="39"/>
    <x v="10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</r>
  <r>
    <x v="40"/>
    <x v="10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</r>
  <r>
    <x v="41"/>
    <x v="1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</r>
  <r>
    <x v="42"/>
    <x v="2"/>
    <n v="1"/>
    <x v="1"/>
    <s v="Østdanmark"/>
    <n v="1747439.8704342765"/>
    <n v="0"/>
    <n v="0"/>
    <n v="0"/>
    <n v="1572695.883390849"/>
    <n v="174743.98704342762"/>
    <n v="0"/>
    <n v="0"/>
    <n v="0"/>
    <n v="0"/>
    <n v="1572695.883390849"/>
    <n v="0"/>
    <n v="0.67751738656477789"/>
    <n v="0.67751738656477789"/>
    <n v="0"/>
    <n v="0"/>
    <n v="78634.794169542452"/>
    <n v="78634.794169542452"/>
    <n v="0"/>
  </r>
  <r>
    <x v="43"/>
    <x v="10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</r>
  <r>
    <x v="47"/>
    <x v="10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</r>
  <r>
    <x v="0"/>
    <x v="10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</r>
  <r>
    <x v="1"/>
    <x v="10"/>
    <n v="0"/>
    <x v="2"/>
    <s v="Østdanmark"/>
    <n v="68461.408127480128"/>
    <n v="6333.293402992078"/>
    <n v="0"/>
    <n v="0"/>
    <n v="0"/>
    <n v="0"/>
    <n v="0"/>
    <n v="0"/>
    <n v="62128.114724488049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8027054.2952739"/>
    <n v="0"/>
    <n v="0"/>
    <n v="0"/>
    <n v="0"/>
    <n v="0"/>
    <n v="118027054.2952739"/>
    <n v="0"/>
    <n v="0"/>
    <n v="0"/>
    <n v="118027054.2952739"/>
    <n v="0"/>
    <n v="0"/>
    <n v="0"/>
    <n v="0"/>
    <n v="0"/>
    <n v="0"/>
    <n v="0"/>
    <n v="0"/>
  </r>
  <r>
    <x v="4"/>
    <x v="10"/>
    <n v="0"/>
    <x v="2"/>
    <s v="Østdanmark"/>
    <n v="3840921.3635681234"/>
    <n v="0"/>
    <n v="0"/>
    <n v="0"/>
    <n v="0"/>
    <n v="3391207.3391966592"/>
    <n v="0"/>
    <n v="0"/>
    <n v="449714.02437146427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578.47871789484248"/>
    <n v="0"/>
    <n v="0"/>
    <n v="0"/>
    <n v="520.63084610535827"/>
    <n v="57.847871789484238"/>
    <n v="0"/>
    <n v="0"/>
    <n v="0"/>
    <n v="0"/>
    <n v="520.63084610535827"/>
    <n v="0"/>
    <n v="2.4484748061488895E-4"/>
    <n v="2.4484748061488895E-4"/>
    <n v="0"/>
    <n v="0"/>
    <n v="32.799743304637573"/>
    <n v="32.799743304637573"/>
    <n v="0"/>
  </r>
  <r>
    <x v="9"/>
    <x v="10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</r>
  <r>
    <x v="10"/>
    <x v="10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</r>
  <r>
    <x v="11"/>
    <x v="10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259662.159688036"/>
    <n v="1201654.4608093717"/>
    <n v="0"/>
    <n v="0"/>
    <n v="19133.106010773055"/>
    <n v="0"/>
    <n v="0"/>
    <n v="0"/>
    <n v="7038874.5928678913"/>
    <n v="7038874.5928678913"/>
    <n v="19133.106010773055"/>
    <n v="12.950649391552812"/>
    <n v="12.985851914974383"/>
    <n v="3.5202523421571076E-2"/>
    <n v="12.950649391552812"/>
    <n v="1970884.8860030097"/>
    <n v="1976242.1556860262"/>
    <n v="5357.2696830164559"/>
    <n v="1970884.886003009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</r>
  <r>
    <x v="16"/>
    <x v="5"/>
    <n v="1"/>
    <x v="2"/>
    <s v="Østdanmark"/>
    <n v="858262.17444810341"/>
    <n v="75911.55842753005"/>
    <n v="82449.939525946174"/>
    <n v="0"/>
    <n v="19898.597605984571"/>
    <n v="0"/>
    <n v="680002.07888864272"/>
    <n v="0"/>
    <n v="0"/>
    <n v="0"/>
    <n v="699900.67649462726"/>
    <n v="0"/>
    <n v="7.1430959580429878"/>
    <n v="0.11472616044120829"/>
    <n v="7.0283697976017798"/>
    <n v="0"/>
    <n v="594915.57502043317"/>
    <n v="16913.807965086886"/>
    <n v="578001.76705534628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</r>
  <r>
    <x v="19"/>
    <x v="1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</r>
  <r>
    <x v="20"/>
    <x v="10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</r>
  <r>
    <x v="21"/>
    <x v="10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</r>
  <r>
    <x v="22"/>
    <x v="5"/>
    <n v="1"/>
    <x v="2"/>
    <s v="Østdanmark"/>
    <n v="1668103.5195071232"/>
    <n v="561497.65842248686"/>
    <n v="0"/>
    <n v="268249.01834925939"/>
    <n v="895.50205835545398"/>
    <n v="0"/>
    <n v="0"/>
    <n v="0"/>
    <n v="837461.34067702142"/>
    <n v="837461.34067702142"/>
    <n v="895.50205835545398"/>
    <n v="2.8681878472311042"/>
    <n v="2.8712548164106835"/>
    <n v="3.0669691795792609E-3"/>
    <n v="2.8681878472311042"/>
    <n v="259613.01560987663"/>
    <n v="259890.62124796683"/>
    <n v="277.60563809019072"/>
    <n v="259613.01560987663"/>
  </r>
  <r>
    <x v="23"/>
    <x v="10"/>
    <n v="0"/>
    <x v="2"/>
    <s v="Østdanmark"/>
    <n v="0"/>
    <n v="0"/>
    <n v="0"/>
    <n v="0"/>
    <n v="0"/>
    <n v="337366.10305839882"/>
    <n v="0"/>
    <n v="0"/>
    <n v="-337366.10305839882"/>
    <n v="0"/>
    <n v="0"/>
    <n v="0"/>
    <n v="0"/>
    <n v="0"/>
    <n v="0"/>
    <n v="0"/>
    <n v="0"/>
    <n v="0"/>
    <n v="0"/>
  </r>
  <r>
    <x v="24"/>
    <x v="2"/>
    <n v="1"/>
    <x v="2"/>
    <s v="Østdanmark"/>
    <n v="724125.12538599269"/>
    <n v="0"/>
    <n v="0"/>
    <n v="0"/>
    <n v="651712.6128473935"/>
    <n v="72412.512538599258"/>
    <n v="0"/>
    <n v="0"/>
    <n v="0"/>
    <n v="0"/>
    <n v="651712.6128473935"/>
    <n v="0"/>
    <n v="0.32989040749722215"/>
    <n v="0.32989040749722215"/>
    <n v="0"/>
    <n v="0"/>
    <n v="49530.158576401904"/>
    <n v="49530.158576401904"/>
    <n v="0"/>
  </r>
  <r>
    <x v="25"/>
    <x v="10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</r>
  <r>
    <x v="26"/>
    <x v="4"/>
    <n v="1"/>
    <x v="2"/>
    <s v="Østdanmark"/>
    <n v="1806784.2396676533"/>
    <n v="555482.60888743005"/>
    <n v="0"/>
    <n v="0"/>
    <n v="76885.413724887418"/>
    <n v="0"/>
    <n v="0"/>
    <n v="0"/>
    <n v="1174416.2170553359"/>
    <n v="1174416.2170553359"/>
    <n v="76885.413724887418"/>
    <n v="4.2161542192286561"/>
    <n v="4.4921728545010016"/>
    <n v="0.27601863527234588"/>
    <n v="4.2161542192286561"/>
    <n v="352324.86511660076"/>
    <n v="375390.48923406698"/>
    <n v="23065.624117466225"/>
    <n v="352324.86511660076"/>
  </r>
  <r>
    <x v="27"/>
    <x v="10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</r>
  <r>
    <x v="30"/>
    <x v="10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</r>
  <r>
    <x v="31"/>
    <x v="7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</r>
  <r>
    <x v="35"/>
    <x v="10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7525.374880347423"/>
    <n v="21023.015601598701"/>
    <n v="0"/>
    <n v="0"/>
    <n v="0"/>
    <n v="0"/>
    <n v="0"/>
    <n v="0"/>
    <n v="36502.359278748721"/>
    <n v="0"/>
    <n v="0"/>
    <n v="0"/>
    <n v="0"/>
    <n v="0"/>
    <n v="0"/>
    <n v="0"/>
    <n v="0"/>
    <n v="0"/>
    <n v="0"/>
  </r>
  <r>
    <x v="37"/>
    <x v="9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</r>
  <r>
    <x v="38"/>
    <x v="4"/>
    <n v="1"/>
    <x v="2"/>
    <s v="Østdanmark"/>
    <n v="1557006.906908574"/>
    <n v="175961.70817770113"/>
    <n v="0"/>
    <n v="0"/>
    <n v="6914.7888603134843"/>
    <n v="0"/>
    <n v="0"/>
    <n v="0"/>
    <n v="1374130.4098705593"/>
    <n v="1374130.4098705593"/>
    <n v="6914.7888603134843"/>
    <n v="3.7294448976050929"/>
    <n v="3.7482119111635379"/>
    <n v="1.8767013558445209E-2"/>
    <n v="3.7294448976050929"/>
    <n v="274826.0819741119"/>
    <n v="276209.03974617459"/>
    <n v="1382.9577720626969"/>
    <n v="274826.0819741119"/>
  </r>
  <r>
    <x v="39"/>
    <x v="10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</r>
  <r>
    <x v="40"/>
    <x v="10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</r>
  <r>
    <x v="41"/>
    <x v="1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</r>
  <r>
    <x v="42"/>
    <x v="2"/>
    <n v="1"/>
    <x v="2"/>
    <s v="Østdanmark"/>
    <n v="1672957.9533098161"/>
    <n v="0"/>
    <n v="0"/>
    <n v="0"/>
    <n v="1505662.1579788346"/>
    <n v="167295.79533098158"/>
    <n v="0"/>
    <n v="0"/>
    <n v="0"/>
    <n v="0"/>
    <n v="1505662.1579788346"/>
    <n v="0"/>
    <n v="0.64863925765728203"/>
    <n v="0.64863925765728203"/>
    <n v="0"/>
    <n v="0"/>
    <n v="75283.107898941729"/>
    <n v="75283.107898941729"/>
    <n v="0"/>
  </r>
  <r>
    <x v="43"/>
    <x v="10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</r>
  <r>
    <x v="47"/>
    <x v="10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8953607.5749177337"/>
    <s v="CO2 - atmosfære"/>
    <x v="0"/>
  </r>
  <r>
    <s v="Vestdanmark"/>
    <x v="1"/>
    <n v="4046578.8260529838"/>
    <s v="Landbrug"/>
    <x v="1"/>
  </r>
  <r>
    <s v="Vestdanmark"/>
    <x v="1"/>
    <n v="4031787.1463158978"/>
    <s v="Landbrug"/>
    <x v="2"/>
  </r>
  <r>
    <s v="Vestdanmark"/>
    <x v="1"/>
    <n v="1088045.8124689222"/>
    <s v="Landbrug"/>
    <x v="2"/>
  </r>
  <r>
    <s v="Vestdanmark"/>
    <x v="1"/>
    <n v="2154506.8629341"/>
    <s v="Landbrug"/>
    <x v="2"/>
  </r>
  <r>
    <s v="Vestdanmark"/>
    <x v="1"/>
    <n v="-37462.493699251529"/>
    <s v="Hav"/>
    <x v="3"/>
  </r>
  <r>
    <s v="Vestdanmark"/>
    <x v="1"/>
    <n v="-1423173.0735050682"/>
    <s v="Skov"/>
    <x v="4"/>
  </r>
  <r>
    <s v="Vestdanmark"/>
    <x v="1"/>
    <n v="-493450.63787402952"/>
    <s v="HWP"/>
    <x v="5"/>
  </r>
  <r>
    <s v="Vestdanmark"/>
    <x v="1"/>
    <n v="-413224.8677758188"/>
    <s v="Biogasanlæg"/>
    <x v="6"/>
  </r>
  <r>
    <s v="Vestdanmark"/>
    <x v="1"/>
    <n v="0"/>
    <s v="Pyrolyseproces"/>
    <x v="7"/>
  </r>
  <r>
    <s v="Vestdanmark"/>
    <x v="2"/>
    <n v="6690584.305927664"/>
    <s v="CO2 - atmosfære"/>
    <x v="0"/>
  </r>
  <r>
    <s v="Vestdanmark"/>
    <x v="2"/>
    <n v="4029816.5016583097"/>
    <s v="Landbrug"/>
    <x v="1"/>
  </r>
  <r>
    <s v="Vestdanmark"/>
    <x v="2"/>
    <n v="3804300.9790056865"/>
    <s v="Landbrug"/>
    <x v="2"/>
  </r>
  <r>
    <s v="Vestdanmark"/>
    <x v="2"/>
    <n v="1088045.8124689227"/>
    <s v="Landbrug"/>
    <x v="2"/>
  </r>
  <r>
    <s v="Vestdanmark"/>
    <x v="2"/>
    <n v="2154506.8629340995"/>
    <s v="Landbrug"/>
    <x v="2"/>
  </r>
  <r>
    <s v="Vestdanmark"/>
    <x v="2"/>
    <n v="-37462.493699251529"/>
    <s v="Hav"/>
    <x v="3"/>
  </r>
  <r>
    <s v="Vestdanmark"/>
    <x v="2"/>
    <n v="-2521288.1827652766"/>
    <s v="Skov"/>
    <x v="4"/>
  </r>
  <r>
    <s v="Vestdanmark"/>
    <x v="2"/>
    <n v="-1425254.7542948411"/>
    <s v="HWP"/>
    <x v="5"/>
  </r>
  <r>
    <s v="Vestdanmark"/>
    <x v="2"/>
    <n v="-402080.41937998723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462492.1785188979"/>
    <s v="CO2 - atmosfære"/>
    <x v="0"/>
  </r>
  <r>
    <s v="Østdanmark"/>
    <x v="1"/>
    <n v="359274.67944464367"/>
    <s v="Landbrug"/>
    <x v="1"/>
  </r>
  <r>
    <s v="Østdanmark"/>
    <x v="1"/>
    <n v="1228927.7363285178"/>
    <s v="Landbrug"/>
    <x v="2"/>
  </r>
  <r>
    <s v="Østdanmark"/>
    <x v="1"/>
    <n v="117269.43380756295"/>
    <s v="Landbrug"/>
    <x v="2"/>
  </r>
  <r>
    <s v="Østdanmark"/>
    <x v="1"/>
    <n v="232146.66455890334"/>
    <s v="Landbrug"/>
    <x v="2"/>
  </r>
  <r>
    <s v="Østdanmark"/>
    <x v="1"/>
    <n v="-12810.937899750508"/>
    <s v="Hav"/>
    <x v="3"/>
  </r>
  <r>
    <s v="Østdanmark"/>
    <x v="1"/>
    <n v="-284763.93674946815"/>
    <s v="Skov"/>
    <x v="4"/>
  </r>
  <r>
    <s v="Østdanmark"/>
    <x v="1"/>
    <n v="-137983.70525936465"/>
    <s v="HWP"/>
    <x v="5"/>
  </r>
  <r>
    <s v="Østdanmark"/>
    <x v="1"/>
    <n v="-39567.755712146653"/>
    <s v="Biogasanlæg"/>
    <x v="6"/>
  </r>
  <r>
    <s v="Østdanmark"/>
    <x v="1"/>
    <n v="0"/>
    <s v="Pyrolyseproces"/>
    <x v="7"/>
  </r>
  <r>
    <s v="Østdanmark"/>
    <x v="2"/>
    <n v="1125852.1326074144"/>
    <s v="CO2 - atmosfære"/>
    <x v="0"/>
  </r>
  <r>
    <s v="Østdanmark"/>
    <x v="2"/>
    <n v="358368.22621777962"/>
    <s v="Landbrug"/>
    <x v="1"/>
  </r>
  <r>
    <s v="Østdanmark"/>
    <x v="2"/>
    <n v="1204409.4207982279"/>
    <s v="Landbrug"/>
    <x v="2"/>
  </r>
  <r>
    <s v="Østdanmark"/>
    <x v="2"/>
    <n v="117269.43380756291"/>
    <s v="Landbrug"/>
    <x v="2"/>
  </r>
  <r>
    <s v="Østdanmark"/>
    <x v="2"/>
    <n v="232146.66455890334"/>
    <s v="Landbrug"/>
    <x v="2"/>
  </r>
  <r>
    <s v="Østdanmark"/>
    <x v="2"/>
    <n v="-12810.937899750508"/>
    <s v="Hav"/>
    <x v="3"/>
  </r>
  <r>
    <s v="Østdanmark"/>
    <x v="2"/>
    <n v="-452426.94773979689"/>
    <s v="Skov"/>
    <x v="4"/>
  </r>
  <r>
    <s v="Østdanmark"/>
    <x v="2"/>
    <n v="-282762.73484830488"/>
    <s v="HWP"/>
    <x v="5"/>
  </r>
  <r>
    <s v="Østdanmark"/>
    <x v="2"/>
    <n v="-38340.992287207751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51598.780380153592"/>
    <n v="0"/>
    <n v="0"/>
    <n v="0"/>
    <n v="0"/>
    <n v="0"/>
    <n v="0"/>
    <n v="172971.62912568916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5656960.63475704"/>
    <n v="0"/>
    <n v="0"/>
    <n v="0"/>
    <n v="0"/>
    <n v="0"/>
    <n v="505656960.63475704"/>
    <n v="0"/>
    <n v="0"/>
    <n v="0"/>
    <n v="505656960.63475704"/>
    <n v="0"/>
    <n v="0"/>
    <n v="0"/>
    <n v="0"/>
    <n v="0"/>
    <n v="0"/>
    <n v="0"/>
    <n v="0"/>
    <n v="0"/>
    <x v="1"/>
  </r>
  <r>
    <x v="4"/>
    <s v=""/>
    <n v="0"/>
    <x v="1"/>
    <s v="Vestdanmark"/>
    <n v="22052758.669106159"/>
    <n v="0"/>
    <n v="0"/>
    <n v="0"/>
    <n v="0"/>
    <n v="19633758.54900625"/>
    <n v="0"/>
    <n v="0"/>
    <n v="2419000.1200999096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6674.1809084363849"/>
    <n v="0"/>
    <n v="0"/>
    <n v="0"/>
    <n v="6006.7628175927466"/>
    <n v="667.41809084363831"/>
    <n v="0"/>
    <n v="0"/>
    <n v="0"/>
    <n v="0"/>
    <n v="6006.7628175927466"/>
    <n v="0"/>
    <n v="2.8249204854856927E-3"/>
    <n v="2.8249204854856927E-3"/>
    <n v="0"/>
    <n v="0"/>
    <n v="378.42605750834304"/>
    <n v="378.42605750834304"/>
    <n v="0"/>
    <n v="0"/>
    <x v="1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8408153.283469509"/>
    <n v="9790151.9274066389"/>
    <n v="0"/>
    <n v="0"/>
    <n v="67006.096493213583"/>
    <n v="0"/>
    <n v="0"/>
    <n v="0"/>
    <n v="18550995.259569656"/>
    <n v="18550995.259569656"/>
    <n v="67006.096493213583"/>
    <n v="34.131512403200723"/>
    <n v="34.254795244986177"/>
    <n v="0.12328284178545135"/>
    <n v="34.131512403200723"/>
    <n v="5194278.6726795044"/>
    <n v="5213040.3796976041"/>
    <n v="18761.707018099805"/>
    <n v="5194278.6726795044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66243.8763621217"/>
    <n v="618468.71483434096"/>
    <n v="581579.9632190367"/>
    <n v="0"/>
    <n v="56757.88331613881"/>
    <n v="0"/>
    <n v="1709437.3149926052"/>
    <n v="0"/>
    <n v="0"/>
    <n v="0"/>
    <n v="1766195.198308744"/>
    <n v="0"/>
    <n v="17.99565288322793"/>
    <n v="0.32723984657453098"/>
    <n v="17.668413036653398"/>
    <n v="0"/>
    <n v="1501265.9185624323"/>
    <n v="48244.200818717989"/>
    <n v="1453021.7177437143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n v="1"/>
    <x v="1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4574649.0044539375"/>
    <n v="0"/>
    <n v="295933.04302308214"/>
    <n v="2914.9101192356643"/>
    <n v="0"/>
    <n v="0"/>
    <n v="0"/>
    <n v="508122.54613768216"/>
    <n v="508122.54613768216"/>
    <n v="2914.9101192356643"/>
    <n v="1.7402485833651025"/>
    <n v="1.7502317424360678"/>
    <n v="9.9831590709654593E-3"/>
    <n v="1.7402485833651025"/>
    <n v="157517.98930268147"/>
    <n v="158421.61143964453"/>
    <n v="903.62213696305594"/>
    <n v="157517.98930268147"/>
    <n v="0"/>
    <x v="0"/>
  </r>
  <r>
    <x v="23"/>
    <s v=""/>
    <n v="0"/>
    <x v="1"/>
    <s v="Vestdanmark"/>
    <n v="0"/>
    <n v="0"/>
    <n v="0"/>
    <n v="0"/>
    <n v="0"/>
    <n v="754340.44222441351"/>
    <n v="0"/>
    <n v="0"/>
    <n v="-754340.4422244135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386797.369068628"/>
    <n v="0"/>
    <n v="0"/>
    <n v="0"/>
    <n v="9348117.6321617663"/>
    <n v="1038679.7369068626"/>
    <n v="0"/>
    <n v="0"/>
    <n v="0"/>
    <n v="0"/>
    <n v="9348117.6321617663"/>
    <n v="0"/>
    <n v="4.7319236642239648"/>
    <n v="4.7319236642239648"/>
    <n v="0"/>
    <n v="0"/>
    <n v="710456.94004429423"/>
    <n v="710456.94004429423"/>
    <n v="0"/>
    <n v="0"/>
    <x v="1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4525643.0291759707"/>
    <n v="0"/>
    <n v="0"/>
    <n v="255215.75389295255"/>
    <n v="0"/>
    <n v="0"/>
    <n v="0"/>
    <n v="1122630.616160715"/>
    <n v="1122630.616160715"/>
    <n v="255215.75389295255"/>
    <n v="4.0302439120169673"/>
    <n v="4.9464684684926672"/>
    <n v="0.91622455647569978"/>
    <n v="4.0302439120169673"/>
    <n v="336789.1848482145"/>
    <n v="413353.91101610026"/>
    <n v="76564.726167885761"/>
    <n v="336789.1848482145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85245.1379714873"/>
    <n v="171279.2848730098"/>
    <n v="0"/>
    <n v="0"/>
    <n v="0"/>
    <n v="0"/>
    <n v="0"/>
    <n v="0"/>
    <n v="13965.853098477499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n v="0"/>
    <x v="1"/>
  </r>
  <r>
    <x v="38"/>
    <s v="Græs og urter"/>
    <n v="1"/>
    <x v="1"/>
    <s v="Vestdanmark"/>
    <n v="4923583.0761439931"/>
    <n v="1433600.0178498654"/>
    <n v="0"/>
    <n v="0"/>
    <n v="21927.581361856195"/>
    <n v="0"/>
    <n v="0"/>
    <n v="0"/>
    <n v="3468055.4769322714"/>
    <n v="3468055.4769322714"/>
    <n v="21927.581361856195"/>
    <n v="9.4124412866132623"/>
    <n v="9.4719536195325951"/>
    <n v="5.9512332919332188E-2"/>
    <n v="9.4124412866132623"/>
    <n v="693611.09538645437"/>
    <n v="697996.61165882554"/>
    <n v="4385.5162723712392"/>
    <n v="693611.09538645425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n v="0"/>
    <x v="0"/>
  </r>
  <r>
    <x v="42"/>
    <s v="Husdyrgødning"/>
    <n v="1"/>
    <x v="1"/>
    <s v="Vestdanmark"/>
    <n v="12059866.540704856"/>
    <n v="0"/>
    <n v="0"/>
    <n v="0"/>
    <n v="10853879.88663437"/>
    <n v="1205986.6540704854"/>
    <n v="0"/>
    <n v="0"/>
    <n v="0"/>
    <n v="0"/>
    <n v="10853879.88663437"/>
    <n v="0"/>
    <n v="4.6758514551620873"/>
    <n v="4.6758514551620873"/>
    <n v="0"/>
    <n v="0"/>
    <n v="542693.99433171854"/>
    <n v="542693.99433171854"/>
    <n v="0"/>
    <n v="0"/>
    <x v="1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n v="0"/>
    <x v="1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51598.780380153592"/>
    <n v="0"/>
    <n v="0"/>
    <n v="0"/>
    <n v="0"/>
    <n v="0"/>
    <n v="0"/>
    <n v="172056.6904146020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00890849.83000368"/>
    <n v="0"/>
    <n v="0"/>
    <n v="0"/>
    <n v="0"/>
    <n v="0"/>
    <n v="500890849.83000368"/>
    <n v="0"/>
    <n v="0"/>
    <n v="0"/>
    <n v="500890849.83000368"/>
    <n v="0"/>
    <n v="0"/>
    <n v="0"/>
    <n v="0"/>
    <n v="0"/>
    <n v="0"/>
    <n v="0"/>
    <n v="0"/>
    <n v="0"/>
    <x v="1"/>
  </r>
  <r>
    <x v="4"/>
    <s v=""/>
    <n v="0"/>
    <x v="2"/>
    <s v="Vestdanmark"/>
    <n v="21557060.018007066"/>
    <n v="0"/>
    <n v="0"/>
    <n v="0"/>
    <n v="0"/>
    <n v="19033053.068458591"/>
    <n v="0"/>
    <n v="0"/>
    <n v="2524006.949548475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6892.4253779859373"/>
    <n v="0"/>
    <n v="0"/>
    <n v="0"/>
    <n v="6203.1828401873436"/>
    <n v="689.24253779859362"/>
    <n v="0"/>
    <n v="0"/>
    <n v="0"/>
    <n v="0"/>
    <n v="6203.1828401873436"/>
    <n v="0"/>
    <n v="2.917294857911706E-3"/>
    <n v="2.917294857911706E-3"/>
    <n v="0"/>
    <n v="0"/>
    <n v="390.80051893180263"/>
    <n v="390.80051893180263"/>
    <n v="0"/>
    <n v="0"/>
    <x v="1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8726652.266058438"/>
    <n v="9790151.9274066389"/>
    <n v="0"/>
    <n v="0"/>
    <n v="66543.89398922697"/>
    <n v="0"/>
    <n v="0"/>
    <n v="0"/>
    <n v="18869956.444662571"/>
    <n v="18869956.444662571"/>
    <n v="66543.89398922697"/>
    <n v="34.718361113623551"/>
    <n v="34.840793560576984"/>
    <n v="0.12243244695342897"/>
    <n v="34.718361113623551"/>
    <n v="5283587.8045055205"/>
    <n v="5302220.0948225046"/>
    <n v="18632.290316983552"/>
    <n v="5283587.8045055214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763935.1567625329"/>
    <n v="618468.71483434096"/>
    <n v="579210.80448009283"/>
    <n v="0"/>
    <n v="56035.402394015458"/>
    <n v="0"/>
    <n v="1510220.2350540829"/>
    <n v="0"/>
    <n v="0"/>
    <n v="0"/>
    <n v="1566255.6374480985"/>
    <n v="0"/>
    <n v="15.932418232879773"/>
    <n v="0.32307435391879191"/>
    <n v="15.609343878960981"/>
    <n v="0"/>
    <n v="1331317.2918308836"/>
    <n v="47630.092034913141"/>
    <n v="1283687.1997959705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n v="1"/>
    <x v="1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4574649.0044539375"/>
    <n v="0"/>
    <n v="307470.55071854044"/>
    <n v="2890.4979416445458"/>
    <n v="0"/>
    <n v="0"/>
    <n v="0"/>
    <n v="499287.77690995019"/>
    <n v="499287.77690995019"/>
    <n v="2890.4979416445458"/>
    <n v="1.7099907356278123"/>
    <n v="1.719890286408233"/>
    <n v="9.8995507804207402E-3"/>
    <n v="1.7099907356278123"/>
    <n v="154779.21084208455"/>
    <n v="155675.26520399438"/>
    <n v="896.05436190980924"/>
    <n v="154779.21084208458"/>
    <n v="0"/>
    <x v="0"/>
  </r>
  <r>
    <x v="23"/>
    <s v=""/>
    <n v="0"/>
    <x v="2"/>
    <s v="Vestdanmark"/>
    <n v="0"/>
    <n v="0"/>
    <n v="0"/>
    <n v="0"/>
    <n v="0"/>
    <n v="666631.0841294959"/>
    <n v="0"/>
    <n v="0"/>
    <n v="-666631.0841294959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0188325.202039858"/>
    <n v="0"/>
    <n v="0"/>
    <n v="0"/>
    <n v="9169492.6818358731"/>
    <n v="1018832.5202039856"/>
    <n v="0"/>
    <n v="0"/>
    <n v="0"/>
    <n v="0"/>
    <n v="9169492.6818358731"/>
    <n v="0"/>
    <n v="4.6415055006185009"/>
    <n v="4.6415055006185009"/>
    <n v="0"/>
    <n v="0"/>
    <n v="696881.44381952635"/>
    <n v="696881.44381952635"/>
    <n v="0"/>
    <n v="0"/>
    <x v="1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4525643.0291759707"/>
    <n v="0"/>
    <n v="0"/>
    <n v="253140.58627511252"/>
    <n v="0"/>
    <n v="0"/>
    <n v="0"/>
    <n v="1169944.4923103331"/>
    <n v="1169944.4923103331"/>
    <n v="253140.58627511252"/>
    <n v="4.200100727394096"/>
    <n v="5.1088754321217502"/>
    <n v="0.90877470472765409"/>
    <n v="4.200100727394096"/>
    <n v="350983.34769309993"/>
    <n v="426925.52357563371"/>
    <n v="75942.17588253376"/>
    <n v="350983.34769309993"/>
    <n v="0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4233.58131497409"/>
    <n v="171279.2848730098"/>
    <n v="0"/>
    <n v="0"/>
    <n v="0"/>
    <n v="0"/>
    <n v="0"/>
    <n v="0"/>
    <n v="12954.296441964281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n v="0"/>
    <x v="1"/>
  </r>
  <r>
    <x v="38"/>
    <s v="Græs og urter"/>
    <n v="1"/>
    <x v="2"/>
    <s v="Vestdanmark"/>
    <n v="4893003.8959338032"/>
    <n v="1433600.0178498654"/>
    <n v="0"/>
    <n v="0"/>
    <n v="21730.211139686518"/>
    <n v="0"/>
    <n v="0"/>
    <n v="0"/>
    <n v="3437673.6669442514"/>
    <n v="3437673.6669442514"/>
    <n v="21730.211139686518"/>
    <n v="9.3299838390333765"/>
    <n v="9.3889605012749318"/>
    <n v="5.8976662241554796E-2"/>
    <n v="9.3299838390333765"/>
    <n v="687534.73338885035"/>
    <n v="691880.77561678761"/>
    <n v="4346.0422279373042"/>
    <n v="687534.73338885035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n v="0"/>
    <x v="0"/>
  </r>
  <r>
    <x v="42"/>
    <s v="Husdyrgødning"/>
    <n v="1"/>
    <x v="2"/>
    <s v="Vestdanmark"/>
    <n v="11545833.414063649"/>
    <n v="0"/>
    <n v="0"/>
    <n v="0"/>
    <n v="10391250.072657285"/>
    <n v="1154583.3414063647"/>
    <n v="0"/>
    <n v="0"/>
    <n v="0"/>
    <n v="0"/>
    <n v="10391250.072657285"/>
    <n v="0"/>
    <n v="4.4765505313007594"/>
    <n v="4.4765505313007594"/>
    <n v="0"/>
    <n v="0"/>
    <n v="519562.50363286427"/>
    <n v="519562.50363286427"/>
    <n v="0"/>
    <n v="0"/>
    <x v="1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n v="0"/>
    <x v="1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6333.2934029920762"/>
    <n v="0"/>
    <n v="0"/>
    <n v="0"/>
    <n v="0"/>
    <n v="0"/>
    <n v="0"/>
    <n v="59987.28217796616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7001032.45606402"/>
    <n v="0"/>
    <n v="0"/>
    <n v="0"/>
    <n v="0"/>
    <n v="0"/>
    <n v="117001032.45606402"/>
    <n v="0"/>
    <n v="0"/>
    <n v="0"/>
    <n v="117001032.45606402"/>
    <n v="0"/>
    <n v="0"/>
    <n v="0"/>
    <n v="0"/>
    <n v="0"/>
    <n v="0"/>
    <n v="0"/>
    <n v="0"/>
    <n v="0"/>
    <x v="1"/>
  </r>
  <r>
    <x v="4"/>
    <s v=""/>
    <n v="0"/>
    <x v="1"/>
    <s v="Østdanmark"/>
    <n v="3846030.9782367097"/>
    <n v="0"/>
    <n v="0"/>
    <n v="0"/>
    <n v="0"/>
    <n v="3424154.0812072256"/>
    <n v="0"/>
    <n v="0"/>
    <n v="421876.89702948416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560.16154012228367"/>
    <n v="0"/>
    <n v="0"/>
    <n v="0"/>
    <n v="504.14538611005531"/>
    <n v="56.016154012228355"/>
    <n v="0"/>
    <n v="0"/>
    <n v="0"/>
    <n v="0"/>
    <n v="504.14538611005531"/>
    <n v="0"/>
    <n v="2.3709453363369792E-4"/>
    <n v="2.3709453363369792E-4"/>
    <n v="0"/>
    <n v="0"/>
    <n v="31.761159324933484"/>
    <n v="31.761159324933484"/>
    <n v="0"/>
    <n v="0"/>
    <x v="1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915785.5258047525"/>
    <n v="1201654.4608093714"/>
    <n v="0"/>
    <n v="0"/>
    <n v="18670.90350678641"/>
    <n v="0"/>
    <n v="0"/>
    <n v="0"/>
    <n v="6695460.1614885945"/>
    <n v="6695460.1614885945"/>
    <n v="18670.90350678641"/>
    <n v="12.318809764618829"/>
    <n v="12.353161893208377"/>
    <n v="3.4352128589548649E-2"/>
    <n v="12.318809764618829"/>
    <n v="1874728.8452168067"/>
    <n v="1879956.6981987068"/>
    <n v="5227.8529819001951"/>
    <n v="1874728.8452168067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88494.96140285372"/>
    <n v="75911.558427530035"/>
    <n v="82816.687681498166"/>
    <n v="0"/>
    <n v="19176.116683861201"/>
    <n v="0"/>
    <n v="710590.59860996436"/>
    <n v="0"/>
    <n v="0"/>
    <n v="0"/>
    <n v="729766.7152938256"/>
    <n v="0"/>
    <n v="7.455087481427622"/>
    <n v="0.11056066778546911"/>
    <n v="7.3445268136421529"/>
    <n v="0"/>
    <n v="620301.70799975179"/>
    <n v="16299.69918128202"/>
    <n v="604002.00881846971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n v="1"/>
    <x v="1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561497.65842248674"/>
    <n v="0"/>
    <n v="256234.83946537593"/>
    <n v="871.08988076433457"/>
    <n v="0"/>
    <n v="0"/>
    <n v="0"/>
    <n v="789636.15207482583"/>
    <n v="789636.15207482583"/>
    <n v="871.08988076433457"/>
    <n v="2.7043932717949883"/>
    <n v="2.707376632684023"/>
    <n v="2.9833608890345396E-3"/>
    <n v="2.7043932717949883"/>
    <n v="244787.20714319599"/>
    <n v="245057.24500623296"/>
    <n v="270.03786303694369"/>
    <n v="244787.20714319602"/>
    <n v="0"/>
    <x v="0"/>
  </r>
  <r>
    <x v="23"/>
    <s v=""/>
    <n v="0"/>
    <x v="1"/>
    <s v="Østdanmark"/>
    <n v="0"/>
    <n v="0"/>
    <n v="0"/>
    <n v="0"/>
    <n v="0"/>
    <n v="352512.12657962355"/>
    <n v="0"/>
    <n v="0"/>
    <n v="-352512.12657962355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38231.33813296724"/>
    <n v="0"/>
    <n v="0"/>
    <n v="0"/>
    <n v="664408.20431967056"/>
    <n v="73823.133813296707"/>
    <n v="0"/>
    <n v="0"/>
    <n v="0"/>
    <n v="0"/>
    <n v="664408.20431967056"/>
    <n v="0"/>
    <n v="0.33631678894457406"/>
    <n v="0.33631678894457406"/>
    <n v="0"/>
    <n v="0"/>
    <n v="50495.023528294958"/>
    <n v="50495.023528294958"/>
    <n v="0"/>
    <n v="0"/>
    <x v="1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555482.60888742993"/>
    <n v="0"/>
    <n v="0"/>
    <n v="74810.246107047482"/>
    <n v="0"/>
    <n v="0"/>
    <n v="0"/>
    <n v="1100170.4416872659"/>
    <n v="1100170.4416872659"/>
    <n v="74810.246107047482"/>
    <n v="3.9496118856572848"/>
    <n v="4.2181806691815851"/>
    <n v="0.26856878352430047"/>
    <n v="3.9496118856572844"/>
    <n v="330051.13250617974"/>
    <n v="352494.20633829397"/>
    <n v="22443.073832114245"/>
    <n v="330051.13250617974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5765.551104918435"/>
    <n v="21023.015601598698"/>
    <n v="0"/>
    <n v="0"/>
    <n v="0"/>
    <n v="0"/>
    <n v="0"/>
    <n v="0"/>
    <n v="34742.535503319741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n v="0"/>
    <x v="1"/>
  </r>
  <r>
    <x v="38"/>
    <s v="Græs og urter"/>
    <n v="1"/>
    <x v="1"/>
    <s v="Østdanmark"/>
    <n v="1508318.1394402247"/>
    <n v="175961.7081777011"/>
    <n v="0"/>
    <n v="0"/>
    <n v="6717.4186381438076"/>
    <n v="0"/>
    <n v="0"/>
    <n v="0"/>
    <n v="1325639.0126243797"/>
    <n v="1325639.0126243797"/>
    <n v="6717.4186381438076"/>
    <n v="3.5978373058230715"/>
    <n v="3.6160686487037395"/>
    <n v="1.8231342880667821E-2"/>
    <n v="3.5978373058230715"/>
    <n v="265127.80252487597"/>
    <n v="266471.28625250474"/>
    <n v="1343.4837276287617"/>
    <n v="265127.80252487597"/>
    <n v="0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n v="0"/>
    <x v="0"/>
  </r>
  <r>
    <x v="42"/>
    <s v="Husdyrgødning"/>
    <n v="1"/>
    <x v="1"/>
    <s v="Østdanmark"/>
    <n v="1747439.8704342765"/>
    <n v="0"/>
    <n v="0"/>
    <n v="0"/>
    <n v="1572695.883390849"/>
    <n v="174743.98704342762"/>
    <n v="0"/>
    <n v="0"/>
    <n v="0"/>
    <n v="0"/>
    <n v="1572695.883390849"/>
    <n v="0"/>
    <n v="0.67751738656477789"/>
    <n v="0.67751738656477789"/>
    <n v="0"/>
    <n v="0"/>
    <n v="78634.794169542452"/>
    <n v="78634.794169542452"/>
    <n v="0"/>
    <n v="0"/>
    <x v="1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n v="0"/>
    <x v="1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6333.293402992078"/>
    <n v="0"/>
    <n v="0"/>
    <n v="0"/>
    <n v="0"/>
    <n v="0"/>
    <n v="0"/>
    <n v="62128.11472448804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8027054.2952739"/>
    <n v="0"/>
    <n v="0"/>
    <n v="0"/>
    <n v="0"/>
    <n v="0"/>
    <n v="118027054.2952739"/>
    <n v="0"/>
    <n v="0"/>
    <n v="0"/>
    <n v="118027054.2952739"/>
    <n v="0"/>
    <n v="0"/>
    <n v="0"/>
    <n v="0"/>
    <n v="0"/>
    <n v="0"/>
    <n v="0"/>
    <n v="0"/>
    <n v="0"/>
    <x v="1"/>
  </r>
  <r>
    <x v="4"/>
    <s v=""/>
    <n v="0"/>
    <x v="2"/>
    <s v="Østdanmark"/>
    <n v="3840921.3635681234"/>
    <n v="0"/>
    <n v="0"/>
    <n v="0"/>
    <n v="0"/>
    <n v="3391207.3391966592"/>
    <n v="0"/>
    <n v="0"/>
    <n v="449714.0243714642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578.47871789484248"/>
    <n v="0"/>
    <n v="0"/>
    <n v="0"/>
    <n v="520.63084610535827"/>
    <n v="57.847871789484238"/>
    <n v="0"/>
    <n v="0"/>
    <n v="0"/>
    <n v="0"/>
    <n v="520.63084610535827"/>
    <n v="0"/>
    <n v="2.4484748061488895E-4"/>
    <n v="2.4484748061488895E-4"/>
    <n v="0"/>
    <n v="0"/>
    <n v="32.799743304637573"/>
    <n v="32.799743304637573"/>
    <n v="0"/>
    <n v="0"/>
    <x v="1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259662.159688036"/>
    <n v="1201654.4608093717"/>
    <n v="0"/>
    <n v="0"/>
    <n v="19133.106010773055"/>
    <n v="0"/>
    <n v="0"/>
    <n v="0"/>
    <n v="7038874.5928678913"/>
    <n v="7038874.5928678913"/>
    <n v="19133.106010773055"/>
    <n v="12.950649391552812"/>
    <n v="12.985851914974383"/>
    <n v="3.5202523421571076E-2"/>
    <n v="12.950649391552812"/>
    <n v="1970884.8860030097"/>
    <n v="1976242.1556860262"/>
    <n v="5357.2696830164559"/>
    <n v="1970884.886003009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58262.17444810341"/>
    <n v="75911.55842753005"/>
    <n v="82449.939525946174"/>
    <n v="0"/>
    <n v="19898.597605984571"/>
    <n v="0"/>
    <n v="680002.07888864272"/>
    <n v="0"/>
    <n v="0"/>
    <n v="0"/>
    <n v="699900.67649462726"/>
    <n v="0"/>
    <n v="7.1430959580429878"/>
    <n v="0.11472616044120829"/>
    <n v="7.0283697976017798"/>
    <n v="0"/>
    <n v="594915.57502043317"/>
    <n v="16913.807965086886"/>
    <n v="578001.76705534628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n v="1"/>
    <x v="1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561497.65842248686"/>
    <n v="0"/>
    <n v="268249.01834925939"/>
    <n v="895.50205835545398"/>
    <n v="0"/>
    <n v="0"/>
    <n v="0"/>
    <n v="837461.34067702142"/>
    <n v="837461.34067702142"/>
    <n v="895.50205835545398"/>
    <n v="2.8681878472311042"/>
    <n v="2.8712548164106835"/>
    <n v="3.0669691795792609E-3"/>
    <n v="2.8681878472311042"/>
    <n v="259613.01560987663"/>
    <n v="259890.62124796683"/>
    <n v="277.60563809019072"/>
    <n v="259613.01560987663"/>
    <n v="0"/>
    <x v="0"/>
  </r>
  <r>
    <x v="23"/>
    <s v=""/>
    <n v="0"/>
    <x v="2"/>
    <s v="Østdanmark"/>
    <n v="0"/>
    <n v="0"/>
    <n v="0"/>
    <n v="0"/>
    <n v="0"/>
    <n v="337366.10305839882"/>
    <n v="0"/>
    <n v="0"/>
    <n v="-337366.1030583988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724125.12538599269"/>
    <n v="0"/>
    <n v="0"/>
    <n v="0"/>
    <n v="651712.6128473935"/>
    <n v="72412.512538599258"/>
    <n v="0"/>
    <n v="0"/>
    <n v="0"/>
    <n v="0"/>
    <n v="651712.6128473935"/>
    <n v="0"/>
    <n v="0.32989040749722215"/>
    <n v="0.32989040749722215"/>
    <n v="0"/>
    <n v="0"/>
    <n v="49530.158576401904"/>
    <n v="49530.158576401904"/>
    <n v="0"/>
    <n v="0"/>
    <x v="1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555482.60888743005"/>
    <n v="0"/>
    <n v="0"/>
    <n v="76885.413724887418"/>
    <n v="0"/>
    <n v="0"/>
    <n v="0"/>
    <n v="1174416.2170553359"/>
    <n v="1174416.2170553359"/>
    <n v="76885.413724887418"/>
    <n v="4.2161542192286561"/>
    <n v="4.4921728545010016"/>
    <n v="0.27601863527234588"/>
    <n v="4.2161542192286561"/>
    <n v="352324.86511660076"/>
    <n v="375390.48923406698"/>
    <n v="23065.624117466225"/>
    <n v="352324.86511660076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7525.374880347423"/>
    <n v="21023.015601598701"/>
    <n v="0"/>
    <n v="0"/>
    <n v="0"/>
    <n v="0"/>
    <n v="0"/>
    <n v="0"/>
    <n v="36502.359278748721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n v="0"/>
    <x v="1"/>
  </r>
  <r>
    <x v="38"/>
    <s v="Græs og urter"/>
    <n v="1"/>
    <x v="2"/>
    <s v="Østdanmark"/>
    <n v="1557006.906908574"/>
    <n v="175961.70817770113"/>
    <n v="0"/>
    <n v="0"/>
    <n v="6914.7888603134843"/>
    <n v="0"/>
    <n v="0"/>
    <n v="0"/>
    <n v="1374130.4098705593"/>
    <n v="1374130.4098705593"/>
    <n v="6914.7888603134843"/>
    <n v="3.7294448976050929"/>
    <n v="3.7482119111635379"/>
    <n v="1.8767013558445209E-2"/>
    <n v="3.7294448976050929"/>
    <n v="274826.0819741119"/>
    <n v="276209.03974617459"/>
    <n v="1382.9577720626969"/>
    <n v="274826.0819741119"/>
    <n v="0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n v="0"/>
    <x v="0"/>
  </r>
  <r>
    <x v="42"/>
    <s v="Husdyrgødning"/>
    <n v="1"/>
    <x v="2"/>
    <s v="Østdanmark"/>
    <n v="1672957.9533098161"/>
    <n v="0"/>
    <n v="0"/>
    <n v="0"/>
    <n v="1505662.1579788346"/>
    <n v="167295.79533098158"/>
    <n v="0"/>
    <n v="0"/>
    <n v="0"/>
    <n v="0"/>
    <n v="1505662.1579788346"/>
    <n v="0"/>
    <n v="0.64863925765728203"/>
    <n v="0.64863925765728203"/>
    <n v="0"/>
    <n v="0"/>
    <n v="75283.107898941729"/>
    <n v="75283.107898941729"/>
    <n v="0"/>
    <n v="0"/>
    <x v="1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n v="0"/>
    <x v="1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51598.780380153592"/>
    <n v="0"/>
    <n v="0"/>
    <n v="0"/>
    <n v="0"/>
    <n v="0"/>
    <n v="0"/>
    <n v="172971.62912568916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5656960.63475704"/>
    <n v="0"/>
    <n v="0"/>
    <n v="0"/>
    <n v="0"/>
    <n v="0"/>
    <n v="505656960.63475704"/>
    <n v="0"/>
    <n v="0"/>
    <n v="0"/>
    <n v="505656960.63475704"/>
    <n v="0"/>
    <n v="0"/>
    <n v="0"/>
    <n v="0"/>
    <n v="0"/>
    <n v="0"/>
    <n v="0"/>
    <n v="0"/>
    <x v="0"/>
  </r>
  <r>
    <x v="4"/>
    <s v=""/>
    <n v="0"/>
    <x v="1"/>
    <s v="Vestdanmark"/>
    <n v="22052758.669106159"/>
    <n v="0"/>
    <n v="0"/>
    <n v="0"/>
    <n v="0"/>
    <n v="19633758.54900625"/>
    <n v="0"/>
    <n v="0"/>
    <n v="2419000.1200999096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6674.1809084363849"/>
    <n v="0"/>
    <n v="0"/>
    <n v="0"/>
    <n v="6006.7628175927466"/>
    <n v="667.41809084363831"/>
    <n v="0"/>
    <n v="0"/>
    <n v="0"/>
    <n v="0"/>
    <n v="6006.7628175927466"/>
    <n v="0"/>
    <n v="2.8249204854856927E-3"/>
    <n v="2.8249204854856927E-3"/>
    <n v="0"/>
    <n v="0"/>
    <n v="378.42605750834304"/>
    <n v="378.42605750834304"/>
    <n v="0"/>
    <x v="0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8408153.283469509"/>
    <n v="9790151.9274066389"/>
    <n v="0"/>
    <n v="0"/>
    <n v="67006.096493213583"/>
    <n v="0"/>
    <n v="0"/>
    <n v="0"/>
    <n v="18550995.259569656"/>
    <n v="18550995.259569656"/>
    <n v="67006.096493213583"/>
    <n v="34.131512403200723"/>
    <n v="34.254795244986177"/>
    <n v="0.12328284178545135"/>
    <n v="34.131512403200723"/>
    <n v="5194278.6726795044"/>
    <n v="5213040.3796976041"/>
    <n v="18761.707018099805"/>
    <n v="5194278.6726795044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66243.8763621217"/>
    <n v="618468.71483434096"/>
    <n v="581579.9632190367"/>
    <n v="0"/>
    <n v="56757.88331613881"/>
    <n v="0"/>
    <n v="1709437.3149926052"/>
    <n v="0"/>
    <n v="0"/>
    <n v="0"/>
    <n v="1766195.198308744"/>
    <n v="0"/>
    <n v="17.99565288322793"/>
    <n v="0.32723984657453098"/>
    <n v="17.668413036653398"/>
    <n v="0"/>
    <n v="1501265.9185624323"/>
    <n v="48244.200818717989"/>
    <n v="1453021.7177437143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x v="1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4574649.0044539375"/>
    <n v="0"/>
    <n v="295933.04302308214"/>
    <n v="2914.9101192356643"/>
    <n v="0"/>
    <n v="0"/>
    <n v="0"/>
    <n v="508122.54613768216"/>
    <n v="508122.54613768216"/>
    <n v="2914.9101192356643"/>
    <n v="1.7402485833651025"/>
    <n v="1.7502317424360678"/>
    <n v="9.9831590709654593E-3"/>
    <n v="1.7402485833651025"/>
    <n v="157517.98930268147"/>
    <n v="158421.61143964453"/>
    <n v="903.62213696305594"/>
    <n v="157517.98930268147"/>
    <x v="0"/>
  </r>
  <r>
    <x v="23"/>
    <s v=""/>
    <n v="0"/>
    <x v="1"/>
    <s v="Vestdanmark"/>
    <n v="0"/>
    <n v="0"/>
    <n v="0"/>
    <n v="0"/>
    <n v="0"/>
    <n v="754340.44222441351"/>
    <n v="0"/>
    <n v="0"/>
    <n v="-754340.4422244135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386797.369068628"/>
    <n v="0"/>
    <n v="0"/>
    <n v="0"/>
    <n v="9348117.6321617663"/>
    <n v="1038679.7369068626"/>
    <n v="0"/>
    <n v="0"/>
    <n v="0"/>
    <n v="0"/>
    <n v="9348117.6321617663"/>
    <n v="0"/>
    <n v="4.7319236642239648"/>
    <n v="4.7319236642239648"/>
    <n v="0"/>
    <n v="0"/>
    <n v="710456.94004429423"/>
    <n v="710456.94004429423"/>
    <n v="0"/>
    <x v="0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4525643.0291759707"/>
    <n v="0"/>
    <n v="0"/>
    <n v="255215.75389295255"/>
    <n v="0"/>
    <n v="0"/>
    <n v="0"/>
    <n v="1122630.616160715"/>
    <n v="1122630.616160715"/>
    <n v="255215.75389295255"/>
    <n v="4.0302439120169673"/>
    <n v="4.9464684684926672"/>
    <n v="0.91622455647569978"/>
    <n v="4.0302439120169673"/>
    <n v="336789.1848482145"/>
    <n v="413353.91101610026"/>
    <n v="76564.726167885761"/>
    <n v="336789.1848482145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x v="1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85245.1379714873"/>
    <n v="171279.2848730098"/>
    <n v="0"/>
    <n v="0"/>
    <n v="0"/>
    <n v="0"/>
    <n v="0"/>
    <n v="0"/>
    <n v="13965.853098477499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x v="0"/>
  </r>
  <r>
    <x v="38"/>
    <s v="Græs og urter"/>
    <n v="1"/>
    <x v="1"/>
    <s v="Vestdanmark"/>
    <n v="4923583.0761439931"/>
    <n v="1433600.0178498654"/>
    <n v="0"/>
    <n v="0"/>
    <n v="21927.581361856195"/>
    <n v="0"/>
    <n v="0"/>
    <n v="0"/>
    <n v="3468055.4769322714"/>
    <n v="3468055.4769322714"/>
    <n v="21927.581361856195"/>
    <n v="9.4124412866132623"/>
    <n v="9.4719536195325951"/>
    <n v="5.9512332919332188E-2"/>
    <n v="9.4124412866132623"/>
    <n v="693611.09538645437"/>
    <n v="697996.61165882554"/>
    <n v="4385.5162723712392"/>
    <n v="693611.09538645425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x v="0"/>
  </r>
  <r>
    <x v="42"/>
    <s v="Husdyrgødning"/>
    <n v="1"/>
    <x v="1"/>
    <s v="Vestdanmark"/>
    <n v="12059866.540704856"/>
    <n v="0"/>
    <n v="0"/>
    <n v="0"/>
    <n v="10853879.88663437"/>
    <n v="1205986.6540704854"/>
    <n v="0"/>
    <n v="0"/>
    <n v="0"/>
    <n v="0"/>
    <n v="10853879.88663437"/>
    <n v="0"/>
    <n v="4.6758514551620873"/>
    <n v="4.6758514551620873"/>
    <n v="0"/>
    <n v="0"/>
    <n v="542693.99433171854"/>
    <n v="542693.99433171854"/>
    <n v="0"/>
    <x v="0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x v="0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51598.780380153592"/>
    <n v="0"/>
    <n v="0"/>
    <n v="0"/>
    <n v="0"/>
    <n v="0"/>
    <n v="0"/>
    <n v="172056.6904146020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00890849.83000368"/>
    <n v="0"/>
    <n v="0"/>
    <n v="0"/>
    <n v="0"/>
    <n v="0"/>
    <n v="500890849.83000368"/>
    <n v="0"/>
    <n v="0"/>
    <n v="0"/>
    <n v="500890849.83000368"/>
    <n v="0"/>
    <n v="0"/>
    <n v="0"/>
    <n v="0"/>
    <n v="0"/>
    <n v="0"/>
    <n v="0"/>
    <n v="0"/>
    <x v="0"/>
  </r>
  <r>
    <x v="4"/>
    <s v=""/>
    <n v="0"/>
    <x v="2"/>
    <s v="Vestdanmark"/>
    <n v="21557060.018007066"/>
    <n v="0"/>
    <n v="0"/>
    <n v="0"/>
    <n v="0"/>
    <n v="19033053.068458591"/>
    <n v="0"/>
    <n v="0"/>
    <n v="2524006.9495484754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6892.4253779859373"/>
    <n v="0"/>
    <n v="0"/>
    <n v="0"/>
    <n v="6203.1828401873436"/>
    <n v="689.24253779859362"/>
    <n v="0"/>
    <n v="0"/>
    <n v="0"/>
    <n v="0"/>
    <n v="6203.1828401873436"/>
    <n v="0"/>
    <n v="2.917294857911706E-3"/>
    <n v="2.917294857911706E-3"/>
    <n v="0"/>
    <n v="0"/>
    <n v="390.80051893180263"/>
    <n v="390.80051893180263"/>
    <n v="0"/>
    <x v="0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8726652.266058438"/>
    <n v="9790151.9274066389"/>
    <n v="0"/>
    <n v="0"/>
    <n v="66543.89398922697"/>
    <n v="0"/>
    <n v="0"/>
    <n v="0"/>
    <n v="18869956.444662571"/>
    <n v="18869956.444662571"/>
    <n v="66543.89398922697"/>
    <n v="34.718361113623551"/>
    <n v="34.840793560576984"/>
    <n v="0.12243244695342897"/>
    <n v="34.718361113623551"/>
    <n v="5283587.8045055205"/>
    <n v="5302220.0948225046"/>
    <n v="18632.290316983552"/>
    <n v="5283587.8045055214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763935.1567625329"/>
    <n v="618468.71483434096"/>
    <n v="579210.80448009283"/>
    <n v="0"/>
    <n v="56035.402394015458"/>
    <n v="0"/>
    <n v="1510220.2350540829"/>
    <n v="0"/>
    <n v="0"/>
    <n v="0"/>
    <n v="1566255.6374480985"/>
    <n v="0"/>
    <n v="15.932418232879773"/>
    <n v="0.32307435391879191"/>
    <n v="15.609343878960981"/>
    <n v="0"/>
    <n v="1331317.2918308836"/>
    <n v="47630.092034913141"/>
    <n v="1283687.1997959705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x v="1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4574649.0044539375"/>
    <n v="0"/>
    <n v="307470.55071854044"/>
    <n v="2890.4979416445458"/>
    <n v="0"/>
    <n v="0"/>
    <n v="0"/>
    <n v="499287.77690995019"/>
    <n v="499287.77690995019"/>
    <n v="2890.4979416445458"/>
    <n v="1.7099907356278123"/>
    <n v="1.719890286408233"/>
    <n v="9.8995507804207402E-3"/>
    <n v="1.7099907356278123"/>
    <n v="154779.21084208455"/>
    <n v="155675.26520399438"/>
    <n v="896.05436190980924"/>
    <n v="154779.21084208458"/>
    <x v="0"/>
  </r>
  <r>
    <x v="23"/>
    <s v=""/>
    <n v="0"/>
    <x v="2"/>
    <s v="Vestdanmark"/>
    <n v="0"/>
    <n v="0"/>
    <n v="0"/>
    <n v="0"/>
    <n v="0"/>
    <n v="666631.0841294959"/>
    <n v="0"/>
    <n v="0"/>
    <n v="-666631.0841294959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0188325.202039858"/>
    <n v="0"/>
    <n v="0"/>
    <n v="0"/>
    <n v="9169492.6818358731"/>
    <n v="1018832.5202039856"/>
    <n v="0"/>
    <n v="0"/>
    <n v="0"/>
    <n v="0"/>
    <n v="9169492.6818358731"/>
    <n v="0"/>
    <n v="4.6415055006185009"/>
    <n v="4.6415055006185009"/>
    <n v="0"/>
    <n v="0"/>
    <n v="696881.44381952635"/>
    <n v="696881.44381952635"/>
    <n v="0"/>
    <x v="0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4525643.0291759707"/>
    <n v="0"/>
    <n v="0"/>
    <n v="253140.58627511252"/>
    <n v="0"/>
    <n v="0"/>
    <n v="0"/>
    <n v="1169944.4923103331"/>
    <n v="1169944.4923103331"/>
    <n v="253140.58627511252"/>
    <n v="4.200100727394096"/>
    <n v="5.1088754321217502"/>
    <n v="0.90877470472765409"/>
    <n v="4.200100727394096"/>
    <n v="350983.34769309993"/>
    <n v="426925.52357563371"/>
    <n v="75942.17588253376"/>
    <n v="350983.34769309993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x v="1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4233.58131497409"/>
    <n v="171279.2848730098"/>
    <n v="0"/>
    <n v="0"/>
    <n v="0"/>
    <n v="0"/>
    <n v="0"/>
    <n v="0"/>
    <n v="12954.296441964281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x v="0"/>
  </r>
  <r>
    <x v="38"/>
    <s v="Græs og urter"/>
    <n v="1"/>
    <x v="2"/>
    <s v="Vestdanmark"/>
    <n v="4893003.8959338032"/>
    <n v="1433600.0178498654"/>
    <n v="0"/>
    <n v="0"/>
    <n v="21730.211139686518"/>
    <n v="0"/>
    <n v="0"/>
    <n v="0"/>
    <n v="3437673.6669442514"/>
    <n v="3437673.6669442514"/>
    <n v="21730.211139686518"/>
    <n v="9.3299838390333765"/>
    <n v="9.3889605012749318"/>
    <n v="5.8976662241554796E-2"/>
    <n v="9.3299838390333765"/>
    <n v="687534.73338885035"/>
    <n v="691880.77561678761"/>
    <n v="4346.0422279373042"/>
    <n v="687534.73338885035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x v="0"/>
  </r>
  <r>
    <x v="42"/>
    <s v="Husdyrgødning"/>
    <n v="1"/>
    <x v="2"/>
    <s v="Vestdanmark"/>
    <n v="11545833.414063649"/>
    <n v="0"/>
    <n v="0"/>
    <n v="0"/>
    <n v="10391250.072657285"/>
    <n v="1154583.3414063647"/>
    <n v="0"/>
    <n v="0"/>
    <n v="0"/>
    <n v="0"/>
    <n v="10391250.072657285"/>
    <n v="0"/>
    <n v="4.4765505313007594"/>
    <n v="4.4765505313007594"/>
    <n v="0"/>
    <n v="0"/>
    <n v="519562.50363286427"/>
    <n v="519562.50363286427"/>
    <n v="0"/>
    <x v="0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x v="0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6333.2934029920762"/>
    <n v="0"/>
    <n v="0"/>
    <n v="0"/>
    <n v="0"/>
    <n v="0"/>
    <n v="0"/>
    <n v="59987.28217796616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7001032.45606402"/>
    <n v="0"/>
    <n v="0"/>
    <n v="0"/>
    <n v="0"/>
    <n v="0"/>
    <n v="117001032.45606402"/>
    <n v="0"/>
    <n v="0"/>
    <n v="0"/>
    <n v="117001032.45606402"/>
    <n v="0"/>
    <n v="0"/>
    <n v="0"/>
    <n v="0"/>
    <n v="0"/>
    <n v="0"/>
    <n v="0"/>
    <n v="0"/>
    <x v="0"/>
  </r>
  <r>
    <x v="4"/>
    <s v=""/>
    <n v="0"/>
    <x v="1"/>
    <s v="Østdanmark"/>
    <n v="3846030.9782367097"/>
    <n v="0"/>
    <n v="0"/>
    <n v="0"/>
    <n v="0"/>
    <n v="3424154.0812072256"/>
    <n v="0"/>
    <n v="0"/>
    <n v="421876.89702948416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560.16154012228367"/>
    <n v="0"/>
    <n v="0"/>
    <n v="0"/>
    <n v="504.14538611005531"/>
    <n v="56.016154012228355"/>
    <n v="0"/>
    <n v="0"/>
    <n v="0"/>
    <n v="0"/>
    <n v="504.14538611005531"/>
    <n v="0"/>
    <n v="2.3709453363369792E-4"/>
    <n v="2.3709453363369792E-4"/>
    <n v="0"/>
    <n v="0"/>
    <n v="31.761159324933484"/>
    <n v="31.761159324933484"/>
    <n v="0"/>
    <x v="0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915785.5258047525"/>
    <n v="1201654.4608093714"/>
    <n v="0"/>
    <n v="0"/>
    <n v="18670.90350678641"/>
    <n v="0"/>
    <n v="0"/>
    <n v="0"/>
    <n v="6695460.1614885945"/>
    <n v="6695460.1614885945"/>
    <n v="18670.90350678641"/>
    <n v="12.318809764618829"/>
    <n v="12.353161893208377"/>
    <n v="3.4352128589548649E-2"/>
    <n v="12.318809764618829"/>
    <n v="1874728.8452168067"/>
    <n v="1879956.6981987068"/>
    <n v="5227.8529819001951"/>
    <n v="1874728.8452168067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88494.96140285372"/>
    <n v="75911.558427530035"/>
    <n v="82816.687681498166"/>
    <n v="0"/>
    <n v="19176.116683861201"/>
    <n v="0"/>
    <n v="710590.59860996436"/>
    <n v="0"/>
    <n v="0"/>
    <n v="0"/>
    <n v="729766.7152938256"/>
    <n v="0"/>
    <n v="7.455087481427622"/>
    <n v="0.11056066778546911"/>
    <n v="7.3445268136421529"/>
    <n v="0"/>
    <n v="620301.70799975179"/>
    <n v="16299.69918128202"/>
    <n v="604002.00881846971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x v="1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561497.65842248674"/>
    <n v="0"/>
    <n v="256234.83946537593"/>
    <n v="871.08988076433457"/>
    <n v="0"/>
    <n v="0"/>
    <n v="0"/>
    <n v="789636.15207482583"/>
    <n v="789636.15207482583"/>
    <n v="871.08988076433457"/>
    <n v="2.7043932717949883"/>
    <n v="2.707376632684023"/>
    <n v="2.9833608890345396E-3"/>
    <n v="2.7043932717949883"/>
    <n v="244787.20714319599"/>
    <n v="245057.24500623296"/>
    <n v="270.03786303694369"/>
    <n v="244787.20714319602"/>
    <x v="0"/>
  </r>
  <r>
    <x v="23"/>
    <s v=""/>
    <n v="0"/>
    <x v="1"/>
    <s v="Østdanmark"/>
    <n v="0"/>
    <n v="0"/>
    <n v="0"/>
    <n v="0"/>
    <n v="0"/>
    <n v="352512.12657962355"/>
    <n v="0"/>
    <n v="0"/>
    <n v="-352512.12657962355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38231.33813296724"/>
    <n v="0"/>
    <n v="0"/>
    <n v="0"/>
    <n v="664408.20431967056"/>
    <n v="73823.133813296707"/>
    <n v="0"/>
    <n v="0"/>
    <n v="0"/>
    <n v="0"/>
    <n v="664408.20431967056"/>
    <n v="0"/>
    <n v="0.33631678894457406"/>
    <n v="0.33631678894457406"/>
    <n v="0"/>
    <n v="0"/>
    <n v="50495.023528294958"/>
    <n v="50495.023528294958"/>
    <n v="0"/>
    <x v="0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555482.60888742993"/>
    <n v="0"/>
    <n v="0"/>
    <n v="74810.246107047482"/>
    <n v="0"/>
    <n v="0"/>
    <n v="0"/>
    <n v="1100170.4416872659"/>
    <n v="1100170.4416872659"/>
    <n v="74810.246107047482"/>
    <n v="3.9496118856572848"/>
    <n v="4.2181806691815851"/>
    <n v="0.26856878352430047"/>
    <n v="3.9496118856572844"/>
    <n v="330051.13250617974"/>
    <n v="352494.20633829397"/>
    <n v="22443.073832114245"/>
    <n v="330051.13250617974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x v="1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5765.551104918435"/>
    <n v="21023.015601598698"/>
    <n v="0"/>
    <n v="0"/>
    <n v="0"/>
    <n v="0"/>
    <n v="0"/>
    <n v="0"/>
    <n v="34742.535503319741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x v="0"/>
  </r>
  <r>
    <x v="38"/>
    <s v="Græs og urter"/>
    <n v="1"/>
    <x v="1"/>
    <s v="Østdanmark"/>
    <n v="1508318.1394402247"/>
    <n v="175961.7081777011"/>
    <n v="0"/>
    <n v="0"/>
    <n v="6717.4186381438076"/>
    <n v="0"/>
    <n v="0"/>
    <n v="0"/>
    <n v="1325639.0126243797"/>
    <n v="1325639.0126243797"/>
    <n v="6717.4186381438076"/>
    <n v="3.5978373058230715"/>
    <n v="3.6160686487037395"/>
    <n v="1.8231342880667821E-2"/>
    <n v="3.5978373058230715"/>
    <n v="265127.80252487597"/>
    <n v="266471.28625250474"/>
    <n v="1343.4837276287617"/>
    <n v="265127.80252487597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x v="0"/>
  </r>
  <r>
    <x v="42"/>
    <s v="Husdyrgødning"/>
    <n v="1"/>
    <x v="1"/>
    <s v="Østdanmark"/>
    <n v="1747439.8704342765"/>
    <n v="0"/>
    <n v="0"/>
    <n v="0"/>
    <n v="1572695.883390849"/>
    <n v="174743.98704342762"/>
    <n v="0"/>
    <n v="0"/>
    <n v="0"/>
    <n v="0"/>
    <n v="1572695.883390849"/>
    <n v="0"/>
    <n v="0.67751738656477789"/>
    <n v="0.67751738656477789"/>
    <n v="0"/>
    <n v="0"/>
    <n v="78634.794169542452"/>
    <n v="78634.794169542452"/>
    <n v="0"/>
    <x v="0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x v="0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6333.293402992078"/>
    <n v="0"/>
    <n v="0"/>
    <n v="0"/>
    <n v="0"/>
    <n v="0"/>
    <n v="0"/>
    <n v="62128.114724488049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8027054.2952739"/>
    <n v="0"/>
    <n v="0"/>
    <n v="0"/>
    <n v="0"/>
    <n v="0"/>
    <n v="118027054.2952739"/>
    <n v="0"/>
    <n v="0"/>
    <n v="0"/>
    <n v="118027054.2952739"/>
    <n v="0"/>
    <n v="0"/>
    <n v="0"/>
    <n v="0"/>
    <n v="0"/>
    <n v="0"/>
    <n v="0"/>
    <n v="0"/>
    <x v="0"/>
  </r>
  <r>
    <x v="4"/>
    <s v=""/>
    <n v="0"/>
    <x v="2"/>
    <s v="Østdanmark"/>
    <n v="3840921.3635681234"/>
    <n v="0"/>
    <n v="0"/>
    <n v="0"/>
    <n v="0"/>
    <n v="3391207.3391966592"/>
    <n v="0"/>
    <n v="0"/>
    <n v="449714.02437146427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578.47871789484248"/>
    <n v="0"/>
    <n v="0"/>
    <n v="0"/>
    <n v="520.63084610535827"/>
    <n v="57.847871789484238"/>
    <n v="0"/>
    <n v="0"/>
    <n v="0"/>
    <n v="0"/>
    <n v="520.63084610535827"/>
    <n v="0"/>
    <n v="2.4484748061488895E-4"/>
    <n v="2.4484748061488895E-4"/>
    <n v="0"/>
    <n v="0"/>
    <n v="32.799743304637573"/>
    <n v="32.799743304637573"/>
    <n v="0"/>
    <x v="0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259662.159688036"/>
    <n v="1201654.4608093717"/>
    <n v="0"/>
    <n v="0"/>
    <n v="19133.106010773055"/>
    <n v="0"/>
    <n v="0"/>
    <n v="0"/>
    <n v="7038874.5928678913"/>
    <n v="7038874.5928678913"/>
    <n v="19133.106010773055"/>
    <n v="12.950649391552812"/>
    <n v="12.985851914974383"/>
    <n v="3.5202523421571076E-2"/>
    <n v="12.950649391552812"/>
    <n v="1970884.8860030097"/>
    <n v="1976242.1556860262"/>
    <n v="5357.2696830164559"/>
    <n v="1970884.886003009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58262.17444810341"/>
    <n v="75911.55842753005"/>
    <n v="82449.939525946174"/>
    <n v="0"/>
    <n v="19898.597605984571"/>
    <n v="0"/>
    <n v="680002.07888864272"/>
    <n v="0"/>
    <n v="0"/>
    <n v="0"/>
    <n v="699900.67649462726"/>
    <n v="0"/>
    <n v="7.1430959580429878"/>
    <n v="0.11472616044120829"/>
    <n v="7.0283697976017798"/>
    <n v="0"/>
    <n v="594915.57502043317"/>
    <n v="16913.807965086886"/>
    <n v="578001.76705534628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x v="1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561497.65842248686"/>
    <n v="0"/>
    <n v="268249.01834925939"/>
    <n v="895.50205835545398"/>
    <n v="0"/>
    <n v="0"/>
    <n v="0"/>
    <n v="837461.34067702142"/>
    <n v="837461.34067702142"/>
    <n v="895.50205835545398"/>
    <n v="2.8681878472311042"/>
    <n v="2.8712548164106835"/>
    <n v="3.0669691795792609E-3"/>
    <n v="2.8681878472311042"/>
    <n v="259613.01560987663"/>
    <n v="259890.62124796683"/>
    <n v="277.60563809019072"/>
    <n v="259613.01560987663"/>
    <x v="0"/>
  </r>
  <r>
    <x v="23"/>
    <s v=""/>
    <n v="0"/>
    <x v="2"/>
    <s v="Østdanmark"/>
    <n v="0"/>
    <n v="0"/>
    <n v="0"/>
    <n v="0"/>
    <n v="0"/>
    <n v="337366.10305839882"/>
    <n v="0"/>
    <n v="0"/>
    <n v="-337366.10305839882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724125.12538599269"/>
    <n v="0"/>
    <n v="0"/>
    <n v="0"/>
    <n v="651712.6128473935"/>
    <n v="72412.512538599258"/>
    <n v="0"/>
    <n v="0"/>
    <n v="0"/>
    <n v="0"/>
    <n v="651712.6128473935"/>
    <n v="0"/>
    <n v="0.32989040749722215"/>
    <n v="0.32989040749722215"/>
    <n v="0"/>
    <n v="0"/>
    <n v="49530.158576401904"/>
    <n v="49530.158576401904"/>
    <n v="0"/>
    <x v="0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555482.60888743005"/>
    <n v="0"/>
    <n v="0"/>
    <n v="76885.413724887418"/>
    <n v="0"/>
    <n v="0"/>
    <n v="0"/>
    <n v="1174416.2170553359"/>
    <n v="1174416.2170553359"/>
    <n v="76885.413724887418"/>
    <n v="4.2161542192286561"/>
    <n v="4.4921728545010016"/>
    <n v="0.27601863527234588"/>
    <n v="4.2161542192286561"/>
    <n v="352324.86511660076"/>
    <n v="375390.48923406698"/>
    <n v="23065.624117466225"/>
    <n v="352324.86511660076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x v="1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7525.374880347423"/>
    <n v="21023.015601598701"/>
    <n v="0"/>
    <n v="0"/>
    <n v="0"/>
    <n v="0"/>
    <n v="0"/>
    <n v="0"/>
    <n v="36502.359278748721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x v="0"/>
  </r>
  <r>
    <x v="38"/>
    <s v="Græs og urter"/>
    <n v="1"/>
    <x v="2"/>
    <s v="Østdanmark"/>
    <n v="1557006.906908574"/>
    <n v="175961.70817770113"/>
    <n v="0"/>
    <n v="0"/>
    <n v="6914.7888603134843"/>
    <n v="0"/>
    <n v="0"/>
    <n v="0"/>
    <n v="1374130.4098705593"/>
    <n v="1374130.4098705593"/>
    <n v="6914.7888603134843"/>
    <n v="3.7294448976050929"/>
    <n v="3.7482119111635379"/>
    <n v="1.8767013558445209E-2"/>
    <n v="3.7294448976050929"/>
    <n v="274826.0819741119"/>
    <n v="276209.03974617459"/>
    <n v="1382.9577720626969"/>
    <n v="274826.0819741119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x v="0"/>
  </r>
  <r>
    <x v="42"/>
    <s v="Husdyrgødning"/>
    <n v="1"/>
    <x v="2"/>
    <s v="Østdanmark"/>
    <n v="1672957.9533098161"/>
    <n v="0"/>
    <n v="0"/>
    <n v="0"/>
    <n v="1505662.1579788346"/>
    <n v="167295.79533098158"/>
    <n v="0"/>
    <n v="0"/>
    <n v="0"/>
    <n v="0"/>
    <n v="1505662.1579788346"/>
    <n v="0"/>
    <n v="0.64863925765728203"/>
    <n v="0.64863925765728203"/>
    <n v="0"/>
    <n v="0"/>
    <n v="75283.107898941729"/>
    <n v="75283.107898941729"/>
    <n v="0"/>
    <x v="0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x v="0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23909.73940601887"/>
    <n v="4373607.2732361918"/>
    <n v="2056610.6420093102"/>
    <n v="2056610.6420093102"/>
  </r>
  <r>
    <x v="0"/>
    <x v="1"/>
    <x v="1"/>
    <s v="Konventionel"/>
    <x v="0"/>
    <s v="Halm"/>
    <n v="48011.920691725383"/>
    <n v="185326.01387005998"/>
    <n v="79264.908013529261"/>
    <n v="79264.908013529261"/>
  </r>
  <r>
    <x v="0"/>
    <x v="2"/>
    <x v="1"/>
    <s v="Konventionel"/>
    <x v="0"/>
    <s v="Halm"/>
    <n v="70259.109449246753"/>
    <n v="309140.08157668571"/>
    <n v="237874.25042587356"/>
    <n v="237874.25042587356"/>
  </r>
  <r>
    <x v="0"/>
    <x v="3"/>
    <x v="1"/>
    <s v="Konventionel"/>
    <x v="0"/>
    <s v="Græs"/>
    <n v="389039.43578841945"/>
    <n v="19304136.803821374"/>
    <n v="0"/>
    <n v="19304136.803821374"/>
  </r>
  <r>
    <x v="0"/>
    <x v="4"/>
    <x v="1"/>
    <s v="Konventionel"/>
    <x v="0"/>
    <s v="Grøntsager"/>
    <n v="8069.2150499893842"/>
    <n v="167436.21228727975"/>
    <n v="0"/>
    <n v="167436.21228727975"/>
  </r>
  <r>
    <x v="0"/>
    <x v="5"/>
    <x v="1"/>
    <s v="Konventionel"/>
    <x v="0"/>
    <s v="Kartofler"/>
    <n v="33939.868192186092"/>
    <n v="1441456.730045914"/>
    <n v="0"/>
    <n v="1441456.730045914"/>
  </r>
  <r>
    <x v="0"/>
    <x v="6"/>
    <x v="1"/>
    <s v="Konventionel"/>
    <x v="0"/>
    <s v="Roer"/>
    <n v="51872.305654463133"/>
    <n v="4214818.3878044365"/>
    <n v="0"/>
    <n v="4214818.3878044365"/>
  </r>
  <r>
    <x v="0"/>
    <x v="7"/>
    <x v="1"/>
    <s v="Konventionel"/>
    <x v="0"/>
    <s v="Majs"/>
    <n v="105024.04342368516"/>
    <n v="4674620.172788227"/>
    <n v="0"/>
    <n v="4674620.172788227"/>
  </r>
  <r>
    <x v="0"/>
    <x v="8"/>
    <x v="1"/>
    <s v="Konventionel"/>
    <x v="0"/>
    <s v="Frugt"/>
    <n v="3146.7111847138076"/>
    <n v="26715.577958220227"/>
    <n v="0"/>
    <n v="26715.577958220227"/>
  </r>
  <r>
    <x v="0"/>
    <x v="9"/>
    <x v="1"/>
    <s v="Konventionel"/>
    <x v="0"/>
    <s v="Øvrige"/>
    <n v="27850.682564630642"/>
    <n v="829837.36436016392"/>
    <n v="0"/>
    <n v="829837.36436016392"/>
  </r>
  <r>
    <x v="0"/>
    <x v="10"/>
    <x v="1"/>
    <s v="Konventionel"/>
    <x v="0"/>
    <s v="Halm"/>
    <n v="62611.02615456815"/>
    <n v="894640.23473164067"/>
    <n v="214121.570015223"/>
    <n v="214121.570015223"/>
  </r>
  <r>
    <x v="0"/>
    <x v="11"/>
    <x v="1"/>
    <s v="Konventionel"/>
    <x v="0"/>
    <s v="Juletræer"/>
    <n v="11759.429887638771"/>
    <n v="587971.4943819386"/>
    <n v="0"/>
    <n v="587971.4943819386"/>
  </r>
  <r>
    <x v="0"/>
    <x v="12"/>
    <x v="1"/>
    <s v="Konventionel"/>
    <x v="0"/>
    <s v="Pil &amp; poppel"/>
    <n v="4522.0169004115751"/>
    <n v="110293.09513198964"/>
    <n v="0"/>
    <n v="110293.09513198964"/>
  </r>
  <r>
    <x v="0"/>
    <x v="13"/>
    <x v="1"/>
    <s v="Konventionel"/>
    <x v="0"/>
    <s v="Græs"/>
    <n v="109694.9188294395"/>
    <n v="1512692.9306579707"/>
    <n v="0"/>
    <n v="1512692.9306579707"/>
  </r>
  <r>
    <x v="0"/>
    <x v="0"/>
    <x v="2"/>
    <s v="Konventionel"/>
    <x v="0"/>
    <s v="Halm"/>
    <n v="561483.07121072372"/>
    <n v="3935996.3291871729"/>
    <n v="1850831.917865884"/>
    <n v="1850831.917865884"/>
  </r>
  <r>
    <x v="0"/>
    <x v="1"/>
    <x v="2"/>
    <s v="Konventionel"/>
    <x v="0"/>
    <s v="Halm"/>
    <n v="43207.981831443096"/>
    <n v="166782.80986937037"/>
    <n v="71333.882418701935"/>
    <n v="71333.882418701935"/>
  </r>
  <r>
    <x v="0"/>
    <x v="2"/>
    <x v="2"/>
    <s v="Konventionel"/>
    <x v="0"/>
    <s v="Halm"/>
    <n v="63229.178938047015"/>
    <n v="278208.3873274069"/>
    <n v="214073.21645311025"/>
    <n v="214073.21645311025"/>
  </r>
  <r>
    <x v="0"/>
    <x v="3"/>
    <x v="2"/>
    <s v="Konventionel"/>
    <x v="0"/>
    <s v="Græs"/>
    <n v="350113.23502744088"/>
    <n v="17372618.722061615"/>
    <n v="0"/>
    <n v="17372618.722061615"/>
  </r>
  <r>
    <x v="0"/>
    <x v="4"/>
    <x v="2"/>
    <s v="Konventionel"/>
    <x v="0"/>
    <s v="Grøntsager"/>
    <n v="7261.8319003021561"/>
    <n v="150683.01193126975"/>
    <n v="0"/>
    <n v="150683.01193126975"/>
  </r>
  <r>
    <x v="0"/>
    <x v="5"/>
    <x v="2"/>
    <s v="Konventionel"/>
    <x v="0"/>
    <s v="Kartofler"/>
    <n v="30543.939652518206"/>
    <n v="1297228.5904273209"/>
    <n v="0"/>
    <n v="1297228.5904273209"/>
  </r>
  <r>
    <x v="0"/>
    <x v="6"/>
    <x v="2"/>
    <s v="Konventionel"/>
    <x v="0"/>
    <s v="Roer"/>
    <n v="46682.107442941407"/>
    <n v="3793095.4167070598"/>
    <n v="0"/>
    <n v="3793095.4167070598"/>
  </r>
  <r>
    <x v="0"/>
    <x v="7"/>
    <x v="2"/>
    <s v="Konventionel"/>
    <x v="0"/>
    <s v="Majs"/>
    <n v="94515.630592078363"/>
    <n v="4206890.7176534077"/>
    <n v="0"/>
    <n v="4206890.7176534077"/>
  </r>
  <r>
    <x v="0"/>
    <x v="8"/>
    <x v="2"/>
    <s v="Konventionel"/>
    <x v="0"/>
    <s v="Frugt"/>
    <n v="2831.8600409865621"/>
    <n v="24042.491747975917"/>
    <n v="0"/>
    <n v="24042.491747975917"/>
  </r>
  <r>
    <x v="0"/>
    <x v="9"/>
    <x v="2"/>
    <s v="Konventionel"/>
    <x v="0"/>
    <s v="Øvrige"/>
    <n v="25064.020953722124"/>
    <n v="746806.15242510219"/>
    <n v="0"/>
    <n v="746806.15242510219"/>
  </r>
  <r>
    <x v="0"/>
    <x v="10"/>
    <x v="2"/>
    <s v="Konventionel"/>
    <x v="0"/>
    <s v="Halm"/>
    <n v="56346.341524321346"/>
    <n v="805125.0283479041"/>
    <n v="192697.16298878082"/>
    <n v="192697.16298878082"/>
  </r>
  <r>
    <x v="0"/>
    <x v="11"/>
    <x v="2"/>
    <s v="Konventionel"/>
    <x v="0"/>
    <s v="Juletræer"/>
    <n v="10582.814134757033"/>
    <n v="529140.70673785161"/>
    <n v="0"/>
    <n v="529140.70673785161"/>
  </r>
  <r>
    <x v="0"/>
    <x v="12"/>
    <x v="2"/>
    <s v="Konventionel"/>
    <x v="0"/>
    <s v="Pil &amp; poppel"/>
    <n v="4069.5565030402136"/>
    <n v="99257.475683907658"/>
    <n v="0"/>
    <n v="99257.475683907658"/>
  </r>
  <r>
    <x v="0"/>
    <x v="13"/>
    <x v="2"/>
    <s v="Konventionel"/>
    <x v="0"/>
    <s v="Græs"/>
    <n v="98719.151233641649"/>
    <n v="1361337.0955119184"/>
    <n v="0"/>
    <n v="1361337.0955119184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97373.196323482727"/>
    <n v="457332.69117250136"/>
    <n v="215052.52320201404"/>
    <n v="215052.52320201404"/>
  </r>
  <r>
    <x v="0"/>
    <x v="1"/>
    <x v="1"/>
    <s v="Økologisk"/>
    <x v="0"/>
    <s v="Halm"/>
    <n v="7493.1899345467373"/>
    <n v="16486.516493989733"/>
    <n v="7051.3695625908404"/>
    <n v="7051.3695625908404"/>
  </r>
  <r>
    <x v="0"/>
    <x v="2"/>
    <x v="1"/>
    <s v="Økologisk"/>
    <x v="0"/>
    <s v="Halm"/>
    <n v="10965.294538321748"/>
    <n v="26536.012782738631"/>
    <n v="20418.685657943486"/>
    <n v="20418.685657943486"/>
  </r>
  <r>
    <x v="0"/>
    <x v="3"/>
    <x v="1"/>
    <s v="Økologisk"/>
    <x v="0"/>
    <s v="Græs"/>
    <n v="60717.137377383391"/>
    <n v="2349971.7981992955"/>
    <n v="0"/>
    <n v="2349971.7981992955"/>
  </r>
  <r>
    <x v="0"/>
    <x v="4"/>
    <x v="1"/>
    <s v="Økologisk"/>
    <x v="0"/>
    <s v="Grøntsager"/>
    <n v="1259.3572621370715"/>
    <n v="14895.048017926212"/>
    <n v="0"/>
    <n v="14895.048017926212"/>
  </r>
  <r>
    <x v="0"/>
    <x v="5"/>
    <x v="1"/>
    <s v="Økologisk"/>
    <x v="0"/>
    <s v="Kartofler"/>
    <n v="5296.973648491472"/>
    <n v="128231.32413529836"/>
    <n v="0"/>
    <n v="128231.32413529836"/>
  </r>
  <r>
    <x v="0"/>
    <x v="6"/>
    <x v="1"/>
    <s v="Økologisk"/>
    <x v="0"/>
    <s v="Roer"/>
    <n v="8095.677761101183"/>
    <n v="374948.29473011725"/>
    <n v="0"/>
    <n v="374948.29473011725"/>
  </r>
  <r>
    <x v="0"/>
    <x v="7"/>
    <x v="1"/>
    <s v="Økologisk"/>
    <x v="0"/>
    <s v="Majs"/>
    <n v="16391.035678841039"/>
    <n v="605538.94839412824"/>
    <n v="0"/>
    <n v="605538.94839412824"/>
  </r>
  <r>
    <x v="0"/>
    <x v="8"/>
    <x v="1"/>
    <s v="Økologisk"/>
    <x v="0"/>
    <s v="Frugt"/>
    <n v="491.10521379926485"/>
    <n v="2376.6054611387822"/>
    <n v="0"/>
    <n v="2376.6054611387822"/>
  </r>
  <r>
    <x v="0"/>
    <x v="9"/>
    <x v="1"/>
    <s v="Økologisk"/>
    <x v="0"/>
    <s v="Øvrige"/>
    <n v="4346.6383193354177"/>
    <n v="73821.948193658493"/>
    <n v="0"/>
    <n v="73821.948193658493"/>
  </r>
  <r>
    <x v="0"/>
    <x v="10"/>
    <x v="1"/>
    <s v="Økologisk"/>
    <x v="0"/>
    <s v="Halm"/>
    <n v="9771.6630414643932"/>
    <n v="79586.781575259811"/>
    <n v="19048.155852799315"/>
    <n v="19048.155852799315"/>
  </r>
  <r>
    <x v="0"/>
    <x v="11"/>
    <x v="1"/>
    <s v="Økologisk"/>
    <x v="0"/>
    <s v="Juletræer"/>
    <n v="1835.286745469635"/>
    <n v="52305.672245884591"/>
    <n v="0"/>
    <n v="52305.672245884591"/>
  </r>
  <r>
    <x v="0"/>
    <x v="12"/>
    <x v="1"/>
    <s v="Økologisk"/>
    <x v="0"/>
    <s v="Pil &amp; poppel"/>
    <n v="705.74830237637309"/>
    <n v="9811.6227403544544"/>
    <n v="0"/>
    <n v="9811.6227403544544"/>
  </r>
  <r>
    <x v="0"/>
    <x v="13"/>
    <x v="1"/>
    <s v="Økologisk"/>
    <x v="0"/>
    <s v="Græs"/>
    <n v="17120.016233496339"/>
    <n v="236085.02385991454"/>
    <n v="0"/>
    <n v="236085.02385991454"/>
  </r>
  <r>
    <x v="0"/>
    <x v="0"/>
    <x v="2"/>
    <s v="Økologisk"/>
    <x v="0"/>
    <s v="Halm"/>
    <n v="119102.46965075957"/>
    <n v="559388.56920872245"/>
    <n v="263042.47559972713"/>
    <n v="263042.47559972713"/>
  </r>
  <r>
    <x v="0"/>
    <x v="1"/>
    <x v="2"/>
    <s v="Økologisk"/>
    <x v="0"/>
    <s v="Halm"/>
    <n v="9165.3294793970217"/>
    <n v="20165.557920569328"/>
    <n v="8624.9148742612324"/>
    <n v="8624.9148742612324"/>
  </r>
  <r>
    <x v="0"/>
    <x v="2"/>
    <x v="2"/>
    <s v="Økologisk"/>
    <x v="0"/>
    <s v="Halm"/>
    <n v="13412.250077767547"/>
    <n v="32457.645188197464"/>
    <n v="24975.208586196197"/>
    <n v="24975.208586196197"/>
  </r>
  <r>
    <x v="0"/>
    <x v="3"/>
    <x v="2"/>
    <s v="Økologisk"/>
    <x v="0"/>
    <s v="Græs"/>
    <n v="74266.443793699596"/>
    <n v="2874378.7340138317"/>
    <n v="0"/>
    <n v="2874378.7340138317"/>
  </r>
  <r>
    <x v="0"/>
    <x v="4"/>
    <x v="2"/>
    <s v="Økologisk"/>
    <x v="0"/>
    <s v="Grøntsager"/>
    <n v="1540.3885849125784"/>
    <n v="18218.945988053521"/>
    <n v="0"/>
    <n v="18218.945988053521"/>
  </r>
  <r>
    <x v="0"/>
    <x v="5"/>
    <x v="2"/>
    <s v="Økologisk"/>
    <x v="0"/>
    <s v="Kartofler"/>
    <n v="6479.017502049317"/>
    <n v="156846.7295698488"/>
    <n v="0"/>
    <n v="156846.7295698488"/>
  </r>
  <r>
    <x v="0"/>
    <x v="6"/>
    <x v="2"/>
    <s v="Økologisk"/>
    <x v="0"/>
    <s v="Roer"/>
    <n v="9902.2652151693892"/>
    <n v="458619.71856548992"/>
    <n v="0"/>
    <n v="458619.71856548992"/>
  </r>
  <r>
    <x v="0"/>
    <x v="7"/>
    <x v="2"/>
    <s v="Økologisk"/>
    <x v="0"/>
    <s v="Majs"/>
    <n v="20048.770125592382"/>
    <n v="740667.72938079713"/>
    <n v="0"/>
    <n v="740667.72938079713"/>
  </r>
  <r>
    <x v="0"/>
    <x v="8"/>
    <x v="2"/>
    <s v="Økologisk"/>
    <x v="0"/>
    <s v="Frugt"/>
    <n v="600.69758445169498"/>
    <n v="2906.9558204370878"/>
    <n v="0"/>
    <n v="2906.9558204370878"/>
  </r>
  <r>
    <x v="0"/>
    <x v="9"/>
    <x v="2"/>
    <s v="Økologisk"/>
    <x v="0"/>
    <s v="Øvrige"/>
    <n v="5316.6105053349966"/>
    <n v="90295.652975035089"/>
    <n v="0"/>
    <n v="90295.652975035089"/>
  </r>
  <r>
    <x v="0"/>
    <x v="10"/>
    <x v="2"/>
    <s v="Økologisk"/>
    <x v="0"/>
    <s v="Halm"/>
    <n v="11952.25426273483"/>
    <n v="97346.935245701112"/>
    <n v="23298.83879773441"/>
    <n v="23298.83879773441"/>
  </r>
  <r>
    <x v="0"/>
    <x v="11"/>
    <x v="2"/>
    <s v="Økologisk"/>
    <x v="0"/>
    <s v="Juletræer"/>
    <n v="2244.8393619181579"/>
    <n v="63977.921814667498"/>
    <n v="0"/>
    <n v="63977.921814667498"/>
  </r>
  <r>
    <x v="0"/>
    <x v="12"/>
    <x v="2"/>
    <s v="Økologisk"/>
    <x v="0"/>
    <s v="Pil &amp; poppel"/>
    <n v="863.23925822065132"/>
    <n v="12001.13115087247"/>
    <n v="0"/>
    <n v="12001.13115087247"/>
  </r>
  <r>
    <x v="0"/>
    <x v="13"/>
    <x v="2"/>
    <s v="Økologisk"/>
    <x v="0"/>
    <s v="Græs"/>
    <n v="20940.42601925732"/>
    <n v="288768.47480555851"/>
    <n v="0"/>
    <n v="288768.47480555851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2397.451002927566"/>
    <n v="104287.35783662667"/>
    <n v="49039.265886152367"/>
    <n v="49039.265886152367"/>
  </r>
  <r>
    <x v="0"/>
    <x v="1"/>
    <x v="1"/>
    <s v="Konventionel"/>
    <x v="1"/>
    <s v="Halm"/>
    <n v="1062.761606425149"/>
    <n v="4922.7117609612906"/>
    <n v="2105.4696357053253"/>
    <n v="2105.4696357053253"/>
  </r>
  <r>
    <x v="0"/>
    <x v="2"/>
    <x v="1"/>
    <s v="Konventionel"/>
    <x v="1"/>
    <s v="Halm"/>
    <n v="1137.9870596805204"/>
    <n v="6008.5716751131476"/>
    <n v="4623.4201532780708"/>
    <n v="4623.4201532780708"/>
  </r>
  <r>
    <x v="0"/>
    <x v="3"/>
    <x v="1"/>
    <s v="Konventionel"/>
    <x v="1"/>
    <s v="Græs"/>
    <n v="10501.746271795293"/>
    <n v="625315.98000777897"/>
    <n v="0"/>
    <n v="625315.98000777897"/>
  </r>
  <r>
    <x v="0"/>
    <x v="4"/>
    <x v="1"/>
    <s v="Konventionel"/>
    <x v="1"/>
    <s v="Grøntsager"/>
    <n v="49.117062325833871"/>
    <n v="1223.0148519132633"/>
    <n v="0"/>
    <n v="1223.0148519132633"/>
  </r>
  <r>
    <x v="0"/>
    <x v="5"/>
    <x v="1"/>
    <s v="Konventionel"/>
    <x v="1"/>
    <s v="Kartofler"/>
    <n v="775.43110733760068"/>
    <n v="39519.907927612192"/>
    <n v="0"/>
    <n v="39519.907927612192"/>
  </r>
  <r>
    <x v="0"/>
    <x v="6"/>
    <x v="1"/>
    <s v="Konventionel"/>
    <x v="1"/>
    <s v="Roer"/>
    <n v="20.343682789424093"/>
    <n v="1983.6001630858166"/>
    <n v="0"/>
    <n v="1983.6001630858166"/>
  </r>
  <r>
    <x v="0"/>
    <x v="7"/>
    <x v="1"/>
    <s v="Konventionel"/>
    <x v="1"/>
    <s v="Majs"/>
    <n v="2626.0637331851003"/>
    <n v="140263.31611688258"/>
    <n v="0"/>
    <n v="140263.31611688258"/>
  </r>
  <r>
    <x v="0"/>
    <x v="8"/>
    <x v="1"/>
    <s v="Konventionel"/>
    <x v="1"/>
    <s v="Frugt"/>
    <n v="44.737253203575285"/>
    <n v="455.78313563802504"/>
    <n v="0"/>
    <n v="455.78313563802504"/>
  </r>
  <r>
    <x v="0"/>
    <x v="9"/>
    <x v="1"/>
    <s v="Konventionel"/>
    <x v="1"/>
    <s v="Øvrige"/>
    <n v="791.21864877871178"/>
    <n v="28290.127393960796"/>
    <n v="0"/>
    <n v="28290.127393960796"/>
  </r>
  <r>
    <x v="0"/>
    <x v="10"/>
    <x v="1"/>
    <s v="Konventionel"/>
    <x v="1"/>
    <s v="Halm"/>
    <n v="1952.9609549061931"/>
    <n v="33486.704584058869"/>
    <n v="8014.6470970260507"/>
    <n v="8014.6470970260507"/>
  </r>
  <r>
    <x v="0"/>
    <x v="11"/>
    <x v="1"/>
    <s v="Konventionel"/>
    <x v="1"/>
    <s v="Juletræer"/>
    <n v="224.38166373606674"/>
    <n v="13462.899824164006"/>
    <n v="0"/>
    <n v="13462.899824164006"/>
  </r>
  <r>
    <x v="0"/>
    <x v="12"/>
    <x v="1"/>
    <s v="Konventionel"/>
    <x v="1"/>
    <s v="Pil &amp; poppel"/>
    <n v="368.51743073956908"/>
    <n v="10785.876021645925"/>
    <n v="0"/>
    <n v="10785.876021645925"/>
  </r>
  <r>
    <x v="0"/>
    <x v="13"/>
    <x v="1"/>
    <s v="Konventionel"/>
    <x v="1"/>
    <s v="Græs"/>
    <n v="40667.094971784412"/>
    <n v="672959.08759308851"/>
    <n v="0"/>
    <n v="672959.08759308851"/>
  </r>
  <r>
    <x v="0"/>
    <x v="0"/>
    <x v="2"/>
    <s v="Konventionel"/>
    <x v="1"/>
    <s v="Halm"/>
    <n v="11824.158471000279"/>
    <n v="99464.821058054338"/>
    <n v="46771.554168873641"/>
    <n v="46771.554168873641"/>
  </r>
  <r>
    <x v="0"/>
    <x v="1"/>
    <x v="2"/>
    <s v="Konventionel"/>
    <x v="1"/>
    <s v="Halm"/>
    <n v="1013.616561041327"/>
    <n v="4695.0719107434261"/>
    <n v="2008.1068779848476"/>
    <n v="2008.1068779848476"/>
  </r>
  <r>
    <x v="0"/>
    <x v="2"/>
    <x v="2"/>
    <s v="Konventionel"/>
    <x v="1"/>
    <s v="Halm"/>
    <n v="1085.3633806201497"/>
    <n v="5730.7186496743898"/>
    <n v="4409.6203774039413"/>
    <n v="4409.6203774039413"/>
  </r>
  <r>
    <x v="0"/>
    <x v="3"/>
    <x v="2"/>
    <s v="Konventionel"/>
    <x v="1"/>
    <s v="Græs"/>
    <n v="10016.116386394353"/>
    <n v="596399.6341114653"/>
    <n v="0"/>
    <n v="596399.6341114653"/>
  </r>
  <r>
    <x v="0"/>
    <x v="4"/>
    <x v="2"/>
    <s v="Konventionel"/>
    <x v="1"/>
    <s v="Grøntsager"/>
    <n v="46.845753085332873"/>
    <n v="1166.4592518247885"/>
    <n v="0"/>
    <n v="1166.4592518247885"/>
  </r>
  <r>
    <x v="0"/>
    <x v="5"/>
    <x v="2"/>
    <s v="Konventionel"/>
    <x v="1"/>
    <s v="Kartofler"/>
    <n v="739.57302144915673"/>
    <n v="37692.397734427817"/>
    <n v="0"/>
    <n v="37692.397734427817"/>
  </r>
  <r>
    <x v="0"/>
    <x v="6"/>
    <x v="2"/>
    <s v="Konventionel"/>
    <x v="1"/>
    <s v="Roer"/>
    <n v="19.402934452340897"/>
    <n v="1891.8729879142179"/>
    <n v="0"/>
    <n v="1891.8729879142179"/>
  </r>
  <r>
    <x v="0"/>
    <x v="7"/>
    <x v="2"/>
    <s v="Konventionel"/>
    <x v="1"/>
    <s v="Majs"/>
    <n v="2504.6272599742283"/>
    <n v="133777.15120974349"/>
    <n v="0"/>
    <n v="133777.15120974349"/>
  </r>
  <r>
    <x v="0"/>
    <x v="8"/>
    <x v="2"/>
    <s v="Konventionel"/>
    <x v="1"/>
    <s v="Frugt"/>
    <n v="42.668478488959082"/>
    <n v="434.70645884551516"/>
    <n v="0"/>
    <n v="434.70645884551516"/>
  </r>
  <r>
    <x v="0"/>
    <x v="9"/>
    <x v="2"/>
    <s v="Konventionel"/>
    <x v="1"/>
    <s v="Øvrige"/>
    <n v="754.6305031704477"/>
    <n v="26981.913410425037"/>
    <n v="0"/>
    <n v="26981.913410425037"/>
  </r>
  <r>
    <x v="0"/>
    <x v="10"/>
    <x v="2"/>
    <s v="Konventionel"/>
    <x v="1"/>
    <s v="Halm"/>
    <n v="1862.6506217313402"/>
    <n v="31938.18645300412"/>
    <n v="7644.0275780884303"/>
    <n v="7644.0275780884303"/>
  </r>
  <r>
    <x v="0"/>
    <x v="11"/>
    <x v="2"/>
    <s v="Konventionel"/>
    <x v="1"/>
    <s v="Juletræer"/>
    <n v="214.00563304306942"/>
    <n v="12840.337982584166"/>
    <n v="0"/>
    <n v="12840.337982584166"/>
  </r>
  <r>
    <x v="0"/>
    <x v="12"/>
    <x v="2"/>
    <s v="Konventionel"/>
    <x v="1"/>
    <s v="Pil &amp; poppel"/>
    <n v="351.476162266063"/>
    <n v="10287.107188275015"/>
    <n v="0"/>
    <n v="10287.107188275015"/>
  </r>
  <r>
    <x v="0"/>
    <x v="13"/>
    <x v="2"/>
    <s v="Konventionel"/>
    <x v="1"/>
    <s v="Græs"/>
    <n v="38786.535666730793"/>
    <n v="641839.59221306117"/>
    <n v="0"/>
    <n v="641839.5922130611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1934.8622952545911"/>
    <n v="10904.961290546686"/>
    <n v="5127.863120696511"/>
    <n v="5127.863120696511"/>
  </r>
  <r>
    <x v="0"/>
    <x v="1"/>
    <x v="1"/>
    <s v="Økologisk"/>
    <x v="1"/>
    <s v="Halm"/>
    <n v="165.86452817039898"/>
    <n v="437.9221618566142"/>
    <n v="187.30160516476849"/>
    <n v="187.30160516476849"/>
  </r>
  <r>
    <x v="0"/>
    <x v="2"/>
    <x v="1"/>
    <s v="Økologisk"/>
    <x v="1"/>
    <s v="Halm"/>
    <n v="177.60491682875178"/>
    <n v="515.76467847069523"/>
    <n v="396.86583396635473"/>
    <n v="396.86583396635473"/>
  </r>
  <r>
    <x v="0"/>
    <x v="3"/>
    <x v="1"/>
    <s v="Økologisk"/>
    <x v="1"/>
    <s v="Græs"/>
    <n v="1639.0008632281672"/>
    <n v="76122.280572045231"/>
    <n v="0"/>
    <n v="76122.280572045231"/>
  </r>
  <r>
    <x v="0"/>
    <x v="4"/>
    <x v="1"/>
    <s v="Økologisk"/>
    <x v="1"/>
    <s v="Grøntsager"/>
    <n v="7.6656686866908359"/>
    <n v="108.79883567020302"/>
    <n v="0"/>
    <n v="108.79883567020302"/>
  </r>
  <r>
    <x v="0"/>
    <x v="5"/>
    <x v="1"/>
    <s v="Økologisk"/>
    <x v="1"/>
    <s v="Kartofler"/>
    <n v="121.0210398734984"/>
    <n v="3515.6727341384499"/>
    <n v="0"/>
    <n v="3515.6727341384499"/>
  </r>
  <r>
    <x v="0"/>
    <x v="6"/>
    <x v="1"/>
    <s v="Økologisk"/>
    <x v="1"/>
    <s v="Roer"/>
    <n v="3.1750256376557835"/>
    <n v="176.46015323636252"/>
    <n v="0"/>
    <n v="176.46015323636252"/>
  </r>
  <r>
    <x v="0"/>
    <x v="7"/>
    <x v="1"/>
    <s v="Økologisk"/>
    <x v="1"/>
    <s v="Majs"/>
    <n v="409.84809708669195"/>
    <n v="18169.369446123346"/>
    <n v="0"/>
    <n v="18169.369446123346"/>
  </r>
  <r>
    <x v="0"/>
    <x v="8"/>
    <x v="1"/>
    <s v="Økologisk"/>
    <x v="1"/>
    <s v="Frugt"/>
    <n v="6.9821146618296694"/>
    <n v="40.54625697959078"/>
    <n v="0"/>
    <n v="40.54625697959078"/>
  </r>
  <r>
    <x v="0"/>
    <x v="9"/>
    <x v="1"/>
    <s v="Økologisk"/>
    <x v="1"/>
    <s v="Øvrige"/>
    <n v="123.48499142789146"/>
    <n v="2516.6766508269175"/>
    <n v="0"/>
    <n v="2516.6766508269175"/>
  </r>
  <r>
    <x v="0"/>
    <x v="10"/>
    <x v="1"/>
    <s v="Økologisk"/>
    <x v="1"/>
    <s v="Halm"/>
    <n v="304.79737446512843"/>
    <n v="2978.9617546165664"/>
    <n v="712.97929955624829"/>
    <n v="712.97929955624829"/>
  </r>
  <r>
    <x v="0"/>
    <x v="11"/>
    <x v="1"/>
    <s v="Økologisk"/>
    <x v="1"/>
    <s v="Juletræer"/>
    <n v="35.01910358886591"/>
    <n v="1197.6533427392139"/>
    <n v="0"/>
    <n v="1197.6533427392139"/>
  </r>
  <r>
    <x v="0"/>
    <x v="12"/>
    <x v="1"/>
    <s v="Økologisk"/>
    <x v="1"/>
    <s v="Pil &amp; poppel"/>
    <n v="57.514281098083039"/>
    <n v="959.50654319728767"/>
    <n v="0"/>
    <n v="959.50654319728767"/>
  </r>
  <r>
    <x v="0"/>
    <x v="13"/>
    <x v="1"/>
    <s v="Økologisk"/>
    <x v="1"/>
    <s v="Græs"/>
    <n v="6346.8876545559488"/>
    <n v="105028.29690759185"/>
    <n v="0"/>
    <n v="105028.29690759185"/>
  </r>
  <r>
    <x v="0"/>
    <x v="0"/>
    <x v="2"/>
    <s v="Økologisk"/>
    <x v="1"/>
    <s v="Halm"/>
    <n v="2508.1548271818774"/>
    <n v="14136.060932190147"/>
    <n v="6647.2299712732556"/>
    <n v="6647.2299712732556"/>
  </r>
  <r>
    <x v="0"/>
    <x v="1"/>
    <x v="2"/>
    <s v="Økologisk"/>
    <x v="1"/>
    <s v="Halm"/>
    <n v="215.00957355422085"/>
    <n v="567.67687648079607"/>
    <n v="242.79837706544063"/>
    <n v="242.79837706544063"/>
  </r>
  <r>
    <x v="0"/>
    <x v="2"/>
    <x v="2"/>
    <s v="Økologisk"/>
    <x v="1"/>
    <s v="Halm"/>
    <n v="230.22859588912263"/>
    <n v="668.58384246201217"/>
    <n v="514.45571069712639"/>
    <n v="514.45571069712639"/>
  </r>
  <r>
    <x v="0"/>
    <x v="3"/>
    <x v="2"/>
    <s v="Økologisk"/>
    <x v="1"/>
    <s v="Græs"/>
    <n v="2124.6307486291057"/>
    <n v="98677.030371169749"/>
    <n v="0"/>
    <n v="98677.030371169749"/>
  </r>
  <r>
    <x v="0"/>
    <x v="4"/>
    <x v="2"/>
    <s v="Økologisk"/>
    <x v="1"/>
    <s v="Grøntsager"/>
    <n v="9.9369779271918226"/>
    <n v="141.03552772063352"/>
    <n v="0"/>
    <n v="141.03552772063352"/>
  </r>
  <r>
    <x v="0"/>
    <x v="5"/>
    <x v="2"/>
    <s v="Økologisk"/>
    <x v="1"/>
    <s v="Kartofler"/>
    <n v="156.87912576194233"/>
    <n v="4557.3535442535449"/>
    <n v="0"/>
    <n v="4557.3535442535449"/>
  </r>
  <r>
    <x v="0"/>
    <x v="6"/>
    <x v="2"/>
    <s v="Økologisk"/>
    <x v="1"/>
    <s v="Roer"/>
    <n v="4.1157739747389783"/>
    <n v="228.74464308417362"/>
    <n v="0"/>
    <n v="228.74464308417362"/>
  </r>
  <r>
    <x v="0"/>
    <x v="7"/>
    <x v="2"/>
    <s v="Økologisk"/>
    <x v="1"/>
    <s v="Majs"/>
    <n v="531.28457029756362"/>
    <n v="23552.886319048779"/>
    <n v="0"/>
    <n v="23552.886319048779"/>
  </r>
  <r>
    <x v="0"/>
    <x v="8"/>
    <x v="2"/>
    <s v="Økologisk"/>
    <x v="1"/>
    <s v="Frugt"/>
    <n v="9.0508893764458662"/>
    <n v="52.559962751321372"/>
    <n v="0"/>
    <n v="52.559962751321372"/>
  </r>
  <r>
    <x v="0"/>
    <x v="9"/>
    <x v="2"/>
    <s v="Økologisk"/>
    <x v="1"/>
    <s v="Øvrige"/>
    <n v="160.07313703615557"/>
    <n v="3262.3586214422994"/>
    <n v="0"/>
    <n v="3262.3586214422994"/>
  </r>
  <r>
    <x v="0"/>
    <x v="10"/>
    <x v="2"/>
    <s v="Økologisk"/>
    <x v="1"/>
    <s v="Halm"/>
    <n v="395.1077076399813"/>
    <n v="3861.6170893177714"/>
    <n v="924.2324253506921"/>
    <n v="924.2324253506921"/>
  </r>
  <r>
    <x v="0"/>
    <x v="11"/>
    <x v="2"/>
    <s v="Økologisk"/>
    <x v="1"/>
    <s v="Juletræer"/>
    <n v="45.395134281863214"/>
    <n v="1552.5135924397218"/>
    <n v="0"/>
    <n v="1552.5135924397218"/>
  </r>
  <r>
    <x v="0"/>
    <x v="12"/>
    <x v="2"/>
    <s v="Økologisk"/>
    <x v="1"/>
    <s v="Pil &amp; poppel"/>
    <n v="74.555549571589111"/>
    <n v="1243.8047782187059"/>
    <n v="0"/>
    <n v="1243.8047782187059"/>
  </r>
  <r>
    <x v="0"/>
    <x v="13"/>
    <x v="2"/>
    <s v="Økologisk"/>
    <x v="1"/>
    <s v="Græs"/>
    <n v="8227.4469596095623"/>
    <n v="136147.79228761903"/>
    <n v="0"/>
    <n v="136147.79228761903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6829.6764788402734"/>
    <n v="67026.444963338436"/>
    <n v="31517.987646306185"/>
    <n v="31517.987646306185"/>
  </r>
  <r>
    <x v="0"/>
    <x v="1"/>
    <x v="1"/>
    <s v="Konventionel"/>
    <x v="2"/>
    <s v="Halm"/>
    <n v="393.24746020858441"/>
    <n v="2125.1092749671902"/>
    <n v="908.9203813398658"/>
    <n v="908.9203813398658"/>
  </r>
  <r>
    <x v="0"/>
    <x v="2"/>
    <x v="1"/>
    <s v="Konventionel"/>
    <x v="2"/>
    <s v="Halm"/>
    <n v="509.2376538265151"/>
    <n v="3136.903947571333"/>
    <n v="2413.7558332156746"/>
    <n v="2413.7558332156746"/>
  </r>
  <r>
    <x v="0"/>
    <x v="3"/>
    <x v="1"/>
    <s v="Konventionel"/>
    <x v="2"/>
    <s v="Græs"/>
    <n v="11744.627821749295"/>
    <n v="815875.80552127992"/>
    <n v="0"/>
    <n v="815875.80552127992"/>
  </r>
  <r>
    <x v="0"/>
    <x v="4"/>
    <x v="1"/>
    <s v="Konventionel"/>
    <x v="2"/>
    <s v="Grøntsager"/>
    <n v="13.650927813648"/>
    <n v="396.55945298647441"/>
    <n v="0"/>
    <n v="396.55945298647441"/>
  </r>
  <r>
    <x v="0"/>
    <x v="5"/>
    <x v="1"/>
    <s v="Konventionel"/>
    <x v="2"/>
    <s v="Kartofler"/>
    <n v="722.54761223276046"/>
    <n v="42962.145802906423"/>
    <n v="0"/>
    <n v="42962.145802906423"/>
  </r>
  <r>
    <x v="0"/>
    <x v="6"/>
    <x v="1"/>
    <s v="Konventionel"/>
    <x v="2"/>
    <s v="Roer"/>
    <n v="7.81367517821608"/>
    <n v="888.84636922823381"/>
    <n v="0"/>
    <n v="888.84636922823381"/>
  </r>
  <r>
    <x v="0"/>
    <x v="7"/>
    <x v="1"/>
    <s v="Konventionel"/>
    <x v="2"/>
    <s v="Majs"/>
    <n v="971.70700105983565"/>
    <n v="60550.950064042598"/>
    <n v="0"/>
    <n v="60550.950064042598"/>
  </r>
  <r>
    <x v="0"/>
    <x v="8"/>
    <x v="1"/>
    <s v="Konventionel"/>
    <x v="2"/>
    <s v="Frugt"/>
    <n v="27.846169827307591"/>
    <n v="330.97957456737799"/>
    <n v="0"/>
    <n v="330.97957456737799"/>
  </r>
  <r>
    <x v="0"/>
    <x v="9"/>
    <x v="1"/>
    <s v="Konventionel"/>
    <x v="2"/>
    <s v="Øvrige"/>
    <n v="492.48461375505457"/>
    <n v="20543.661222135182"/>
    <n v="0"/>
    <n v="20543.661222135182"/>
  </r>
  <r>
    <x v="0"/>
    <x v="10"/>
    <x v="1"/>
    <s v="Konventionel"/>
    <x v="2"/>
    <s v="Halm"/>
    <n v="1566.9213854799195"/>
    <n v="31345.33009747367"/>
    <n v="7502.1344139856974"/>
    <n v="7502.1344139856974"/>
  </r>
  <r>
    <x v="0"/>
    <x v="11"/>
    <x v="1"/>
    <s v="Konventionel"/>
    <x v="2"/>
    <s v="Juletræer"/>
    <n v="139.66369115457903"/>
    <n v="9776.4583808205316"/>
    <n v="0"/>
    <n v="9776.4583808205316"/>
  </r>
  <r>
    <x v="0"/>
    <x v="12"/>
    <x v="1"/>
    <s v="Konventionel"/>
    <x v="2"/>
    <s v="Pil &amp; poppel"/>
    <n v="329.67947330545348"/>
    <n v="11257.347868966703"/>
    <n v="0"/>
    <n v="11257.347868966703"/>
  </r>
  <r>
    <x v="0"/>
    <x v="13"/>
    <x v="1"/>
    <s v="Konventionel"/>
    <x v="2"/>
    <s v="Græs"/>
    <n v="31481.370371455621"/>
    <n v="607779.3363913222"/>
    <n v="0"/>
    <n v="607779.3363913222"/>
  </r>
  <r>
    <x v="0"/>
    <x v="0"/>
    <x v="2"/>
    <s v="Konventionel"/>
    <x v="2"/>
    <s v="Halm"/>
    <n v="6513.8532890673114"/>
    <n v="63926.956178906585"/>
    <n v="30060.508448789125"/>
    <n v="30060.508448789125"/>
  </r>
  <r>
    <x v="0"/>
    <x v="1"/>
    <x v="2"/>
    <s v="Konventionel"/>
    <x v="2"/>
    <s v="Halm"/>
    <n v="375.06260655732041"/>
    <n v="2026.8383258357594"/>
    <n v="866.88938104669273"/>
    <n v="866.88938104669273"/>
  </r>
  <r>
    <x v="0"/>
    <x v="2"/>
    <x v="2"/>
    <s v="Konventionel"/>
    <x v="2"/>
    <s v="Halm"/>
    <n v="485.68909179985542"/>
    <n v="2991.8448054871092"/>
    <n v="2302.1370663617704"/>
    <n v="2302.1370663617704"/>
  </r>
  <r>
    <x v="0"/>
    <x v="3"/>
    <x v="2"/>
    <s v="Konventionel"/>
    <x v="2"/>
    <s v="Græs"/>
    <n v="11201.523645021003"/>
    <n v="778147.44457231904"/>
    <n v="0"/>
    <n v="778147.44457231904"/>
  </r>
  <r>
    <x v="0"/>
    <x v="4"/>
    <x v="2"/>
    <s v="Konventionel"/>
    <x v="2"/>
    <s v="Grøntsager"/>
    <n v="13.019671036138266"/>
    <n v="378.22144359981667"/>
    <n v="0"/>
    <n v="378.22144359981667"/>
  </r>
  <r>
    <x v="0"/>
    <x v="5"/>
    <x v="2"/>
    <s v="Konventionel"/>
    <x v="2"/>
    <s v="Kartofler"/>
    <n v="689.13500588673674"/>
    <n v="40975.456979650633"/>
    <n v="0"/>
    <n v="40975.456979650633"/>
  </r>
  <r>
    <x v="0"/>
    <x v="6"/>
    <x v="2"/>
    <s v="Konventionel"/>
    <x v="2"/>
    <s v="Roer"/>
    <n v="7.4523491584141794"/>
    <n v="847.7436469517836"/>
    <n v="0"/>
    <n v="847.7436469517836"/>
  </r>
  <r>
    <x v="0"/>
    <x v="7"/>
    <x v="2"/>
    <s v="Konventionel"/>
    <x v="2"/>
    <s v="Majs"/>
    <n v="926.7725732651611"/>
    <n v="57750.906130445248"/>
    <n v="0"/>
    <n v="57750.906130445248"/>
  </r>
  <r>
    <x v="0"/>
    <x v="8"/>
    <x v="2"/>
    <s v="Konventionel"/>
    <x v="2"/>
    <s v="Frugt"/>
    <n v="26.558485673443656"/>
    <n v="315.67416071455131"/>
    <n v="0"/>
    <n v="315.67416071455131"/>
  </r>
  <r>
    <x v="0"/>
    <x v="9"/>
    <x v="2"/>
    <s v="Konventionel"/>
    <x v="2"/>
    <s v="Øvrige"/>
    <n v="469.71075878372255"/>
    <n v="19593.665327469971"/>
    <n v="0"/>
    <n v="19593.665327469971"/>
  </r>
  <r>
    <x v="0"/>
    <x v="10"/>
    <x v="2"/>
    <s v="Konventionel"/>
    <x v="2"/>
    <s v="Halm"/>
    <n v="1494.4625930877842"/>
    <n v="29895.835064064475"/>
    <n v="7155.2149035123675"/>
    <n v="7155.2149035123675"/>
  </r>
  <r>
    <x v="0"/>
    <x v="11"/>
    <x v="2"/>
    <s v="Konventionel"/>
    <x v="2"/>
    <s v="Juletræer"/>
    <n v="133.20525456939615"/>
    <n v="9324.3678198577309"/>
    <n v="0"/>
    <n v="9324.3678198577309"/>
  </r>
  <r>
    <x v="0"/>
    <x v="12"/>
    <x v="2"/>
    <s v="Konventionel"/>
    <x v="2"/>
    <s v="Pil &amp; poppel"/>
    <n v="314.43417974219551"/>
    <n v="10736.776869245699"/>
    <n v="0"/>
    <n v="10736.776869245699"/>
  </r>
  <r>
    <x v="0"/>
    <x v="13"/>
    <x v="2"/>
    <s v="Konventionel"/>
    <x v="2"/>
    <s v="Græs"/>
    <n v="30025.584458324727"/>
    <n v="579673.93355241721"/>
    <n v="0"/>
    <n v="579673.9335524172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65.9032654837422"/>
    <n v="7008.7190137964881"/>
    <n v="3295.7248353854275"/>
    <n v="3295.7248353854275"/>
  </r>
  <r>
    <x v="0"/>
    <x v="1"/>
    <x v="1"/>
    <s v="Økologisk"/>
    <x v="2"/>
    <s v="Halm"/>
    <n v="61.373881073016072"/>
    <n v="189.04873839158992"/>
    <n v="80.857136813991545"/>
    <n v="80.857136813991545"/>
  </r>
  <r>
    <x v="0"/>
    <x v="2"/>
    <x v="1"/>
    <s v="Økologisk"/>
    <x v="2"/>
    <s v="Halm"/>
    <n v="79.476396839976346"/>
    <n v="269.26603249383987"/>
    <n v="207.19233597255936"/>
    <n v="207.19233597255936"/>
  </r>
  <r>
    <x v="0"/>
    <x v="3"/>
    <x v="1"/>
    <s v="Økologisk"/>
    <x v="2"/>
    <s v="Græs"/>
    <n v="1832.9765964579826"/>
    <n v="99319.910198139638"/>
    <n v="0"/>
    <n v="99319.910198139638"/>
  </r>
  <r>
    <x v="0"/>
    <x v="4"/>
    <x v="1"/>
    <s v="Økologisk"/>
    <x v="2"/>
    <s v="Grøntsager"/>
    <n v="2.1304916240953529"/>
    <n v="35.277745557582897"/>
    <n v="0"/>
    <n v="35.277745557582897"/>
  </r>
  <r>
    <x v="0"/>
    <x v="5"/>
    <x v="1"/>
    <s v="Økologisk"/>
    <x v="2"/>
    <s v="Kartofler"/>
    <n v="112.76754641782966"/>
    <n v="3821.8926237383225"/>
    <n v="0"/>
    <n v="3821.8926237383225"/>
  </r>
  <r>
    <x v="0"/>
    <x v="6"/>
    <x v="1"/>
    <s v="Økologisk"/>
    <x v="2"/>
    <s v="Roer"/>
    <n v="1.2194753168314114"/>
    <n v="79.071361979320926"/>
    <n v="0"/>
    <n v="79.071361979320926"/>
  </r>
  <r>
    <x v="0"/>
    <x v="7"/>
    <x v="1"/>
    <s v="Økologisk"/>
    <x v="2"/>
    <s v="Majs"/>
    <n v="151.6536938070264"/>
    <n v="7843.6230689895647"/>
    <n v="0"/>
    <n v="7843.6230689895647"/>
  </r>
  <r>
    <x v="0"/>
    <x v="8"/>
    <x v="1"/>
    <s v="Økologisk"/>
    <x v="2"/>
    <s v="Frugt"/>
    <n v="4.3459340192907803"/>
    <n v="29.443789899375417"/>
    <n v="0"/>
    <n v="29.443789899375417"/>
  </r>
  <r>
    <x v="0"/>
    <x v="9"/>
    <x v="1"/>
    <s v="Økologisk"/>
    <x v="2"/>
    <s v="Øvrige"/>
    <n v="76.861760528245512"/>
    <n v="1827.5546023621989"/>
    <n v="0"/>
    <n v="1827.5546023621989"/>
  </r>
  <r>
    <x v="0"/>
    <x v="10"/>
    <x v="1"/>
    <s v="Økologisk"/>
    <x v="2"/>
    <s v="Halm"/>
    <n v="244.54842432345563"/>
    <n v="2788.4660705209226"/>
    <n v="667.3864082730629"/>
    <n v="667.3864082730629"/>
  </r>
  <r>
    <x v="0"/>
    <x v="11"/>
    <x v="1"/>
    <s v="Økologisk"/>
    <x v="2"/>
    <s v="Juletræer"/>
    <n v="21.797223474992101"/>
    <n v="869.70921665218475"/>
    <n v="0"/>
    <n v="869.70921665218475"/>
  </r>
  <r>
    <x v="0"/>
    <x v="12"/>
    <x v="1"/>
    <s v="Økologisk"/>
    <x v="2"/>
    <s v="Pil &amp; poppel"/>
    <n v="51.452865775995633"/>
    <n v="1001.4484607132807"/>
    <n v="0"/>
    <n v="1001.4484607132807"/>
  </r>
  <r>
    <x v="0"/>
    <x v="13"/>
    <x v="1"/>
    <s v="Økologisk"/>
    <x v="2"/>
    <s v="Græs"/>
    <n v="4913.2774568167742"/>
    <n v="94855.734581304656"/>
    <n v="0"/>
    <n v="94855.734581304656"/>
  </r>
  <r>
    <x v="0"/>
    <x v="0"/>
    <x v="2"/>
    <s v="Økologisk"/>
    <x v="2"/>
    <s v="Halm"/>
    <n v="1381.7264552567024"/>
    <n v="9085.3764993658169"/>
    <n v="4272.2358977218491"/>
    <n v="4272.2358977218491"/>
  </r>
  <r>
    <x v="0"/>
    <x v="1"/>
    <x v="2"/>
    <s v="Økologisk"/>
    <x v="2"/>
    <s v="Halm"/>
    <n v="79.558734724280086"/>
    <n v="245.06317939650546"/>
    <n v="104.81480698110011"/>
    <n v="104.81480698110011"/>
  </r>
  <r>
    <x v="0"/>
    <x v="2"/>
    <x v="2"/>
    <s v="Økologisk"/>
    <x v="2"/>
    <s v="Halm"/>
    <n v="103.024958866636"/>
    <n v="349.0485606401628"/>
    <n v="268.58265774220655"/>
    <n v="268.58265774220655"/>
  </r>
  <r>
    <x v="0"/>
    <x v="3"/>
    <x v="2"/>
    <s v="Økologisk"/>
    <x v="2"/>
    <s v="Græs"/>
    <n v="2376.0807731862733"/>
    <n v="128748.03173832915"/>
    <n v="0"/>
    <n v="128748.03173832915"/>
  </r>
  <r>
    <x v="0"/>
    <x v="4"/>
    <x v="2"/>
    <s v="Økologisk"/>
    <x v="2"/>
    <s v="Grøntsager"/>
    <n v="2.7617484016050868"/>
    <n v="45.730410907977834"/>
    <n v="0"/>
    <n v="45.730410907977834"/>
  </r>
  <r>
    <x v="0"/>
    <x v="5"/>
    <x v="2"/>
    <s v="Økologisk"/>
    <x v="2"/>
    <s v="Kartofler"/>
    <n v="146.18015276385327"/>
    <n v="4954.3052529941224"/>
    <n v="0"/>
    <n v="4954.3052529941224"/>
  </r>
  <r>
    <x v="0"/>
    <x v="6"/>
    <x v="2"/>
    <s v="Økologisk"/>
    <x v="2"/>
    <s v="Roer"/>
    <n v="1.5808013366333109"/>
    <n v="102.49991367689748"/>
    <n v="0"/>
    <n v="102.49991367689748"/>
  </r>
  <r>
    <x v="0"/>
    <x v="7"/>
    <x v="2"/>
    <s v="Økologisk"/>
    <x v="2"/>
    <s v="Majs"/>
    <n v="196.58812160170083"/>
    <n v="10167.65953387536"/>
    <n v="0"/>
    <n v="10167.65953387536"/>
  </r>
  <r>
    <x v="0"/>
    <x v="8"/>
    <x v="2"/>
    <s v="Økologisk"/>
    <x v="2"/>
    <s v="Frugt"/>
    <n v="5.6336181731547148"/>
    <n v="38.167875795486651"/>
    <n v="0"/>
    <n v="38.167875795486651"/>
  </r>
  <r>
    <x v="0"/>
    <x v="9"/>
    <x v="2"/>
    <s v="Økologisk"/>
    <x v="2"/>
    <s v="Øvrige"/>
    <n v="99.635615499577497"/>
    <n v="2369.0522623213683"/>
    <n v="0"/>
    <n v="2369.0522623213683"/>
  </r>
  <r>
    <x v="0"/>
    <x v="10"/>
    <x v="2"/>
    <s v="Økologisk"/>
    <x v="2"/>
    <s v="Halm"/>
    <n v="317.00721671559063"/>
    <n v="3614.678239564159"/>
    <n v="865.13052924285921"/>
    <n v="865.13052924285921"/>
  </r>
  <r>
    <x v="0"/>
    <x v="11"/>
    <x v="2"/>
    <s v="Økologisk"/>
    <x v="2"/>
    <s v="Juletræer"/>
    <n v="28.255660060174939"/>
    <n v="1127.4008364009799"/>
    <n v="0"/>
    <n v="1127.4008364009799"/>
  </r>
  <r>
    <x v="0"/>
    <x v="12"/>
    <x v="2"/>
    <s v="Økologisk"/>
    <x v="2"/>
    <s v="Pil &amp; poppel"/>
    <n v="66.698159339253593"/>
    <n v="1298.1739305542526"/>
    <n v="0"/>
    <n v="1298.1739305542526"/>
  </r>
  <r>
    <x v="0"/>
    <x v="13"/>
    <x v="2"/>
    <s v="Økologisk"/>
    <x v="2"/>
    <s v="Græs"/>
    <n v="6369.0633699476693"/>
    <n v="122961.13742020971"/>
    <n v="0"/>
    <n v="122961.13742020971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0174.15207493372"/>
    <n v="1333120.8060452854"/>
    <n v="626876.22950838727"/>
    <n v="626876.22950838727"/>
  </r>
  <r>
    <x v="1"/>
    <x v="1"/>
    <x v="1"/>
    <s v="Konventionel"/>
    <x v="0"/>
    <s v="Halm"/>
    <n v="14634.530814874721"/>
    <n v="56489.288945416425"/>
    <n v="24160.765121444623"/>
    <n v="24160.765121444623"/>
  </r>
  <r>
    <x v="1"/>
    <x v="2"/>
    <x v="1"/>
    <s v="Konventionel"/>
    <x v="0"/>
    <s v="Halm"/>
    <n v="21415.704421878378"/>
    <n v="94229.09945626487"/>
    <n v="72506.535830436726"/>
    <n v="72506.535830436726"/>
  </r>
  <r>
    <x v="1"/>
    <x v="3"/>
    <x v="1"/>
    <s v="Konventionel"/>
    <x v="0"/>
    <s v="Græs"/>
    <n v="118583.25035158051"/>
    <n v="5884100.8824454248"/>
    <n v="0"/>
    <n v="5884100.8824454248"/>
  </r>
  <r>
    <x v="1"/>
    <x v="4"/>
    <x v="1"/>
    <s v="Konventionel"/>
    <x v="0"/>
    <s v="Grøntsager"/>
    <n v="2459.5803417061084"/>
    <n v="51036.292090401752"/>
    <n v="0"/>
    <n v="51036.292090401752"/>
  </r>
  <r>
    <x v="1"/>
    <x v="5"/>
    <x v="1"/>
    <s v="Konventionel"/>
    <x v="0"/>
    <s v="Kartofler"/>
    <n v="10345.22343108295"/>
    <n v="439370.94434551767"/>
    <n v="0"/>
    <n v="439370.94434551767"/>
  </r>
  <r>
    <x v="1"/>
    <x v="6"/>
    <x v="1"/>
    <s v="Konventionel"/>
    <x v="0"/>
    <s v="Roer"/>
    <n v="15811.216143862219"/>
    <n v="1284720.3087639688"/>
    <n v="0"/>
    <n v="1284720.3087639688"/>
  </r>
  <r>
    <x v="1"/>
    <x v="7"/>
    <x v="1"/>
    <s v="Konventionel"/>
    <x v="0"/>
    <s v="Majs"/>
    <n v="32012.416450807639"/>
    <n v="1424872.6562254482"/>
    <n v="0"/>
    <n v="1424872.6562254482"/>
  </r>
  <r>
    <x v="1"/>
    <x v="8"/>
    <x v="1"/>
    <s v="Konventionel"/>
    <x v="0"/>
    <s v="Frugt"/>
    <n v="959.15016801528964"/>
    <n v="8143.1849264498105"/>
    <n v="0"/>
    <n v="8143.1849264498105"/>
  </r>
  <r>
    <x v="1"/>
    <x v="9"/>
    <x v="1"/>
    <s v="Konventionel"/>
    <x v="0"/>
    <s v="Øvrige"/>
    <n v="8489.1765698018808"/>
    <n v="252943.02550483562"/>
    <n v="0"/>
    <n v="252943.02550483562"/>
  </r>
  <r>
    <x v="1"/>
    <x v="10"/>
    <x v="1"/>
    <s v="Konventionel"/>
    <x v="0"/>
    <s v="Halm"/>
    <n v="19084.489401980361"/>
    <n v="272695.61173093005"/>
    <n v="65266.472771150577"/>
    <n v="65266.472771150577"/>
  </r>
  <r>
    <x v="1"/>
    <x v="11"/>
    <x v="1"/>
    <s v="Konventionel"/>
    <x v="0"/>
    <s v="Juletræer"/>
    <n v="3584.3960536589798"/>
    <n v="179219.802682949"/>
    <n v="0"/>
    <n v="179219.802682949"/>
  </r>
  <r>
    <x v="1"/>
    <x v="12"/>
    <x v="1"/>
    <s v="Konventionel"/>
    <x v="0"/>
    <s v="Pil &amp; poppel"/>
    <n v="1378.3575978842866"/>
    <n v="33618.477997177724"/>
    <n v="0"/>
    <n v="33618.477997177724"/>
  </r>
  <r>
    <x v="1"/>
    <x v="13"/>
    <x v="1"/>
    <s v="Konventionel"/>
    <x v="0"/>
    <s v="Græs"/>
    <n v="33436.147663246578"/>
    <n v="461084.4762761704"/>
    <n v="0"/>
    <n v="461084.4762761704"/>
  </r>
  <r>
    <x v="1"/>
    <x v="0"/>
    <x v="2"/>
    <s v="Konventionel"/>
    <x v="0"/>
    <s v="Halm"/>
    <n v="177761.24151833868"/>
    <n v="1246106.3030435541"/>
    <n v="585959.21485606441"/>
    <n v="585959.21485606441"/>
  </r>
  <r>
    <x v="1"/>
    <x v="1"/>
    <x v="2"/>
    <s v="Konventionel"/>
    <x v="0"/>
    <s v="Halm"/>
    <n v="13679.31623886233"/>
    <n v="52802.160682008594"/>
    <n v="22583.761027254041"/>
    <n v="22583.761027254041"/>
  </r>
  <r>
    <x v="1"/>
    <x v="2"/>
    <x v="2"/>
    <s v="Konventionel"/>
    <x v="0"/>
    <s v="Halm"/>
    <n v="20017.87395651362"/>
    <n v="88078.645408659941"/>
    <n v="67773.941341585611"/>
    <n v="67773.941341585611"/>
  </r>
  <r>
    <x v="1"/>
    <x v="3"/>
    <x v="2"/>
    <s v="Konventionel"/>
    <x v="0"/>
    <s v="Græs"/>
    <n v="110843.16967255903"/>
    <n v="5500038.0791523792"/>
    <n v="0"/>
    <n v="5500038.0791523792"/>
  </r>
  <r>
    <x v="1"/>
    <x v="4"/>
    <x v="2"/>
    <s v="Konventionel"/>
    <x v="0"/>
    <s v="Grøntsager"/>
    <n v="2299.0403815945601"/>
    <n v="47705.087918087127"/>
    <n v="0"/>
    <n v="47705.087918087127"/>
  </r>
  <r>
    <x v="1"/>
    <x v="5"/>
    <x v="2"/>
    <s v="Konventionel"/>
    <x v="0"/>
    <s v="Kartofler"/>
    <n v="9669.9774434609044"/>
    <n v="410692.63988709357"/>
    <n v="0"/>
    <n v="410692.63988709357"/>
  </r>
  <r>
    <x v="1"/>
    <x v="6"/>
    <x v="2"/>
    <s v="Konventionel"/>
    <x v="0"/>
    <s v="Roer"/>
    <n v="14779.197808860414"/>
    <n v="1200864.9682303893"/>
    <n v="0"/>
    <n v="1200864.9682303893"/>
  </r>
  <r>
    <x v="1"/>
    <x v="7"/>
    <x v="2"/>
    <s v="Konventionel"/>
    <x v="0"/>
    <s v="Majs"/>
    <n v="29922.925014832817"/>
    <n v="1331869.3924102089"/>
    <n v="0"/>
    <n v="1331869.3924102089"/>
  </r>
  <r>
    <x v="1"/>
    <x v="8"/>
    <x v="2"/>
    <s v="Konventionel"/>
    <x v="0"/>
    <s v="Frugt"/>
    <n v="896.54520768805401"/>
    <n v="7611.668813271579"/>
    <n v="0"/>
    <n v="7611.668813271579"/>
  </r>
  <r>
    <x v="1"/>
    <x v="9"/>
    <x v="2"/>
    <s v="Konventionel"/>
    <x v="0"/>
    <s v="Øvrige"/>
    <n v="7935.0771387784034"/>
    <n v="236433.11016014192"/>
    <n v="0"/>
    <n v="236433.11016014192"/>
  </r>
  <r>
    <x v="1"/>
    <x v="10"/>
    <x v="2"/>
    <s v="Konventionel"/>
    <x v="0"/>
    <s v="Halm"/>
    <n v="17838.820327711393"/>
    <n v="254896.41977629336"/>
    <n v="61006.446474130375"/>
    <n v="61006.446474130375"/>
  </r>
  <r>
    <x v="1"/>
    <x v="11"/>
    <x v="2"/>
    <s v="Konventionel"/>
    <x v="0"/>
    <s v="Juletræer"/>
    <n v="3350.4379309170949"/>
    <n v="167521.89654585475"/>
    <n v="0"/>
    <n v="167521.89654585475"/>
  </r>
  <r>
    <x v="1"/>
    <x v="12"/>
    <x v="2"/>
    <s v="Konventionel"/>
    <x v="0"/>
    <s v="Pil &amp; poppel"/>
    <n v="1288.3904315219554"/>
    <n v="31424.156866389159"/>
    <n v="0"/>
    <n v="31424.156866389159"/>
  </r>
  <r>
    <x v="1"/>
    <x v="13"/>
    <x v="2"/>
    <s v="Konventionel"/>
    <x v="0"/>
    <s v="Græs"/>
    <n v="31253.727466954875"/>
    <n v="430988.90176930773"/>
    <n v="0"/>
    <n v="430988.9017693077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9680.358994353821"/>
    <n v="139399.74208878161"/>
    <n v="65550.236946859717"/>
    <n v="65550.236946859717"/>
  </r>
  <r>
    <x v="1"/>
    <x v="1"/>
    <x v="1"/>
    <s v="Økologisk"/>
    <x v="0"/>
    <s v="Halm"/>
    <n v="2284.0019190844941"/>
    <n v="5025.2610223697038"/>
    <n v="2149.3304925955649"/>
    <n v="2149.3304925955649"/>
  </r>
  <r>
    <x v="1"/>
    <x v="2"/>
    <x v="1"/>
    <s v="Økologisk"/>
    <x v="0"/>
    <s v="Halm"/>
    <n v="3342.3353722006718"/>
    <n v="8088.4516007256261"/>
    <n v="6223.8269195490493"/>
    <n v="6223.8269195490493"/>
  </r>
  <r>
    <x v="1"/>
    <x v="3"/>
    <x v="1"/>
    <s v="Økologisk"/>
    <x v="0"/>
    <s v="Græs"/>
    <n v="18507.212482616615"/>
    <n v="716295.74904220039"/>
    <n v="0"/>
    <n v="716295.74904220039"/>
  </r>
  <r>
    <x v="1"/>
    <x v="4"/>
    <x v="1"/>
    <s v="Økologisk"/>
    <x v="0"/>
    <s v="Grøntsager"/>
    <n v="383.86514003505738"/>
    <n v="4540.1649437646402"/>
    <n v="0"/>
    <n v="4540.1649437646402"/>
  </r>
  <r>
    <x v="1"/>
    <x v="5"/>
    <x v="1"/>
    <s v="Økologisk"/>
    <x v="0"/>
    <s v="Kartofler"/>
    <n v="1614.5724430013856"/>
    <n v="39086.236031661952"/>
    <n v="0"/>
    <n v="39086.236031661952"/>
  </r>
  <r>
    <x v="1"/>
    <x v="6"/>
    <x v="1"/>
    <s v="Økologisk"/>
    <x v="0"/>
    <s v="Roer"/>
    <n v="2467.64645019815"/>
    <n v="114288.12457732647"/>
    <n v="0"/>
    <n v="114288.12457732647"/>
  </r>
  <r>
    <x v="1"/>
    <x v="7"/>
    <x v="1"/>
    <s v="Økologisk"/>
    <x v="0"/>
    <s v="Majs"/>
    <n v="4996.1574807618863"/>
    <n v="184574.54465903059"/>
    <n v="0"/>
    <n v="184574.54465903059"/>
  </r>
  <r>
    <x v="1"/>
    <x v="8"/>
    <x v="1"/>
    <s v="Økologisk"/>
    <x v="0"/>
    <s v="Frugt"/>
    <n v="149.69395685787757"/>
    <n v="724.4139654223269"/>
    <n v="0"/>
    <n v="724.4139654223269"/>
  </r>
  <r>
    <x v="1"/>
    <x v="9"/>
    <x v="1"/>
    <s v="Økologisk"/>
    <x v="0"/>
    <s v="Øvrige"/>
    <n v="1324.9003895066519"/>
    <n v="22501.694581037111"/>
    <n v="0"/>
    <n v="22501.694581037111"/>
  </r>
  <r>
    <x v="1"/>
    <x v="10"/>
    <x v="1"/>
    <s v="Økologisk"/>
    <x v="0"/>
    <s v="Halm"/>
    <n v="2978.5041263206344"/>
    <n v="24258.87551756655"/>
    <n v="5806.0752366936849"/>
    <n v="5806.0752366936849"/>
  </r>
  <r>
    <x v="1"/>
    <x v="11"/>
    <x v="1"/>
    <s v="Økologisk"/>
    <x v="0"/>
    <s v="Juletræer"/>
    <n v="559.41441299880034"/>
    <n v="15943.31077046581"/>
    <n v="0"/>
    <n v="15943.31077046581"/>
  </r>
  <r>
    <x v="1"/>
    <x v="12"/>
    <x v="1"/>
    <s v="Økologisk"/>
    <x v="0"/>
    <s v="Pil &amp; poppel"/>
    <n v="215.11939388945515"/>
    <n v="2990.6842565119373"/>
    <n v="0"/>
    <n v="2990.6842565119373"/>
  </r>
  <r>
    <x v="1"/>
    <x v="13"/>
    <x v="1"/>
    <s v="Økologisk"/>
    <x v="0"/>
    <s v="Græs"/>
    <n v="5218.3583058246104"/>
    <n v="71961.161037321377"/>
    <n v="0"/>
    <n v="71961.161037321377"/>
  </r>
  <r>
    <x v="1"/>
    <x v="0"/>
    <x v="2"/>
    <s v="Økologisk"/>
    <x v="0"/>
    <s v="Halm"/>
    <n v="37706.930019041538"/>
    <n v="177098.13822043242"/>
    <n v="83277.233868937648"/>
    <n v="83277.233868937648"/>
  </r>
  <r>
    <x v="1"/>
    <x v="1"/>
    <x v="2"/>
    <s v="Økologisk"/>
    <x v="0"/>
    <s v="Halm"/>
    <n v="2901.6731415768577"/>
    <n v="6384.2612460974024"/>
    <n v="2730.5820151134426"/>
    <n v="2730.5820151134426"/>
  </r>
  <r>
    <x v="1"/>
    <x v="2"/>
    <x v="2"/>
    <s v="Økologisk"/>
    <x v="0"/>
    <s v="Halm"/>
    <n v="4246.2156877453126"/>
    <n v="10275.841964343659"/>
    <n v="7906.9598231849877"/>
    <n v="7906.9598231849877"/>
  </r>
  <r>
    <x v="1"/>
    <x v="3"/>
    <x v="2"/>
    <s v="Økologisk"/>
    <x v="0"/>
    <s v="Græs"/>
    <n v="23512.187506300404"/>
    <n v="910006.30036884826"/>
    <n v="0"/>
    <n v="910006.30036884826"/>
  </r>
  <r>
    <x v="1"/>
    <x v="4"/>
    <x v="2"/>
    <s v="Økologisk"/>
    <x v="0"/>
    <s v="Grøntsager"/>
    <n v="487.67523245945216"/>
    <n v="5767.9788119141704"/>
    <n v="0"/>
    <n v="5767.9788119141704"/>
  </r>
  <r>
    <x v="1"/>
    <x v="5"/>
    <x v="2"/>
    <s v="Økologisk"/>
    <x v="0"/>
    <s v="Kartofler"/>
    <n v="2051.2073364917069"/>
    <n v="49656.473731803118"/>
    <n v="0"/>
    <n v="49656.473731803118"/>
  </r>
  <r>
    <x v="1"/>
    <x v="6"/>
    <x v="2"/>
    <s v="Økologisk"/>
    <x v="0"/>
    <s v="Roer"/>
    <n v="3134.9813533946331"/>
    <n v="145195.4916133107"/>
    <n v="0"/>
    <n v="145195.4916133107"/>
  </r>
  <r>
    <x v="1"/>
    <x v="7"/>
    <x v="2"/>
    <s v="Økologisk"/>
    <x v="0"/>
    <s v="Majs"/>
    <n v="6347.2871243584768"/>
    <n v="234489.73242131254"/>
    <n v="0"/>
    <n v="234489.73242131254"/>
  </r>
  <r>
    <x v="1"/>
    <x v="8"/>
    <x v="2"/>
    <s v="Økologisk"/>
    <x v="0"/>
    <s v="Frugt"/>
    <n v="190.17625617625387"/>
    <n v="920.31995651374552"/>
    <n v="0"/>
    <n v="920.31995651374552"/>
  </r>
  <r>
    <x v="1"/>
    <x v="9"/>
    <x v="2"/>
    <s v="Økologisk"/>
    <x v="0"/>
    <s v="Øvrige"/>
    <n v="1683.1981809529948"/>
    <n v="28586.912410271703"/>
    <n v="0"/>
    <n v="28586.912410271703"/>
  </r>
  <r>
    <x v="1"/>
    <x v="10"/>
    <x v="2"/>
    <s v="Økologisk"/>
    <x v="0"/>
    <s v="Halm"/>
    <n v="3783.9921907266594"/>
    <n v="30819.294391133648"/>
    <n v="7376.2339827812166"/>
    <n v="7376.2339827812166"/>
  </r>
  <r>
    <x v="1"/>
    <x v="11"/>
    <x v="2"/>
    <s v="Økologisk"/>
    <x v="0"/>
    <s v="Juletræer"/>
    <n v="710.69895504302008"/>
    <n v="20254.920218726071"/>
    <n v="0"/>
    <n v="20254.920218726071"/>
  </r>
  <r>
    <x v="1"/>
    <x v="12"/>
    <x v="2"/>
    <s v="Økologisk"/>
    <x v="0"/>
    <s v="Pil &amp; poppel"/>
    <n v="273.29494001980873"/>
    <n v="3799.4662392997802"/>
    <n v="0"/>
    <n v="3799.4662392997802"/>
  </r>
  <r>
    <x v="1"/>
    <x v="13"/>
    <x v="2"/>
    <s v="Økologisk"/>
    <x v="0"/>
    <s v="Græs"/>
    <n v="6629.5785535964887"/>
    <n v="91421.888254095582"/>
    <n v="0"/>
    <n v="91421.88825409558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752.9487519585884"/>
    <n v="14745.804901475647"/>
    <n v="6933.951173656309"/>
    <n v="6933.951173656309"/>
  </r>
  <r>
    <x v="1"/>
    <x v="1"/>
    <x v="1"/>
    <s v="Konventionel"/>
    <x v="1"/>
    <s v="Halm"/>
    <n v="47.402536309570174"/>
    <n v="219.56854818592902"/>
    <n v="93.910619514131326"/>
    <n v="93.910619514131326"/>
  </r>
  <r>
    <x v="1"/>
    <x v="2"/>
    <x v="1"/>
    <s v="Konventionel"/>
    <x v="1"/>
    <s v="Halm"/>
    <n v="191.46624906280843"/>
    <n v="1010.9417950516286"/>
    <n v="777.89014124472294"/>
    <n v="777.89014124472294"/>
  </r>
  <r>
    <x v="1"/>
    <x v="3"/>
    <x v="1"/>
    <s v="Konventionel"/>
    <x v="1"/>
    <s v="Græs"/>
    <n v="562.99099727781993"/>
    <n v="33522.735941910505"/>
    <n v="0"/>
    <n v="33522.735941910505"/>
  </r>
  <r>
    <x v="1"/>
    <x v="4"/>
    <x v="1"/>
    <s v="Konventionel"/>
    <x v="1"/>
    <s v="Grøntsager"/>
    <n v="10.662439786194978"/>
    <n v="265.49475067625497"/>
    <n v="0"/>
    <n v="265.49475067625497"/>
  </r>
  <r>
    <x v="1"/>
    <x v="5"/>
    <x v="1"/>
    <s v="Konventionel"/>
    <x v="1"/>
    <s v="Kartofler"/>
    <n v="18.127123488677832"/>
    <n v="923.85028726105998"/>
    <n v="0"/>
    <n v="923.85028726105998"/>
  </r>
  <r>
    <x v="1"/>
    <x v="6"/>
    <x v="1"/>
    <s v="Konventionel"/>
    <x v="1"/>
    <s v="Roer"/>
    <n v="50.643369270114505"/>
    <n v="4937.9552651911044"/>
    <n v="0"/>
    <n v="4937.9552651911044"/>
  </r>
  <r>
    <x v="1"/>
    <x v="7"/>
    <x v="1"/>
    <s v="Konventionel"/>
    <x v="1"/>
    <s v="Majs"/>
    <n v="53.993646777040333"/>
    <n v="2883.9086616552786"/>
    <n v="0"/>
    <n v="2883.9086616552786"/>
  </r>
  <r>
    <x v="1"/>
    <x v="8"/>
    <x v="1"/>
    <s v="Konventionel"/>
    <x v="1"/>
    <s v="Frugt"/>
    <n v="11.647539532185737"/>
    <n v="118.66513275390831"/>
    <n v="0"/>
    <n v="118.66513275390831"/>
  </r>
  <r>
    <x v="1"/>
    <x v="9"/>
    <x v="1"/>
    <s v="Konventionel"/>
    <x v="1"/>
    <s v="Øvrige"/>
    <n v="83.169081452753318"/>
    <n v="2973.7215031127798"/>
    <n v="0"/>
    <n v="2973.7215031127798"/>
  </r>
  <r>
    <x v="1"/>
    <x v="10"/>
    <x v="1"/>
    <s v="Konventionel"/>
    <x v="1"/>
    <s v="Halm"/>
    <n v="603.80358732362868"/>
    <n v="10353.198462420129"/>
    <n v="2477.9157290165494"/>
    <n v="2477.9157290165494"/>
  </r>
  <r>
    <x v="1"/>
    <x v="11"/>
    <x v="1"/>
    <s v="Konventionel"/>
    <x v="1"/>
    <s v="Juletræer"/>
    <n v="18.25162816502359"/>
    <n v="1095.0976899014156"/>
    <n v="0"/>
    <n v="1095.0976899014156"/>
  </r>
  <r>
    <x v="1"/>
    <x v="12"/>
    <x v="1"/>
    <s v="Konventionel"/>
    <x v="1"/>
    <s v="Pil &amp; poppel"/>
    <n v="38.736771764982237"/>
    <n v="1133.7591736092363"/>
    <n v="0"/>
    <n v="1133.7591736092363"/>
  </r>
  <r>
    <x v="1"/>
    <x v="13"/>
    <x v="1"/>
    <s v="Konventionel"/>
    <x v="1"/>
    <s v="Græs"/>
    <n v="4383.0738282155862"/>
    <n v="72531.105709311538"/>
    <n v="0"/>
    <n v="72531.105709311538"/>
  </r>
  <r>
    <x v="1"/>
    <x v="0"/>
    <x v="2"/>
    <s v="Konventionel"/>
    <x v="1"/>
    <s v="Halm"/>
    <n v="1671.8875379951853"/>
    <n v="14063.917969615499"/>
    <n v="6613.3060326779805"/>
    <n v="6613.3060326779805"/>
  </r>
  <r>
    <x v="1"/>
    <x v="1"/>
    <x v="2"/>
    <s v="Konventionel"/>
    <x v="1"/>
    <s v="Halm"/>
    <n v="45.21051150912762"/>
    <n v="209.41508931027917"/>
    <n v="89.56793190654146"/>
    <n v="89.56793190654146"/>
  </r>
  <r>
    <x v="1"/>
    <x v="2"/>
    <x v="2"/>
    <s v="Konventionel"/>
    <x v="1"/>
    <s v="Halm"/>
    <n v="182.61231847030859"/>
    <n v="964.19304152322934"/>
    <n v="741.91834280566047"/>
    <n v="741.91834280566047"/>
  </r>
  <r>
    <x v="1"/>
    <x v="3"/>
    <x v="2"/>
    <s v="Konventionel"/>
    <x v="1"/>
    <s v="Græs"/>
    <n v="536.95673150774724"/>
    <n v="31972.551620897299"/>
    <n v="0"/>
    <n v="31972.551620897299"/>
  </r>
  <r>
    <x v="1"/>
    <x v="4"/>
    <x v="2"/>
    <s v="Konventionel"/>
    <x v="1"/>
    <s v="Grøntsager"/>
    <n v="10.169378986833362"/>
    <n v="253.21753677215071"/>
    <n v="0"/>
    <n v="253.21753677215071"/>
  </r>
  <r>
    <x v="1"/>
    <x v="5"/>
    <x v="2"/>
    <s v="Konventionel"/>
    <x v="1"/>
    <s v="Kartofler"/>
    <n v="17.288875003652265"/>
    <n v="881.12888669407448"/>
    <n v="0"/>
    <n v="881.12888669407448"/>
  </r>
  <r>
    <x v="1"/>
    <x v="6"/>
    <x v="2"/>
    <s v="Konventionel"/>
    <x v="1"/>
    <s v="Roer"/>
    <n v="48.301479361669905"/>
    <n v="4709.6105130435399"/>
    <n v="0"/>
    <n v="4709.6105130435399"/>
  </r>
  <r>
    <x v="1"/>
    <x v="7"/>
    <x v="2"/>
    <s v="Konventionel"/>
    <x v="1"/>
    <s v="Majs"/>
    <n v="51.496830741107829"/>
    <n v="2750.5487235440514"/>
    <n v="0"/>
    <n v="2750.5487235440514"/>
  </r>
  <r>
    <x v="1"/>
    <x v="8"/>
    <x v="2"/>
    <s v="Konventionel"/>
    <x v="1"/>
    <s v="Frugt"/>
    <n v="11.108924987344778"/>
    <n v="113.17772777106862"/>
    <n v="0"/>
    <n v="113.17772777106862"/>
  </r>
  <r>
    <x v="1"/>
    <x v="9"/>
    <x v="2"/>
    <s v="Konventionel"/>
    <x v="1"/>
    <s v="Øvrige"/>
    <n v="79.323112368232927"/>
    <n v="2836.2083700208591"/>
    <n v="0"/>
    <n v="2836.2083700208591"/>
  </r>
  <r>
    <x v="1"/>
    <x v="10"/>
    <x v="2"/>
    <s v="Konventionel"/>
    <x v="1"/>
    <s v="Halm"/>
    <n v="575.88203415259386"/>
    <n v="9874.4378398804711"/>
    <n v="2363.3300305649177"/>
    <n v="2363.3300305649177"/>
  </r>
  <r>
    <x v="1"/>
    <x v="11"/>
    <x v="2"/>
    <s v="Konventionel"/>
    <x v="1"/>
    <s v="Juletræer"/>
    <n v="17.407622238317295"/>
    <n v="1044.4573342990377"/>
    <n v="0"/>
    <n v="1044.4573342990377"/>
  </r>
  <r>
    <x v="1"/>
    <x v="12"/>
    <x v="2"/>
    <s v="Konventionel"/>
    <x v="1"/>
    <s v="Pil &amp; poppel"/>
    <n v="36.945475960821213"/>
    <n v="1081.3310037313527"/>
    <n v="0"/>
    <n v="1081.3310037313527"/>
  </r>
  <r>
    <x v="1"/>
    <x v="13"/>
    <x v="2"/>
    <s v="Konventionel"/>
    <x v="1"/>
    <s v="Græs"/>
    <n v="4180.3883332692003"/>
    <n v="69177.066138938724"/>
    <n v="0"/>
    <n v="69177.06613893872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273.58159712648495"/>
    <n v="1541.9168246687541"/>
    <n v="725.05882503724069"/>
    <n v="725.05882503724069"/>
  </r>
  <r>
    <x v="1"/>
    <x v="1"/>
    <x v="1"/>
    <s v="Økologisk"/>
    <x v="1"/>
    <s v="Halm"/>
    <n v="7.3980837014936114"/>
    <n v="19.532716512031495"/>
    <n v="8.3542452851010474"/>
    <n v="8.3542452851010474"/>
  </r>
  <r>
    <x v="1"/>
    <x v="2"/>
    <x v="1"/>
    <s v="Økologisk"/>
    <x v="1"/>
    <s v="Halm"/>
    <n v="29.882015749686865"/>
    <n v="86.77737373709067"/>
    <n v="66.772650852509457"/>
    <n v="66.772650852509457"/>
  </r>
  <r>
    <x v="1"/>
    <x v="3"/>
    <x v="1"/>
    <s v="Økologisk"/>
    <x v="1"/>
    <s v="Græs"/>
    <n v="87.865646973995027"/>
    <n v="4080.8602250672566"/>
    <n v="0"/>
    <n v="4080.8602250672566"/>
  </r>
  <r>
    <x v="1"/>
    <x v="4"/>
    <x v="1"/>
    <s v="Økologisk"/>
    <x v="1"/>
    <s v="Grøntsager"/>
    <n v="1.6640801978454596"/>
    <n v="23.618290248020603"/>
    <n v="0"/>
    <n v="23.618290248020603"/>
  </r>
  <r>
    <x v="1"/>
    <x v="5"/>
    <x v="1"/>
    <s v="Økologisk"/>
    <x v="1"/>
    <s v="Kartofler"/>
    <n v="2.8290886369612802"/>
    <n v="82.185294340738224"/>
    <n v="0"/>
    <n v="82.185294340738224"/>
  </r>
  <r>
    <x v="1"/>
    <x v="6"/>
    <x v="1"/>
    <s v="Økologisk"/>
    <x v="1"/>
    <s v="Roer"/>
    <n v="7.9038784410005301"/>
    <n v="439.27821694387916"/>
    <n v="0"/>
    <n v="439.27821694387916"/>
  </r>
  <r>
    <x v="1"/>
    <x v="7"/>
    <x v="1"/>
    <s v="Økologisk"/>
    <x v="1"/>
    <s v="Majs"/>
    <n v="8.4267541212721913"/>
    <n v="373.57452663407389"/>
    <n v="0"/>
    <n v="373.57452663407389"/>
  </r>
  <r>
    <x v="1"/>
    <x v="8"/>
    <x v="1"/>
    <s v="Økologisk"/>
    <x v="1"/>
    <s v="Frugt"/>
    <n v="1.8178240888382367"/>
    <n v="10.556395335737855"/>
    <n v="0"/>
    <n v="10.556395335737855"/>
  </r>
  <r>
    <x v="1"/>
    <x v="9"/>
    <x v="1"/>
    <s v="Økologisk"/>
    <x v="1"/>
    <s v="Øvrige"/>
    <n v="12.9801456602563"/>
    <n v="264.54088978558201"/>
    <n v="0"/>
    <n v="264.54088978558201"/>
  </r>
  <r>
    <x v="1"/>
    <x v="10"/>
    <x v="1"/>
    <s v="Økologisk"/>
    <x v="1"/>
    <s v="Halm"/>
    <n v="94.235241952242646"/>
    <n v="921.01574761066934"/>
    <n v="220.43423739632777"/>
    <n v="220.43423739632777"/>
  </r>
  <r>
    <x v="1"/>
    <x v="11"/>
    <x v="1"/>
    <s v="Økologisk"/>
    <x v="1"/>
    <s v="Juletræer"/>
    <n v="2.8485200026337401"/>
    <n v="97.419384090073905"/>
    <n v="0"/>
    <n v="97.419384090073905"/>
  </r>
  <r>
    <x v="1"/>
    <x v="12"/>
    <x v="1"/>
    <s v="Økologisk"/>
    <x v="1"/>
    <s v="Pil &amp; poppel"/>
    <n v="6.0456233390434706"/>
    <n v="100.85869180257887"/>
    <n v="0"/>
    <n v="100.85869180257887"/>
  </r>
  <r>
    <x v="1"/>
    <x v="13"/>
    <x v="1"/>
    <s v="Økologisk"/>
    <x v="1"/>
    <s v="Græs"/>
    <n v="684.06354544405099"/>
    <n v="11319.883550008157"/>
    <n v="0"/>
    <n v="11319.883550008157"/>
  </r>
  <r>
    <x v="1"/>
    <x v="0"/>
    <x v="2"/>
    <s v="Økologisk"/>
    <x v="1"/>
    <s v="Halm"/>
    <n v="354.6428110898878"/>
    <n v="1998.7810690150513"/>
    <n v="939.89106949271923"/>
    <n v="939.89106949271923"/>
  </r>
  <r>
    <x v="1"/>
    <x v="1"/>
    <x v="2"/>
    <s v="Økologisk"/>
    <x v="1"/>
    <s v="Halm"/>
    <n v="9.5901085019361609"/>
    <n v="25.320188071151932"/>
    <n v="10.829577221427284"/>
    <n v="10.829577221427284"/>
  </r>
  <r>
    <x v="1"/>
    <x v="2"/>
    <x v="2"/>
    <s v="Økologisk"/>
    <x v="1"/>
    <s v="Halm"/>
    <n v="38.735946342186679"/>
    <n v="112.48918817771012"/>
    <n v="86.557139993993758"/>
    <n v="86.557139993993758"/>
  </r>
  <r>
    <x v="1"/>
    <x v="3"/>
    <x v="2"/>
    <s v="Økologisk"/>
    <x v="1"/>
    <s v="Græs"/>
    <n v="113.89991274406761"/>
    <n v="5290.003995457555"/>
    <n v="0"/>
    <n v="5290.003995457555"/>
  </r>
  <r>
    <x v="1"/>
    <x v="4"/>
    <x v="2"/>
    <s v="Økologisk"/>
    <x v="1"/>
    <s v="Grøntsager"/>
    <n v="2.1571409972070765"/>
    <n v="30.61630217336004"/>
    <n v="0"/>
    <n v="30.61630217336004"/>
  </r>
  <r>
    <x v="1"/>
    <x v="5"/>
    <x v="2"/>
    <s v="Økologisk"/>
    <x v="1"/>
    <s v="Kartofler"/>
    <n v="3.6673371219868445"/>
    <n v="106.53649266391993"/>
    <n v="0"/>
    <n v="106.53649266391993"/>
  </r>
  <r>
    <x v="1"/>
    <x v="6"/>
    <x v="2"/>
    <s v="Økologisk"/>
    <x v="1"/>
    <s v="Roer"/>
    <n v="10.245768349445131"/>
    <n v="569.43472566799153"/>
    <n v="0"/>
    <n v="569.43472566799153"/>
  </r>
  <r>
    <x v="1"/>
    <x v="7"/>
    <x v="2"/>
    <s v="Økologisk"/>
    <x v="1"/>
    <s v="Majs"/>
    <n v="10.923570157204692"/>
    <n v="484.2632752663921"/>
    <n v="0"/>
    <n v="484.2632752663921"/>
  </r>
  <r>
    <x v="1"/>
    <x v="8"/>
    <x v="2"/>
    <s v="Økologisk"/>
    <x v="1"/>
    <s v="Frugt"/>
    <n v="2.3564386336791951"/>
    <n v="13.684216175956474"/>
    <n v="0"/>
    <n v="13.684216175956474"/>
  </r>
  <r>
    <x v="1"/>
    <x v="9"/>
    <x v="2"/>
    <s v="Økologisk"/>
    <x v="1"/>
    <s v="Øvrige"/>
    <n v="16.826114744776682"/>
    <n v="342.92337564797663"/>
    <n v="0"/>
    <n v="342.92337564797663"/>
  </r>
  <r>
    <x v="1"/>
    <x v="10"/>
    <x v="2"/>
    <s v="Økologisk"/>
    <x v="1"/>
    <s v="Halm"/>
    <n v="122.15679512327748"/>
    <n v="1193.9093024582751"/>
    <n v="285.7480855137581"/>
    <n v="285.7480855137581"/>
  </r>
  <r>
    <x v="1"/>
    <x v="11"/>
    <x v="2"/>
    <s v="Økologisk"/>
    <x v="1"/>
    <s v="Juletræer"/>
    <n v="3.6925259293400323"/>
    <n v="126.2843867834291"/>
    <n v="0"/>
    <n v="126.2843867834291"/>
  </r>
  <r>
    <x v="1"/>
    <x v="12"/>
    <x v="2"/>
    <s v="Økologisk"/>
    <x v="1"/>
    <s v="Pil &amp; poppel"/>
    <n v="7.8369191432044989"/>
    <n v="130.74274863297259"/>
    <n v="0"/>
    <n v="130.74274863297259"/>
  </r>
  <r>
    <x v="1"/>
    <x v="13"/>
    <x v="2"/>
    <s v="Økologisk"/>
    <x v="1"/>
    <s v="Græs"/>
    <n v="886.74904039043645"/>
    <n v="14673.923120380941"/>
    <n v="0"/>
    <n v="14673.923120380941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053.0573109296802"/>
    <n v="10334.704449463881"/>
    <n v="4859.7100345183562"/>
    <n v="4859.7100345183562"/>
  </r>
  <r>
    <x v="1"/>
    <x v="1"/>
    <x v="1"/>
    <s v="Konventionel"/>
    <x v="2"/>
    <s v="Halm"/>
    <n v="19.126993325199422"/>
    <n v="103.36227192937768"/>
    <n v="44.208585753622174"/>
    <n v="44.208585753622174"/>
  </r>
  <r>
    <x v="1"/>
    <x v="2"/>
    <x v="1"/>
    <s v="Konventionel"/>
    <x v="2"/>
    <s v="Halm"/>
    <n v="93.430886843548848"/>
    <n v="575.53426295626093"/>
    <n v="442.85678096765128"/>
    <n v="442.85678096765128"/>
  </r>
  <r>
    <x v="1"/>
    <x v="3"/>
    <x v="1"/>
    <s v="Konventionel"/>
    <x v="2"/>
    <s v="Græs"/>
    <n v="686.58489509283288"/>
    <n v="47695.679492308911"/>
    <n v="0"/>
    <n v="47695.679492308911"/>
  </r>
  <r>
    <x v="1"/>
    <x v="4"/>
    <x v="1"/>
    <s v="Konventionel"/>
    <x v="2"/>
    <s v="Grøntsager"/>
    <n v="3.2314797199590726"/>
    <n v="93.874485864811049"/>
    <n v="0"/>
    <n v="93.874485864811049"/>
  </r>
  <r>
    <x v="1"/>
    <x v="5"/>
    <x v="1"/>
    <s v="Konventionel"/>
    <x v="2"/>
    <s v="Kartofler"/>
    <n v="18.419048913328059"/>
    <n v="1095.1830046465504"/>
    <n v="0"/>
    <n v="1095.1830046465504"/>
  </r>
  <r>
    <x v="1"/>
    <x v="6"/>
    <x v="1"/>
    <s v="Konventionel"/>
    <x v="2"/>
    <s v="Roer"/>
    <n v="21.211111456389141"/>
    <n v="2412.8747324778428"/>
    <n v="0"/>
    <n v="2412.8747324778428"/>
  </r>
  <r>
    <x v="1"/>
    <x v="7"/>
    <x v="1"/>
    <s v="Konventionel"/>
    <x v="2"/>
    <s v="Majs"/>
    <n v="21.786516121482823"/>
    <n v="1357.6049655940806"/>
    <n v="0"/>
    <n v="1357.6049655940806"/>
  </r>
  <r>
    <x v="1"/>
    <x v="8"/>
    <x v="1"/>
    <s v="Konventionel"/>
    <x v="2"/>
    <s v="Frugt"/>
    <n v="7.9057923278821436"/>
    <n v="93.968247609207168"/>
    <n v="0"/>
    <n v="93.968247609207168"/>
  </r>
  <r>
    <x v="1"/>
    <x v="9"/>
    <x v="1"/>
    <s v="Konventionel"/>
    <x v="2"/>
    <s v="Øvrige"/>
    <n v="56.451191622853806"/>
    <n v="2354.8231231900932"/>
    <n v="0"/>
    <n v="2354.8231231900932"/>
  </r>
  <r>
    <x v="1"/>
    <x v="10"/>
    <x v="1"/>
    <s v="Konventionel"/>
    <x v="2"/>
    <s v="Halm"/>
    <n v="528.28027242495364"/>
    <n v="10567.932556534564"/>
    <n v="2529.3097973610966"/>
    <n v="2529.3097973610966"/>
  </r>
  <r>
    <x v="1"/>
    <x v="11"/>
    <x v="1"/>
    <s v="Konventionel"/>
    <x v="2"/>
    <s v="Juletræer"/>
    <n v="12.388331588802384"/>
    <n v="867.18321121616691"/>
    <n v="0"/>
    <n v="867.18321121616691"/>
  </r>
  <r>
    <x v="1"/>
    <x v="12"/>
    <x v="1"/>
    <s v="Konventionel"/>
    <x v="2"/>
    <s v="Pil &amp; poppel"/>
    <n v="37.789605201644072"/>
    <n v="1290.3767629829683"/>
    <n v="0"/>
    <n v="1290.3767629829683"/>
  </r>
  <r>
    <x v="1"/>
    <x v="13"/>
    <x v="1"/>
    <s v="Konventionel"/>
    <x v="2"/>
    <s v="Græs"/>
    <n v="3393.0422285443651"/>
    <n v="65506.073264277518"/>
    <n v="0"/>
    <n v="65506.073264277518"/>
  </r>
  <r>
    <x v="1"/>
    <x v="0"/>
    <x v="2"/>
    <s v="Konventionel"/>
    <x v="2"/>
    <s v="Halm"/>
    <n v="1004.3610190947816"/>
    <n v="9856.7990413961852"/>
    <n v="4634.9835589336917"/>
    <n v="4634.9835589336917"/>
  </r>
  <r>
    <x v="1"/>
    <x v="1"/>
    <x v="2"/>
    <s v="Konventionel"/>
    <x v="2"/>
    <s v="Halm"/>
    <n v="18.242508084727771"/>
    <n v="98.582513689868875"/>
    <n v="42.164258088714782"/>
    <n v="42.164258088714782"/>
  </r>
  <r>
    <x v="1"/>
    <x v="2"/>
    <x v="2"/>
    <s v="Konventionel"/>
    <x v="2"/>
    <s v="Halm"/>
    <n v="89.110383405696865"/>
    <n v="548.91996177909266"/>
    <n v="422.37785468012981"/>
    <n v="422.37785468012981"/>
  </r>
  <r>
    <x v="1"/>
    <x v="3"/>
    <x v="2"/>
    <s v="Konventionel"/>
    <x v="2"/>
    <s v="Græs"/>
    <n v="654.83530456830886"/>
    <n v="45490.098937751281"/>
    <n v="0"/>
    <n v="45490.098937751281"/>
  </r>
  <r>
    <x v="1"/>
    <x v="4"/>
    <x v="2"/>
    <s v="Konventionel"/>
    <x v="2"/>
    <s v="Grøntsager"/>
    <n v="3.0820471317528724"/>
    <n v="89.53346917742094"/>
    <n v="0"/>
    <n v="89.53346917742094"/>
  </r>
  <r>
    <x v="1"/>
    <x v="5"/>
    <x v="2"/>
    <s v="Konventionel"/>
    <x v="2"/>
    <s v="Kartofler"/>
    <n v="17.567300986700172"/>
    <n v="1044.5387038536462"/>
    <n v="0"/>
    <n v="1044.5387038536462"/>
  </r>
  <r>
    <x v="1"/>
    <x v="6"/>
    <x v="2"/>
    <s v="Konventionel"/>
    <x v="2"/>
    <s v="Roer"/>
    <n v="20.230250811006982"/>
    <n v="2301.2967101667286"/>
    <n v="0"/>
    <n v="2301.2967101667286"/>
  </r>
  <r>
    <x v="1"/>
    <x v="7"/>
    <x v="2"/>
    <s v="Konventionel"/>
    <x v="2"/>
    <s v="Majs"/>
    <n v="20.77904716788824"/>
    <n v="1294.825545219788"/>
    <n v="0"/>
    <n v="1294.825545219788"/>
  </r>
  <r>
    <x v="1"/>
    <x v="8"/>
    <x v="2"/>
    <s v="Konventionel"/>
    <x v="2"/>
    <s v="Frugt"/>
    <n v="7.5402065554945299"/>
    <n v="89.622895118608"/>
    <n v="0"/>
    <n v="89.622895118608"/>
  </r>
  <r>
    <x v="1"/>
    <x v="9"/>
    <x v="2"/>
    <s v="Konventionel"/>
    <x v="2"/>
    <s v="Øvrige"/>
    <n v="53.840731894629357"/>
    <n v="2245.9295683604932"/>
    <n v="0"/>
    <n v="2245.9295683604932"/>
  </r>
  <r>
    <x v="1"/>
    <x v="10"/>
    <x v="2"/>
    <s v="Konventionel"/>
    <x v="2"/>
    <s v="Halm"/>
    <n v="503.85112687929109"/>
    <n v="10079.242033689035"/>
    <n v="2412.3474945929534"/>
    <n v="2412.3474945929534"/>
  </r>
  <r>
    <x v="1"/>
    <x v="11"/>
    <x v="2"/>
    <s v="Konventionel"/>
    <x v="2"/>
    <s v="Juletræer"/>
    <n v="11.815460763886664"/>
    <n v="827.08225347206644"/>
    <n v="0"/>
    <n v="827.08225347206644"/>
  </r>
  <r>
    <x v="1"/>
    <x v="12"/>
    <x v="2"/>
    <s v="Konventionel"/>
    <x v="2"/>
    <s v="Pil &amp; poppel"/>
    <n v="36.042109007348387"/>
    <n v="1230.7061612265302"/>
    <n v="0"/>
    <n v="1230.7061612265302"/>
  </r>
  <r>
    <x v="1"/>
    <x v="13"/>
    <x v="2"/>
    <s v="Konventionel"/>
    <x v="2"/>
    <s v="Græs"/>
    <n v="3236.1385416752614"/>
    <n v="62476.890685582592"/>
    <n v="0"/>
    <n v="62476.890685582592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64.34998494278247"/>
    <n v="1080.6636039930729"/>
    <n v="508.16274291582124"/>
    <n v="508.16274291582124"/>
  </r>
  <r>
    <x v="1"/>
    <x v="1"/>
    <x v="1"/>
    <s v="Økologisk"/>
    <x v="2"/>
    <s v="Halm"/>
    <n v="2.9851376865918176"/>
    <n v="9.1950599132550419"/>
    <n v="3.9327753453655783"/>
    <n v="3.9327753453655783"/>
  </r>
  <r>
    <x v="1"/>
    <x v="2"/>
    <x v="1"/>
    <s v="Økologisk"/>
    <x v="2"/>
    <s v="Halm"/>
    <n v="14.581699102750399"/>
    <n v="49.402796560118354"/>
    <n v="38.014006921211696"/>
    <n v="38.014006921211696"/>
  </r>
  <r>
    <x v="1"/>
    <x v="3"/>
    <x v="1"/>
    <s v="Økologisk"/>
    <x v="2"/>
    <s v="Græs"/>
    <n v="107.15486802026872"/>
    <n v="5806.1908098729809"/>
    <n v="0"/>
    <n v="5806.1908098729809"/>
  </r>
  <r>
    <x v="1"/>
    <x v="4"/>
    <x v="1"/>
    <s v="Økologisk"/>
    <x v="2"/>
    <s v="Grøntsager"/>
    <n v="0.50433498519592468"/>
    <n v="8.3510308523667174"/>
    <n v="0"/>
    <n v="8.3510308523667174"/>
  </r>
  <r>
    <x v="1"/>
    <x v="5"/>
    <x v="1"/>
    <s v="Økologisk"/>
    <x v="2"/>
    <s v="Kartofler"/>
    <n v="2.8746492523691192"/>
    <n v="97.426973650349197"/>
    <n v="0"/>
    <n v="97.426973650349197"/>
  </r>
  <r>
    <x v="1"/>
    <x v="6"/>
    <x v="1"/>
    <s v="Økologisk"/>
    <x v="2"/>
    <s v="Roer"/>
    <n v="3.3104046781647791"/>
    <n v="214.64822042100579"/>
    <n v="0"/>
    <n v="214.64822042100579"/>
  </r>
  <r>
    <x v="1"/>
    <x v="7"/>
    <x v="1"/>
    <s v="Økologisk"/>
    <x v="2"/>
    <s v="Majs"/>
    <n v="3.4002077183817128"/>
    <n v="175.86085132348759"/>
    <n v="0"/>
    <n v="175.86085132348759"/>
  </r>
  <r>
    <x v="1"/>
    <x v="8"/>
    <x v="1"/>
    <s v="Økologisk"/>
    <x v="2"/>
    <s v="Frugt"/>
    <n v="1.2338519818081959"/>
    <n v="8.3593718537901633"/>
    <n v="0"/>
    <n v="8.3593718537901633"/>
  </r>
  <r>
    <x v="1"/>
    <x v="9"/>
    <x v="1"/>
    <s v="Økologisk"/>
    <x v="2"/>
    <s v="Øvrige"/>
    <n v="8.8103015827575319"/>
    <n v="209.48397610344239"/>
    <n v="0"/>
    <n v="209.48397610344239"/>
  </r>
  <r>
    <x v="1"/>
    <x v="10"/>
    <x v="1"/>
    <s v="Økologisk"/>
    <x v="2"/>
    <s v="Halm"/>
    <n v="82.448366216611277"/>
    <n v="940.11839332408658"/>
    <n v="225.00622995021547"/>
    <n v="225.00622995021547"/>
  </r>
  <r>
    <x v="1"/>
    <x v="11"/>
    <x v="1"/>
    <s v="Økologisk"/>
    <x v="2"/>
    <s v="Juletræer"/>
    <n v="1.9334390340905452"/>
    <n v="77.144217460212744"/>
    <n v="0"/>
    <n v="77.144217460212744"/>
  </r>
  <r>
    <x v="1"/>
    <x v="12"/>
    <x v="1"/>
    <s v="Økologisk"/>
    <x v="2"/>
    <s v="Pil &amp; poppel"/>
    <n v="5.8977996557479182"/>
    <n v="114.79132012894728"/>
    <n v="0"/>
    <n v="114.79132012894728"/>
  </r>
  <r>
    <x v="1"/>
    <x v="13"/>
    <x v="1"/>
    <s v="Økologisk"/>
    <x v="2"/>
    <s v="Græs"/>
    <n v="529.54994318322474"/>
    <n v="10223.491203095338"/>
    <n v="0"/>
    <n v="10223.491203095338"/>
  </r>
  <r>
    <x v="1"/>
    <x v="0"/>
    <x v="2"/>
    <s v="Økologisk"/>
    <x v="2"/>
    <s v="Halm"/>
    <n v="213.04627677768096"/>
    <n v="1400.8602273984279"/>
    <n v="658.72948155754602"/>
    <n v="658.72948155754602"/>
  </r>
  <r>
    <x v="1"/>
    <x v="1"/>
    <x v="2"/>
    <s v="Økologisk"/>
    <x v="2"/>
    <s v="Halm"/>
    <n v="3.8696229270634666"/>
    <n v="11.919522109775052"/>
    <n v="5.0980421143627872"/>
    <n v="5.0980421143627872"/>
  </r>
  <r>
    <x v="1"/>
    <x v="2"/>
    <x v="2"/>
    <s v="Økologisk"/>
    <x v="2"/>
    <s v="Halm"/>
    <n v="18.902202540602364"/>
    <n v="64.040662207560814"/>
    <n v="49.277416379348487"/>
    <n v="49.277416379348487"/>
  </r>
  <r>
    <x v="1"/>
    <x v="3"/>
    <x v="2"/>
    <s v="Økologisk"/>
    <x v="2"/>
    <s v="Græs"/>
    <n v="138.90445854479279"/>
    <n v="7526.5436424279396"/>
    <n v="0"/>
    <n v="7526.5436424279396"/>
  </r>
  <r>
    <x v="1"/>
    <x v="4"/>
    <x v="2"/>
    <s v="Økologisk"/>
    <x v="2"/>
    <s v="Grøntsager"/>
    <n v="0.65376757340212444"/>
    <n v="10.825410364179078"/>
    <n v="0"/>
    <n v="10.825410364179078"/>
  </r>
  <r>
    <x v="1"/>
    <x v="5"/>
    <x v="2"/>
    <s v="Økologisk"/>
    <x v="2"/>
    <s v="Kartofler"/>
    <n v="3.7263971789970061"/>
    <n v="126.29422510230449"/>
    <n v="0"/>
    <n v="126.29422510230449"/>
  </r>
  <r>
    <x v="1"/>
    <x v="6"/>
    <x v="2"/>
    <s v="Økologisk"/>
    <x v="2"/>
    <s v="Roer"/>
    <n v="4.291265323546936"/>
    <n v="278.24769313834076"/>
    <n v="0"/>
    <n v="278.24769313834076"/>
  </r>
  <r>
    <x v="1"/>
    <x v="7"/>
    <x v="2"/>
    <s v="Økologisk"/>
    <x v="2"/>
    <s v="Majs"/>
    <n v="4.4076766719762936"/>
    <n v="227.96777023415052"/>
    <n v="0"/>
    <n v="227.96777023415052"/>
  </r>
  <r>
    <x v="1"/>
    <x v="8"/>
    <x v="2"/>
    <s v="Økologisk"/>
    <x v="2"/>
    <s v="Frugt"/>
    <n v="1.5994377541958094"/>
    <n v="10.836222773431693"/>
    <n v="0"/>
    <n v="10.836222773431693"/>
  </r>
  <r>
    <x v="1"/>
    <x v="9"/>
    <x v="2"/>
    <s v="Økologisk"/>
    <x v="2"/>
    <s v="Øvrige"/>
    <n v="11.420761310981984"/>
    <n v="271.55330235631408"/>
    <n v="0"/>
    <n v="271.55330235631408"/>
  </r>
  <r>
    <x v="1"/>
    <x v="10"/>
    <x v="2"/>
    <s v="Økologisk"/>
    <x v="2"/>
    <s v="Halm"/>
    <n v="106.87751176227387"/>
    <n v="1218.6719913460379"/>
    <n v="291.6747425280571"/>
    <n v="291.6747425280571"/>
  </r>
  <r>
    <x v="1"/>
    <x v="11"/>
    <x v="2"/>
    <s v="Økologisk"/>
    <x v="2"/>
    <s v="Juletræer"/>
    <n v="2.5063098590062625"/>
    <n v="100.00176337434986"/>
    <n v="0"/>
    <n v="100.00176337434986"/>
  </r>
  <r>
    <x v="1"/>
    <x v="12"/>
    <x v="2"/>
    <s v="Økologisk"/>
    <x v="2"/>
    <s v="Pil &amp; poppel"/>
    <n v="7.6452958500435964"/>
    <n v="148.80356313011683"/>
    <n v="0"/>
    <n v="148.80356313011683"/>
  </r>
  <r>
    <x v="1"/>
    <x v="13"/>
    <x v="2"/>
    <s v="Økologisk"/>
    <x v="2"/>
    <s v="Græs"/>
    <n v="686.45363005232821"/>
    <n v="13252.673781790247"/>
    <n v="0"/>
    <n v="13252.67378179024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381619.5037339376"/>
  </r>
  <r>
    <x v="1"/>
    <x v="0"/>
    <x v="1"/>
    <n v="224570.40950584275"/>
  </r>
  <r>
    <x v="2"/>
    <x v="0"/>
    <x v="1"/>
    <n v="370490.27594297461"/>
  </r>
  <r>
    <x v="3"/>
    <x v="0"/>
    <x v="1"/>
    <n v="28408153.283469509"/>
  </r>
  <r>
    <x v="4"/>
    <x v="0"/>
    <x v="1"/>
    <n v="217805.88377635827"/>
  </r>
  <r>
    <x v="5"/>
    <x v="0"/>
    <x v="1"/>
    <n v="1778992.2257450195"/>
  </r>
  <r>
    <x v="6"/>
    <x v="0"/>
    <x v="1"/>
    <n v="4923583.0761439931"/>
  </r>
  <r>
    <x v="7"/>
    <x v="0"/>
    <x v="1"/>
    <n v="5903489.3992296383"/>
  </r>
  <r>
    <x v="8"/>
    <x v="0"/>
    <x v="1"/>
    <n v="32105.259581147304"/>
  </r>
  <r>
    <x v="9"/>
    <x v="0"/>
    <x v="1"/>
    <n v="1025729.6203575714"/>
  </r>
  <r>
    <x v="10"/>
    <x v="0"/>
    <x v="1"/>
    <n v="1120053.9852881476"/>
  </r>
  <r>
    <x v="11"/>
    <x v="0"/>
    <x v="1"/>
    <n v="713505.92728443746"/>
  </r>
  <r>
    <x v="12"/>
    <x v="0"/>
    <x v="1"/>
    <n v="154484.73733408173"/>
  </r>
  <r>
    <x v="0"/>
    <x v="0"/>
    <x v="2"/>
    <n v="5384297.8300240729"/>
  </r>
  <r>
    <x v="1"/>
    <x v="0"/>
    <x v="2"/>
    <n v="223655.47079475562"/>
  </r>
  <r>
    <x v="2"/>
    <x v="0"/>
    <x v="2"/>
    <n v="368467.16262994817"/>
  </r>
  <r>
    <x v="3"/>
    <x v="0"/>
    <x v="2"/>
    <n v="28726652.266058438"/>
  </r>
  <r>
    <x v="4"/>
    <x v="0"/>
    <x v="2"/>
    <n v="215100.32143170634"/>
  </r>
  <r>
    <x v="5"/>
    <x v="0"/>
    <x v="2"/>
    <n v="1773593.0585347696"/>
  </r>
  <r>
    <x v="6"/>
    <x v="0"/>
    <x v="2"/>
    <n v="4893003.8959338032"/>
  </r>
  <r>
    <x v="7"/>
    <x v="0"/>
    <x v="2"/>
    <n v="5948728.1077614166"/>
  </r>
  <r>
    <x v="8"/>
    <x v="0"/>
    <x v="2"/>
    <n v="31959.139430497853"/>
  </r>
  <r>
    <x v="9"/>
    <x v="0"/>
    <x v="2"/>
    <n v="1022705.1142750654"/>
  </r>
  <r>
    <x v="10"/>
    <x v="0"/>
    <x v="2"/>
    <n v="1117549.622505489"/>
  </r>
  <r>
    <x v="11"/>
    <x v="0"/>
    <x v="2"/>
    <n v="710657.73610137182"/>
  </r>
  <r>
    <x v="12"/>
    <x v="0"/>
    <x v="2"/>
    <n v="155048.14004123484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608239.7398434528"/>
  </r>
  <r>
    <x v="1"/>
    <x v="1"/>
    <x v="1"/>
    <n v="66320.575580958233"/>
  </r>
  <r>
    <x v="2"/>
    <x v="1"/>
    <x v="1"/>
    <n v="111531.10220983687"/>
  </r>
  <r>
    <x v="3"/>
    <x v="1"/>
    <x v="1"/>
    <n v="7915785.5258047525"/>
  </r>
  <r>
    <x v="4"/>
    <x v="1"/>
    <x v="1"/>
    <n v="66219.734583524318"/>
  </r>
  <r>
    <x v="5"/>
    <x v="1"/>
    <x v="1"/>
    <n v="515263.04540454788"/>
  </r>
  <r>
    <x v="6"/>
    <x v="1"/>
    <x v="1"/>
    <n v="1508318.1394402247"/>
  </r>
  <r>
    <x v="7"/>
    <x v="1"/>
    <x v="1"/>
    <n v="1730463.2966817433"/>
  </r>
  <r>
    <x v="8"/>
    <x v="1"/>
    <x v="1"/>
    <n v="9754.2866982633659"/>
  </r>
  <r>
    <x v="9"/>
    <x v="1"/>
    <x v="1"/>
    <n v="301497.09442768525"/>
  </r>
  <r>
    <x v="10"/>
    <x v="1"/>
    <x v="1"/>
    <n v="342757.79858178977"/>
  </r>
  <r>
    <x v="11"/>
    <x v="1"/>
    <x v="1"/>
    <n v="211505.55492892067"/>
  </r>
  <r>
    <x v="12"/>
    <x v="1"/>
    <x v="1"/>
    <n v="42074.872472772768"/>
  </r>
  <r>
    <x v="0"/>
    <x v="1"/>
    <x v="2"/>
    <n v="1668103.5195071232"/>
  </r>
  <r>
    <x v="1"/>
    <x v="1"/>
    <x v="2"/>
    <n v="68461.408127480128"/>
  </r>
  <r>
    <x v="2"/>
    <x v="1"/>
    <x v="2"/>
    <n v="115050.74976069485"/>
  </r>
  <r>
    <x v="3"/>
    <x v="1"/>
    <x v="2"/>
    <n v="8259662.159688036"/>
  </r>
  <r>
    <x v="4"/>
    <x v="1"/>
    <x v="2"/>
    <n v="67896.085122154822"/>
  </r>
  <r>
    <x v="5"/>
    <x v="1"/>
    <x v="2"/>
    <n v="531883.75371629221"/>
  </r>
  <r>
    <x v="6"/>
    <x v="1"/>
    <x v="2"/>
    <n v="1557006.906908574"/>
  </r>
  <r>
    <x v="7"/>
    <x v="1"/>
    <x v="2"/>
    <n v="1806784.2396676533"/>
  </r>
  <r>
    <x v="8"/>
    <x v="1"/>
    <x v="2"/>
    <n v="10073.206306368047"/>
  </r>
  <r>
    <x v="9"/>
    <x v="1"/>
    <x v="2"/>
    <n v="311324.13276481908"/>
  </r>
  <r>
    <x v="10"/>
    <x v="1"/>
    <x v="2"/>
    <n v="354294.27163502085"/>
  </r>
  <r>
    <x v="11"/>
    <x v="1"/>
    <x v="2"/>
    <n v="218355.83887788613"/>
  </r>
  <r>
    <x v="12"/>
    <x v="1"/>
    <x v="2"/>
    <n v="43487.487569771387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91858.8572342743"/>
  </r>
  <r>
    <x v="0"/>
    <x v="2"/>
    <x v="1"/>
    <s v="JB1-10"/>
    <n v="490276.74059587362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90755.6925145041"/>
  </r>
  <r>
    <x v="0"/>
    <x v="2"/>
    <x v="2"/>
    <s v="JB1-10"/>
    <n v="591379.905315643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6177.14276572561"/>
  </r>
  <r>
    <x v="1"/>
    <x v="2"/>
    <x v="1"/>
    <s v="JB1-10"/>
    <n v="133223.25940412635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5280.30748549581"/>
  </r>
  <r>
    <x v="1"/>
    <x v="2"/>
    <x v="2"/>
    <s v="JB1-10"/>
    <n v="144120.0946843561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0853879.88663437"/>
  </r>
  <r>
    <x v="1"/>
    <s v="Vestdanmark"/>
    <x v="15"/>
    <x v="1"/>
    <n v="9348117.6321617663"/>
  </r>
  <r>
    <x v="1"/>
    <s v="Vestdanmark"/>
    <x v="16"/>
    <x v="1"/>
    <n v="6006.7628175927466"/>
  </r>
  <r>
    <x v="1"/>
    <s v="Vestdanmark"/>
    <x v="17"/>
    <x v="1"/>
    <n v="1497865.6247316466"/>
  </r>
  <r>
    <x v="1"/>
    <s v="Vestdanmark"/>
    <x v="18"/>
    <x v="1"/>
    <n v="195082.24112879002"/>
  </r>
  <r>
    <x v="1"/>
    <s v="Vestdanmark"/>
    <x v="19"/>
    <x v="1"/>
    <n v="508461.98144503916"/>
  </r>
  <r>
    <x v="1"/>
    <s v="Vestdanmark"/>
    <x v="20"/>
    <x v="1"/>
    <n v="1061170.3273835385"/>
  </r>
  <r>
    <x v="1"/>
    <s v="Vestdanmark"/>
    <x v="21"/>
    <x v="1"/>
    <n v="0"/>
  </r>
  <r>
    <x v="1"/>
    <s v="Vestdanmark"/>
    <x v="22"/>
    <x v="1"/>
    <n v="56757.88331613881"/>
  </r>
  <r>
    <x v="1"/>
    <s v="Vestdanmark"/>
    <x v="0"/>
    <x v="1"/>
    <n v="2914.9101192356643"/>
  </r>
  <r>
    <x v="1"/>
    <s v="Vestdanmark"/>
    <x v="23"/>
    <x v="1"/>
    <n v="67006.096493213583"/>
  </r>
  <r>
    <x v="1"/>
    <s v="Vestdanmark"/>
    <x v="24"/>
    <x v="1"/>
    <n v="255215.75389295255"/>
  </r>
  <r>
    <x v="1"/>
    <s v="Vestdanmark"/>
    <x v="25"/>
    <x v="1"/>
    <n v="21927.581361856195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0391250.072657285"/>
  </r>
  <r>
    <x v="1"/>
    <s v="Vestdanmark"/>
    <x v="15"/>
    <x v="2"/>
    <n v="9169492.6818358731"/>
  </r>
  <r>
    <x v="1"/>
    <s v="Vestdanmark"/>
    <x v="16"/>
    <x v="2"/>
    <n v="6203.1828401873436"/>
  </r>
  <r>
    <x v="1"/>
    <s v="Vestdanmark"/>
    <x v="17"/>
    <x v="2"/>
    <n v="1554136.2730559006"/>
  </r>
  <r>
    <x v="1"/>
    <s v="Vestdanmark"/>
    <x v="18"/>
    <x v="2"/>
    <n v="197484.23354298095"/>
  </r>
  <r>
    <x v="1"/>
    <s v="Vestdanmark"/>
    <x v="19"/>
    <x v="2"/>
    <n v="505095.54922592157"/>
  </r>
  <r>
    <x v="1"/>
    <s v="Vestdanmark"/>
    <x v="20"/>
    <x v="2"/>
    <n v="1111191.0910754299"/>
  </r>
  <r>
    <x v="1"/>
    <s v="Vestdanmark"/>
    <x v="21"/>
    <x v="2"/>
    <n v="0"/>
  </r>
  <r>
    <x v="1"/>
    <s v="Vestdanmark"/>
    <x v="22"/>
    <x v="2"/>
    <n v="56035.402394015458"/>
  </r>
  <r>
    <x v="1"/>
    <s v="Vestdanmark"/>
    <x v="0"/>
    <x v="2"/>
    <n v="2890.4979416445458"/>
  </r>
  <r>
    <x v="1"/>
    <s v="Vestdanmark"/>
    <x v="23"/>
    <x v="2"/>
    <n v="66543.89398922697"/>
  </r>
  <r>
    <x v="1"/>
    <s v="Vestdanmark"/>
    <x v="24"/>
    <x v="2"/>
    <n v="253140.58627511252"/>
  </r>
  <r>
    <x v="1"/>
    <s v="Vestdanmark"/>
    <x v="25"/>
    <x v="2"/>
    <n v="21730.211139686518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572695.883390849"/>
  </r>
  <r>
    <x v="1"/>
    <s v="Østdanmark"/>
    <x v="15"/>
    <x v="1"/>
    <n v="664408.20431967056"/>
  </r>
  <r>
    <x v="1"/>
    <s v="Østdanmark"/>
    <x v="16"/>
    <x v="1"/>
    <n v="504.14538611005531"/>
  </r>
  <r>
    <x v="1"/>
    <s v="Østdanmark"/>
    <x v="17"/>
    <x v="1"/>
    <n v="1267572.2425659813"/>
  </r>
  <r>
    <x v="1"/>
    <s v="Østdanmark"/>
    <x v="18"/>
    <x v="1"/>
    <n v="168912.75887120995"/>
  </r>
  <r>
    <x v="1"/>
    <s v="Østdanmark"/>
    <x v="19"/>
    <x v="1"/>
    <n v="217506.01855496093"/>
  </r>
  <r>
    <x v="1"/>
    <s v="Østdanmark"/>
    <x v="20"/>
    <x v="1"/>
    <n v="143222.04383687259"/>
  </r>
  <r>
    <x v="1"/>
    <s v="Østdanmark"/>
    <x v="21"/>
    <x v="1"/>
    <n v="0"/>
  </r>
  <r>
    <x v="1"/>
    <s v="Østdanmark"/>
    <x v="22"/>
    <x v="1"/>
    <n v="19176.116683861201"/>
  </r>
  <r>
    <x v="1"/>
    <s v="Østdanmark"/>
    <x v="0"/>
    <x v="1"/>
    <n v="871.08988076433457"/>
  </r>
  <r>
    <x v="1"/>
    <s v="Østdanmark"/>
    <x v="23"/>
    <x v="1"/>
    <n v="18670.90350678641"/>
  </r>
  <r>
    <x v="1"/>
    <s v="Østdanmark"/>
    <x v="24"/>
    <x v="1"/>
    <n v="74810.246107047482"/>
  </r>
  <r>
    <x v="1"/>
    <s v="Østdanmark"/>
    <x v="25"/>
    <x v="1"/>
    <n v="6717.418638143807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505662.1579788346"/>
  </r>
  <r>
    <x v="1"/>
    <s v="Østdanmark"/>
    <x v="15"/>
    <x v="2"/>
    <n v="651712.6128473935"/>
  </r>
  <r>
    <x v="1"/>
    <s v="Østdanmark"/>
    <x v="16"/>
    <x v="2"/>
    <n v="520.63084610535827"/>
  </r>
  <r>
    <x v="1"/>
    <s v="Østdanmark"/>
    <x v="17"/>
    <x v="2"/>
    <n v="1326833.4967577588"/>
  </r>
  <r>
    <x v="1"/>
    <s v="Østdanmark"/>
    <x v="18"/>
    <x v="2"/>
    <n v="172292.76645701908"/>
  </r>
  <r>
    <x v="1"/>
    <s v="Østdanmark"/>
    <x v="19"/>
    <x v="2"/>
    <n v="217936.45077407858"/>
  </r>
  <r>
    <x v="1"/>
    <s v="Østdanmark"/>
    <x v="20"/>
    <x v="2"/>
    <n v="150823.24280639994"/>
  </r>
  <r>
    <x v="1"/>
    <s v="Østdanmark"/>
    <x v="21"/>
    <x v="2"/>
    <n v="0"/>
  </r>
  <r>
    <x v="1"/>
    <s v="Østdanmark"/>
    <x v="22"/>
    <x v="2"/>
    <n v="19898.597605984571"/>
  </r>
  <r>
    <x v="1"/>
    <s v="Østdanmark"/>
    <x v="0"/>
    <x v="2"/>
    <n v="895.50205835545398"/>
  </r>
  <r>
    <x v="1"/>
    <s v="Østdanmark"/>
    <x v="23"/>
    <x v="2"/>
    <n v="19133.106010773055"/>
  </r>
  <r>
    <x v="1"/>
    <s v="Østdanmark"/>
    <x v="24"/>
    <x v="2"/>
    <n v="76885.413724887418"/>
  </r>
  <r>
    <x v="1"/>
    <s v="Østdanmark"/>
    <x v="25"/>
    <x v="2"/>
    <n v="6914.7888603134843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574649.0044539375"/>
  </r>
  <r>
    <x v="2"/>
    <s v="Vestdanmark"/>
    <x v="22"/>
    <x v="1"/>
    <n v="618468.71483434096"/>
  </r>
  <r>
    <x v="2"/>
    <s v="Vestdanmark"/>
    <x v="2"/>
    <x v="1"/>
    <n v="0"/>
  </r>
  <r>
    <x v="2"/>
    <s v="Vestdanmark"/>
    <x v="5"/>
    <x v="1"/>
    <n v="51598.780380153592"/>
  </r>
  <r>
    <x v="2"/>
    <s v="Vestdanmark"/>
    <x v="25"/>
    <x v="1"/>
    <n v="1433600.0178498654"/>
  </r>
  <r>
    <x v="2"/>
    <s v="Vestdanmark"/>
    <x v="24"/>
    <x v="1"/>
    <n v="4525643.0291759707"/>
  </r>
  <r>
    <x v="2"/>
    <s v="Vestdanmark"/>
    <x v="28"/>
    <x v="1"/>
    <n v="171279.284873009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790151.9274066389"/>
  </r>
  <r>
    <x v="2"/>
    <s v="Vestdanmark"/>
    <x v="29"/>
    <x v="1"/>
    <n v="1212571.3389336092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1532.588010093863"/>
  </r>
  <r>
    <x v="2"/>
    <s v="Vestdanmark"/>
    <x v="33"/>
    <x v="1"/>
    <n v="3862742.0312364982"/>
  </r>
  <r>
    <x v="2"/>
    <s v="Vestdanmark"/>
    <x v="0"/>
    <x v="2"/>
    <n v="4574649.0044539375"/>
  </r>
  <r>
    <x v="2"/>
    <s v="Vestdanmark"/>
    <x v="22"/>
    <x v="2"/>
    <n v="618468.71483434096"/>
  </r>
  <r>
    <x v="2"/>
    <s v="Vestdanmark"/>
    <x v="2"/>
    <x v="2"/>
    <n v="0"/>
  </r>
  <r>
    <x v="2"/>
    <s v="Vestdanmark"/>
    <x v="5"/>
    <x v="2"/>
    <n v="51598.780380153592"/>
  </r>
  <r>
    <x v="2"/>
    <s v="Vestdanmark"/>
    <x v="25"/>
    <x v="2"/>
    <n v="1433600.0178498654"/>
  </r>
  <r>
    <x v="2"/>
    <s v="Vestdanmark"/>
    <x v="24"/>
    <x v="2"/>
    <n v="4525643.0291759707"/>
  </r>
  <r>
    <x v="2"/>
    <s v="Vestdanmark"/>
    <x v="28"/>
    <x v="2"/>
    <n v="171279.2848730098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9790151.9274066389"/>
  </r>
  <r>
    <x v="2"/>
    <s v="Vestdanmark"/>
    <x v="29"/>
    <x v="2"/>
    <n v="1212571.3389336092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1532.588010093863"/>
  </r>
  <r>
    <x v="2"/>
    <s v="Vestdanmark"/>
    <x v="33"/>
    <x v="2"/>
    <n v="3862742.0312364982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61497.65842248674"/>
  </r>
  <r>
    <x v="2"/>
    <s v="Østdanmark"/>
    <x v="22"/>
    <x v="1"/>
    <n v="75911.558427530035"/>
  </r>
  <r>
    <x v="2"/>
    <s v="Østdanmark"/>
    <x v="2"/>
    <x v="1"/>
    <n v="0"/>
  </r>
  <r>
    <x v="2"/>
    <s v="Østdanmark"/>
    <x v="5"/>
    <x v="1"/>
    <n v="6333.2934029920762"/>
  </r>
  <r>
    <x v="2"/>
    <s v="Østdanmark"/>
    <x v="25"/>
    <x v="1"/>
    <n v="175961.7081777011"/>
  </r>
  <r>
    <x v="2"/>
    <s v="Østdanmark"/>
    <x v="24"/>
    <x v="1"/>
    <n v="555482.60888742993"/>
  </r>
  <r>
    <x v="2"/>
    <s v="Østdanmark"/>
    <x v="28"/>
    <x v="1"/>
    <n v="21023.015601598698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01654.4608093714"/>
  </r>
  <r>
    <x v="2"/>
    <s v="Østdanmark"/>
    <x v="29"/>
    <x v="1"/>
    <n v="148832.3949703137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3870.3459684951581"/>
  </r>
  <r>
    <x v="2"/>
    <s v="Østdanmark"/>
    <x v="33"/>
    <x v="1"/>
    <n v="474117.38114065683"/>
  </r>
  <r>
    <x v="2"/>
    <s v="Østdanmark"/>
    <x v="0"/>
    <x v="2"/>
    <n v="561497.65842248686"/>
  </r>
  <r>
    <x v="2"/>
    <s v="Østdanmark"/>
    <x v="22"/>
    <x v="2"/>
    <n v="75911.55842753005"/>
  </r>
  <r>
    <x v="2"/>
    <s v="Østdanmark"/>
    <x v="2"/>
    <x v="2"/>
    <n v="0"/>
  </r>
  <r>
    <x v="2"/>
    <s v="Østdanmark"/>
    <x v="5"/>
    <x v="2"/>
    <n v="6333.293402992078"/>
  </r>
  <r>
    <x v="2"/>
    <s v="Østdanmark"/>
    <x v="25"/>
    <x v="2"/>
    <n v="175961.70817770113"/>
  </r>
  <r>
    <x v="2"/>
    <s v="Østdanmark"/>
    <x v="24"/>
    <x v="2"/>
    <n v="555482.60888743005"/>
  </r>
  <r>
    <x v="2"/>
    <s v="Østdanmark"/>
    <x v="28"/>
    <x v="2"/>
    <n v="21023.015601598701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201654.4608093717"/>
  </r>
  <r>
    <x v="2"/>
    <s v="Østdanmark"/>
    <x v="29"/>
    <x v="2"/>
    <n v="148832.39497031382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3870.345968495159"/>
  </r>
  <r>
    <x v="2"/>
    <s v="Østdanmark"/>
    <x v="33"/>
    <x v="2"/>
    <n v="474117.381140657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709437.3149926052"/>
  </r>
  <r>
    <x v="3"/>
    <s v="Vestdanmark"/>
    <x v="34"/>
    <x v="1"/>
    <n v="118556.88830175188"/>
  </r>
  <r>
    <x v="3"/>
    <s v="Vestdanmark"/>
    <x v="35"/>
    <x v="1"/>
    <n v="154484.73733408173"/>
  </r>
  <r>
    <x v="3"/>
    <s v="Vestdanmark"/>
    <x v="36"/>
    <x v="1"/>
    <n v="2216416.4234337742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849.80345809902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0590.59860996436"/>
  </r>
  <r>
    <x v="3"/>
    <s v="Østdanmark"/>
    <x v="34"/>
    <x v="1"/>
    <n v="35689.952707147801"/>
  </r>
  <r>
    <x v="3"/>
    <s v="Østdanmark"/>
    <x v="35"/>
    <x v="1"/>
    <n v="42074.872472772768"/>
  </r>
  <r>
    <x v="3"/>
    <s v="Østdanmark"/>
    <x v="36"/>
    <x v="1"/>
    <n v="647113.13697101502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652.8242901740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510220.2350540829"/>
  </r>
  <r>
    <x v="3"/>
    <s v="Vestdanmark"/>
    <x v="34"/>
    <x v="2"/>
    <n v="117909.49204158342"/>
  </r>
  <r>
    <x v="3"/>
    <s v="Vestdanmark"/>
    <x v="35"/>
    <x v="2"/>
    <n v="155048.14004123484"/>
  </r>
  <r>
    <x v="3"/>
    <s v="Vestdanmark"/>
    <x v="36"/>
    <x v="2"/>
    <n v="2272415.046904795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10655.3500452661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80002.07888864272"/>
  </r>
  <r>
    <x v="3"/>
    <s v="Østdanmark"/>
    <x v="34"/>
    <x v="2"/>
    <n v="36816.239923422349"/>
  </r>
  <r>
    <x v="3"/>
    <s v="Østdanmark"/>
    <x v="35"/>
    <x v="2"/>
    <n v="43487.487569771387"/>
  </r>
  <r>
    <x v="3"/>
    <s v="Østdanmark"/>
    <x v="36"/>
    <x v="2"/>
    <n v="628553.38840354723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6678.59731643874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205986.6540704854"/>
  </r>
  <r>
    <x v="5"/>
    <s v="Vestdanmark"/>
    <x v="15"/>
    <x v="1"/>
    <n v="1038679.7369068626"/>
  </r>
  <r>
    <x v="5"/>
    <s v="Vestdanmark"/>
    <x v="16"/>
    <x v="1"/>
    <n v="667.41809084363831"/>
  </r>
  <r>
    <x v="5"/>
    <s v="Vestdanmark"/>
    <x v="20"/>
    <x v="1"/>
    <n v="401728.76679519669"/>
  </r>
  <r>
    <x v="5"/>
    <s v="Vestdanmark"/>
    <x v="38"/>
    <x v="1"/>
    <n v="19633758.54900625"/>
  </r>
  <r>
    <x v="5"/>
    <s v="Vestdanmark"/>
    <x v="39"/>
    <x v="1"/>
    <n v="754340.44222441351"/>
  </r>
  <r>
    <x v="5"/>
    <s v="Vestdanmark"/>
    <x v="14"/>
    <x v="2"/>
    <n v="1154583.3414063647"/>
  </r>
  <r>
    <x v="5"/>
    <s v="Vestdanmark"/>
    <x v="15"/>
    <x v="2"/>
    <n v="1018832.5202039856"/>
  </r>
  <r>
    <x v="5"/>
    <s v="Vestdanmark"/>
    <x v="16"/>
    <x v="2"/>
    <n v="689.24253779859362"/>
  </r>
  <r>
    <x v="5"/>
    <s v="Vestdanmark"/>
    <x v="20"/>
    <x v="2"/>
    <n v="420665.19876426988"/>
  </r>
  <r>
    <x v="5"/>
    <s v="Vestdanmark"/>
    <x v="38"/>
    <x v="2"/>
    <n v="19033053.068458591"/>
  </r>
  <r>
    <x v="5"/>
    <s v="Vestdanmark"/>
    <x v="39"/>
    <x v="2"/>
    <n v="666631.0841294959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74743.98704342762"/>
  </r>
  <r>
    <x v="5"/>
    <s v="Østdanmark"/>
    <x v="15"/>
    <x v="1"/>
    <n v="73823.133813296707"/>
  </r>
  <r>
    <x v="5"/>
    <s v="Østdanmark"/>
    <x v="16"/>
    <x v="1"/>
    <n v="56.016154012228355"/>
  </r>
  <r>
    <x v="5"/>
    <s v="Østdanmark"/>
    <x v="20"/>
    <x v="1"/>
    <n v="54219.773738244621"/>
  </r>
  <r>
    <x v="5"/>
    <s v="Østdanmark"/>
    <x v="38"/>
    <x v="1"/>
    <n v="3424154.0812072256"/>
  </r>
  <r>
    <x v="5"/>
    <s v="Østdanmark"/>
    <x v="39"/>
    <x v="1"/>
    <n v="352512.12657962355"/>
  </r>
  <r>
    <x v="5"/>
    <s v="Østdanmark"/>
    <x v="14"/>
    <x v="2"/>
    <n v="167295.79533098158"/>
  </r>
  <r>
    <x v="5"/>
    <s v="Østdanmark"/>
    <x v="15"/>
    <x v="2"/>
    <n v="72412.512538599258"/>
  </r>
  <r>
    <x v="5"/>
    <s v="Østdanmark"/>
    <x v="16"/>
    <x v="2"/>
    <n v="57.847871789484238"/>
  </r>
  <r>
    <x v="5"/>
    <s v="Østdanmark"/>
    <x v="20"/>
    <x v="2"/>
    <n v="57097.370490994261"/>
  </r>
  <r>
    <x v="5"/>
    <s v="Østdanmark"/>
    <x v="38"/>
    <x v="2"/>
    <n v="3391207.3391966592"/>
  </r>
  <r>
    <x v="5"/>
    <s v="Østdanmark"/>
    <x v="39"/>
    <x v="2"/>
    <n v="337366.10305839882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370490.27594297461"/>
  </r>
  <r>
    <x v="7"/>
    <s v="Vestdanmark"/>
    <x v="40"/>
    <x v="2"/>
    <n v="368467.16262994817"/>
  </r>
  <r>
    <x v="7"/>
    <s v="Østdanmark"/>
    <x v="40"/>
    <x v="0"/>
    <n v="193574.13238370849"/>
  </r>
  <r>
    <x v="7"/>
    <s v="Østdanmark"/>
    <x v="40"/>
    <x v="1"/>
    <n v="111531.10220983687"/>
  </r>
  <r>
    <x v="7"/>
    <s v="Østdanmark"/>
    <x v="40"/>
    <x v="2"/>
    <n v="115050.74976069485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79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770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76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Z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5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756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75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76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78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75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75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78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77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C2" sqref="C2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19" t="s">
        <v>272</v>
      </c>
      <c r="B1" s="419"/>
      <c r="D1" s="75" t="s">
        <v>285</v>
      </c>
    </row>
    <row r="2" spans="1:6" ht="30" x14ac:dyDescent="0.25">
      <c r="A2" s="6" t="s">
        <v>0</v>
      </c>
      <c r="B2" s="222" t="s">
        <v>339</v>
      </c>
    </row>
    <row r="4" spans="1:6" ht="30" customHeight="1" thickBot="1" x14ac:dyDescent="0.3">
      <c r="A4" s="418" t="s">
        <v>271</v>
      </c>
      <c r="B4" s="418"/>
      <c r="D4" s="75"/>
    </row>
    <row r="5" spans="1:6" ht="15.75" thickTop="1" x14ac:dyDescent="0.25">
      <c r="A5" s="254" t="s">
        <v>85</v>
      </c>
      <c r="B5" s="253" t="s">
        <v>305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268</v>
      </c>
      <c r="D17" s="216" t="s">
        <v>93</v>
      </c>
      <c r="E17" s="213"/>
    </row>
    <row r="18" spans="1:5" x14ac:dyDescent="0.25">
      <c r="A18" s="204" t="s">
        <v>73</v>
      </c>
      <c r="B18" s="420" t="s">
        <v>273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0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306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topLeftCell="A149" zoomScale="70" zoomScaleNormal="70" workbookViewId="0">
      <selection activeCell="A7" sqref="A7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299</v>
      </c>
      <c r="B1" s="251"/>
      <c r="C1" s="421" t="s">
        <v>298</v>
      </c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</row>
    <row r="2" spans="1:18" ht="15" customHeight="1" x14ac:dyDescent="0.25">
      <c r="A2" s="251"/>
      <c r="B2" s="25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</row>
    <row r="3" spans="1:18" x14ac:dyDescent="0.25">
      <c r="A3" s="75"/>
    </row>
    <row r="34" spans="16:18" ht="15.75" x14ac:dyDescent="0.25">
      <c r="P34" s="340" t="s">
        <v>93</v>
      </c>
      <c r="Q34" s="340" t="s">
        <v>336</v>
      </c>
      <c r="R34" s="340" t="s">
        <v>337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10416099.753436632</v>
      </c>
      <c r="R37" s="342">
        <f t="shared" ref="R37:R38" si="0">1-Q37/$Q$35</f>
        <v>0.47919501232816841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7816436.4385350784</v>
      </c>
      <c r="R38" s="342">
        <f t="shared" si="0"/>
        <v>0.60917817807324615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338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309</v>
      </c>
    </row>
    <row r="55" spans="1:1" x14ac:dyDescent="0.25">
      <c r="A55" s="389" t="s">
        <v>310</v>
      </c>
    </row>
    <row r="56" spans="1:1" x14ac:dyDescent="0.25">
      <c r="A56" s="364" t="s">
        <v>313</v>
      </c>
    </row>
    <row r="57" spans="1:1" x14ac:dyDescent="0.25">
      <c r="A57" s="349" t="s">
        <v>315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335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274</v>
      </c>
      <c r="B1" s="75" t="s">
        <v>300</v>
      </c>
    </row>
    <row r="2" spans="1:18" ht="42.95" customHeight="1" x14ac:dyDescent="0.25">
      <c r="A2" s="223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307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266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267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269</v>
      </c>
      <c r="C5" s="9">
        <f>5600*(C2-År1)</f>
        <v>61600</v>
      </c>
      <c r="D5" s="9">
        <f>5600*(D2-År1)</f>
        <v>173600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2338036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2226036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623500</v>
      </c>
      <c r="N7" s="18">
        <f t="shared" si="2"/>
        <v>0</v>
      </c>
      <c r="O7" s="18">
        <f t="shared" si="2"/>
        <v>0</v>
      </c>
      <c r="P7" s="18">
        <f t="shared" si="2"/>
        <v>735500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301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412730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1847465.5978301479</v>
      </c>
      <c r="K26" s="266">
        <f>[1]Jordbundstypefordeling!$D$16*[1]Jordbundstypefordeling!$F$4</f>
        <v>90723.841613092387</v>
      </c>
      <c r="L26" s="266">
        <f>[1]Jordbundstypefordeling!$D$15*[1]Jordbundstypefordeling!$F$4</f>
        <v>70620.560556759505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1791858.8572342743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1690755.6925145041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434670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490276.74059587362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591379.90531564387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288846.71526402031</v>
      </c>
      <c r="K28" s="266">
        <f>([1]Jordbundstypefordeling!$E$16-[1]Jordbundstypefordeling!$D$16)*SUM([1]Jordbundstypefordeling!$D$3:$D$5)</f>
        <v>55514.664499432409</v>
      </c>
      <c r="L28" s="266">
        <f>([1]Jordbundstypefordeling!$E$15-[1]Jordbundstypefordeling!$D$15)*SUM([1]Jordbundstypefordeling!D3:D5)</f>
        <v>45828.620236547278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46640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3030352.3130941684</v>
      </c>
      <c r="K30" s="268">
        <f t="shared" si="6"/>
        <v>146238.5061125248</v>
      </c>
      <c r="L30" s="268">
        <f t="shared" si="6"/>
        <v>116449.18079330679</v>
      </c>
      <c r="M30" s="271">
        <f t="shared" si="6"/>
        <v>3030352.313094168</v>
      </c>
      <c r="N30" s="271">
        <f t="shared" si="6"/>
        <v>146238.5061125248</v>
      </c>
      <c r="O30" s="271">
        <f t="shared" si="6"/>
        <v>116449.18079330679</v>
      </c>
      <c r="P30" s="271">
        <f t="shared" si="6"/>
        <v>3030352.3130941689</v>
      </c>
      <c r="Q30" s="271">
        <f t="shared" si="6"/>
        <v>146238.5061125248</v>
      </c>
      <c r="R30" s="271">
        <f t="shared" si="6"/>
        <v>116449.18079330679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302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178500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552170.40216985194</v>
      </c>
      <c r="K36" s="266">
        <f>[1]Jordbundstypefordeling!$D$16*[1]Jordbundstypefordeling!$G$4</f>
        <v>9778.158386907593</v>
      </c>
      <c r="L36" s="266">
        <f>[1]Jordbundstypefordeling!$D$15*[1]Jordbundstypefordeling!$G$4</f>
        <v>7611.4394432404806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546177.14276572561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535280.30748549581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127230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133223.25940412635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144120.09468435613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71807.284735979716</v>
      </c>
      <c r="K38" s="266">
        <f>([1]Jordbundstypefordeling!$E$16-[1]Jordbundstypefordeling!$D$16)*[1]Jordbundstypefordeling!$G$4</f>
        <v>5983.3355005675821</v>
      </c>
      <c r="L38" s="266">
        <f>([1]Jordbundstypefordeling!$E$15-[1]Jordbundstypefordeling!$D$15)*[1]Jordbundstypefordeling!$G$4</f>
        <v>4939.3797634527136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19220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948927.68690583168</v>
      </c>
      <c r="K40" s="268">
        <f t="shared" si="7"/>
        <v>15761.493887475175</v>
      </c>
      <c r="L40" s="268">
        <f t="shared" si="7"/>
        <v>12550.819206693195</v>
      </c>
      <c r="M40" s="271">
        <f t="shared" si="7"/>
        <v>948927.68690583168</v>
      </c>
      <c r="N40" s="271">
        <f t="shared" si="7"/>
        <v>15761.493887475175</v>
      </c>
      <c r="O40" s="271">
        <f t="shared" si="7"/>
        <v>12550.819206693195</v>
      </c>
      <c r="P40" s="271">
        <f t="shared" si="7"/>
        <v>948927.68690583168</v>
      </c>
      <c r="Q40" s="271">
        <f t="shared" si="7"/>
        <v>15761.493887475175</v>
      </c>
      <c r="R40" s="271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274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f>C17+15%</f>
        <v>0.74345000000000006</v>
      </c>
      <c r="E17" s="3">
        <f>D17</f>
        <v>0.74345000000000006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24" t="s">
        <v>326</v>
      </c>
      <c r="C20" s="25"/>
      <c r="D20" s="25"/>
      <c r="E20" s="25"/>
      <c r="F20" s="12"/>
      <c r="I20" s="1"/>
    </row>
    <row r="21" spans="2:11" ht="29.45" customHeight="1" x14ac:dyDescent="0.25">
      <c r="B21" s="424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29217.064803275283</v>
      </c>
      <c r="E24" s="10">
        <f>E22*Arealanvendelse!Q6-C22*Arealanvendelse!Q6</f>
        <v>29217.064803275283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16321.747821639816</v>
      </c>
      <c r="E25" s="10">
        <f>E23*Arealanvendelse!R6-C23*Arealanvendelse!R6</f>
        <v>16321.747821639816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45538.812624915096</v>
      </c>
      <c r="E28" s="231">
        <f>SUM(E24:E25)</f>
        <v>45538.812624915096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2" t="s">
        <v>325</v>
      </c>
      <c r="C30" s="25"/>
      <c r="D30" s="25"/>
      <c r="E30" s="25"/>
      <c r="K30" s="12"/>
    </row>
    <row r="31" spans="2:11" x14ac:dyDescent="0.25">
      <c r="B31" s="423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f>C32-13.5%</f>
        <v>0.40253334285647835</v>
      </c>
      <c r="E32" s="90">
        <f>D32</f>
        <v>0.40253334285647835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>C34-2%</f>
        <v>4.5329688585482669E-2</v>
      </c>
      <c r="E34" s="90">
        <f t="shared" si="1"/>
        <v>4.5329688585482669E-2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0.251</v>
      </c>
      <c r="E35" s="90">
        <f t="shared" si="1"/>
        <v>0.251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>C38+2%</f>
        <v>3.3466912404096723E-2</v>
      </c>
      <c r="E38" s="90">
        <f t="shared" si="1"/>
        <v>3.3466912404096723E-2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>C39-0.5%</f>
        <v>6.7759287296729281E-2</v>
      </c>
      <c r="E39" s="90">
        <f t="shared" si="1"/>
        <v>6.7759287296729281E-2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>C41-1%</f>
        <v>1.7968670218625631E-2</v>
      </c>
      <c r="E41" s="90">
        <f t="shared" si="1"/>
        <v>1.7968670218625631E-2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291</v>
      </c>
      <c r="C46" s="87"/>
      <c r="D46" s="89">
        <f>SUM(D32:D45)</f>
        <v>0.9998403257735754</v>
      </c>
      <c r="E46" s="89">
        <f>SUM(E32:E45)</f>
        <v>0.9998403257735754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397092.79591034743</v>
      </c>
      <c r="E47" s="115" cm="1">
        <f t="array" ref="E47">SUMPRODUCT((E32:E45&gt;$C$32:$C$45)*(E32:E45-$C$32:$C$45))*Arealanvendelse!P6</f>
        <v>378070.67942370696</v>
      </c>
      <c r="K47" s="12"/>
    </row>
    <row r="48" spans="2:11" x14ac:dyDescent="0.25">
      <c r="B48" s="25" t="s">
        <v>241</v>
      </c>
      <c r="C48" s="109"/>
      <c r="D48" s="115">
        <f>1%*Arealanvendelse!M6</f>
        <v>23380.36</v>
      </c>
      <c r="E48" s="115">
        <f>1%*Arealanvendelse!P6</f>
        <v>22260.36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7" sqref="D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274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317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0.38900000000000001</v>
      </c>
      <c r="E3" s="311">
        <f>D3</f>
        <v>0.38900000000000001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v>2.0629999999999999E-2</v>
      </c>
      <c r="E7" s="311">
        <f t="shared" si="0"/>
        <v>2.0629999999999999E-2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318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319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274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1</v>
      </c>
      <c r="D14" s="8">
        <v>1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71707.313690362935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71550.78203220162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11639.37596331086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11350.15350256764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7217.4816980013857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70777.518187249036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1179.1902511511241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11354.902093696954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69948.268258409589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11353.658233830032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6990.0561217203385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1142.0335206411876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5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329</v>
      </c>
    </row>
    <row r="48" spans="1:10" hidden="1" x14ac:dyDescent="0.25">
      <c r="A48" s="426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78924.79538836432</v>
      </c>
      <c r="D51" s="109">
        <f t="shared" ca="1" si="0"/>
        <v>219266.62459958059</v>
      </c>
      <c r="E51" s="109">
        <f t="shared" ca="1" si="0"/>
        <v>0</v>
      </c>
      <c r="F51" s="109">
        <f t="shared" ca="1" si="0"/>
        <v>12818.566214461984</v>
      </c>
      <c r="G51" s="109">
        <f t="shared" ca="1" si="0"/>
        <v>35200.747350735815</v>
      </c>
      <c r="H51" s="109">
        <f t="shared" ca="1" si="2"/>
        <v>0</v>
      </c>
      <c r="I51" s="109">
        <f t="shared" ca="1" si="1"/>
        <v>91743.361602826306</v>
      </c>
      <c r="J51" s="109">
        <f t="shared" ca="1" si="1"/>
        <v>254467.37195031642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330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332</v>
      </c>
      <c r="E1" s="168" t="s">
        <v>331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0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0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8">
        <f ca="1">IF($C14-G$1&lt;År1,0,F13*(1-VLOOKUP($A14,[1]Hugst!$R$5:$W$9,MATCH(ROUNDUP((G$1)/10,0)*10,[1]Hugst!$R$4:$W$4,0))))</f>
        <v>0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0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8">
        <f ca="1">IF($C15-G$1&lt;År1,0,F14*(1-VLOOKUP($A15,[1]Hugst!$R$5:$W$9,MATCH(ROUNDUP((G$1)/10,0)*10,[1]Hugst!$R$4:$W$4,0))))</f>
        <v>0</v>
      </c>
      <c r="H15" s="168">
        <f ca="1">IF($C15-H$1&lt;År1,0,G14*(1-VLOOKUP($A15,[1]Hugst!$R$5:$W$9,MATCH(ROUNDUP((H$1)/10,0)*10,[1]Hugst!$R$4:$W$4,0))))</f>
        <v>0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0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8">
        <f ca="1">IF($C16-G$1&lt;År1,0,F15*(1-VLOOKUP($A16,[1]Hugst!$R$5:$W$9,MATCH(ROUNDUP((G$1)/10,0)*10,[1]Hugst!$R$4:$W$4,0))))</f>
        <v>0</v>
      </c>
      <c r="H16" s="168">
        <f ca="1">IF($C16-H$1&lt;År1,0,G15*(1-VLOOKUP($A16,[1]Hugst!$R$5:$W$9,MATCH(ROUNDUP((H$1)/10,0)*10,[1]Hugst!$R$4:$W$4,0))))</f>
        <v>0</v>
      </c>
      <c r="I16" s="168">
        <f ca="1">IF($C16-I$1&lt;År1,0,H15*(1-VLOOKUP($A16,[1]Hugst!$R$5:$W$9,MATCH(ROUNDUP((I$1)/10,0)*10,[1]Hugst!$R$4:$W$4,0))))</f>
        <v>0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0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8">
        <f ca="1">IF($C17-G$1&lt;År1,0,F16*(1-VLOOKUP($A17,[1]Hugst!$R$5:$W$9,MATCH(ROUNDUP((G$1)/10,0)*10,[1]Hugst!$R$4:$W$4,0))))</f>
        <v>0</v>
      </c>
      <c r="H17" s="168">
        <f ca="1">IF($C17-H$1&lt;År1,0,G16*(1-VLOOKUP($A17,[1]Hugst!$R$5:$W$9,MATCH(ROUNDUP((H$1)/10,0)*10,[1]Hugst!$R$4:$W$4,0))))</f>
        <v>0</v>
      </c>
      <c r="I17" s="168">
        <f ca="1">IF($C17-I$1&lt;År1,0,H16*(1-VLOOKUP($A17,[1]Hugst!$R$5:$W$9,MATCH(ROUNDUP((I$1)/10,0)*10,[1]Hugst!$R$4:$W$4,0))))</f>
        <v>0</v>
      </c>
      <c r="J17" s="168">
        <f ca="1">IF($C17-J$1&lt;År1,0,I16*(1-VLOOKUP($A17,[1]Hugst!$R$5:$W$9,MATCH(ROUNDUP((J$1)/10,0)*10,[1]Hugst!$R$4:$W$4,0))))</f>
        <v>0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0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8">
        <f ca="1">IF($C18-G$1&lt;År1,0,F17*(1-VLOOKUP($A18,[1]Hugst!$R$5:$W$9,MATCH(ROUNDUP((G$1)/10,0)*10,[1]Hugst!$R$4:$W$4,0))))</f>
        <v>0</v>
      </c>
      <c r="H18" s="168">
        <f ca="1">IF($C18-H$1&lt;År1,0,G17*(1-VLOOKUP($A18,[1]Hugst!$R$5:$W$9,MATCH(ROUNDUP((H$1)/10,0)*10,[1]Hugst!$R$4:$W$4,0))))</f>
        <v>0</v>
      </c>
      <c r="I18" s="168">
        <f ca="1">IF($C18-I$1&lt;År1,0,H17*(1-VLOOKUP($A18,[1]Hugst!$R$5:$W$9,MATCH(ROUNDUP((I$1)/10,0)*10,[1]Hugst!$R$4:$W$4,0))))</f>
        <v>0</v>
      </c>
      <c r="J18" s="168">
        <f ca="1">IF($C18-J$1&lt;År1,0,I17*(1-VLOOKUP($A18,[1]Hugst!$R$5:$W$9,MATCH(ROUNDUP((J$1)/10,0)*10,[1]Hugst!$R$4:$W$4,0))))</f>
        <v>0</v>
      </c>
      <c r="K18" s="168">
        <f ca="1">IF($C18-K$1&lt;År1,0,J17*(1-VLOOKUP($A18,[1]Hugst!$R$5:$W$9,MATCH(ROUNDUP((K$1)/10,0)*10,[1]Hugst!$R$4:$W$4,0))))</f>
        <v>0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0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8">
        <f ca="1">IF($C19-G$1&lt;År1,0,F18*(1-VLOOKUP($A19,[1]Hugst!$R$5:$W$9,MATCH(ROUNDUP((G$1)/10,0)*10,[1]Hugst!$R$4:$W$4,0))))</f>
        <v>0</v>
      </c>
      <c r="H19" s="168">
        <f ca="1">IF($C19-H$1&lt;År1,0,G18*(1-VLOOKUP($A19,[1]Hugst!$R$5:$W$9,MATCH(ROUNDUP((H$1)/10,0)*10,[1]Hugst!$R$4:$W$4,0))))</f>
        <v>0</v>
      </c>
      <c r="I19" s="168">
        <f ca="1">IF($C19-I$1&lt;År1,0,H18*(1-VLOOKUP($A19,[1]Hugst!$R$5:$W$9,MATCH(ROUNDUP((I$1)/10,0)*10,[1]Hugst!$R$4:$W$4,0))))</f>
        <v>0</v>
      </c>
      <c r="J19" s="168">
        <f ca="1">IF($C19-J$1&lt;År1,0,I18*(1-VLOOKUP($A19,[1]Hugst!$R$5:$W$9,MATCH(ROUNDUP((J$1)/10,0)*10,[1]Hugst!$R$4:$W$4,0))))</f>
        <v>0</v>
      </c>
      <c r="K19" s="168">
        <f ca="1">IF($C19-K$1&lt;År1,0,J18*(1-VLOOKUP($A19,[1]Hugst!$R$5:$W$9,MATCH(ROUNDUP((K$1)/10,0)*10,[1]Hugst!$R$4:$W$4,0))))</f>
        <v>0</v>
      </c>
      <c r="L19" s="168">
        <f ca="1">IF($C19-L$1&lt;År1,0,K18*(1-VLOOKUP($A19,[1]Hugst!$R$5:$W$9,MATCH(ROUNDUP((L$1)/10,0)*10,[1]Hugst!$R$4:$W$4,0))))</f>
        <v>0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0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8">
        <f ca="1">IF($C20-G$1&lt;År1,0,F19*(1-VLOOKUP($A20,[1]Hugst!$R$5:$W$9,MATCH(ROUNDUP((G$1)/10,0)*10,[1]Hugst!$R$4:$W$4,0))))</f>
        <v>0</v>
      </c>
      <c r="H20" s="168">
        <f ca="1">IF($C20-H$1&lt;År1,0,G19*(1-VLOOKUP($A20,[1]Hugst!$R$5:$W$9,MATCH(ROUNDUP((H$1)/10,0)*10,[1]Hugst!$R$4:$W$4,0))))</f>
        <v>0</v>
      </c>
      <c r="I20" s="168">
        <f ca="1">IF($C20-I$1&lt;År1,0,H19*(1-VLOOKUP($A20,[1]Hugst!$R$5:$W$9,MATCH(ROUNDUP((I$1)/10,0)*10,[1]Hugst!$R$4:$W$4,0))))</f>
        <v>0</v>
      </c>
      <c r="J20" s="168">
        <f ca="1">IF($C20-J$1&lt;År1,0,I19*(1-VLOOKUP($A20,[1]Hugst!$R$5:$W$9,MATCH(ROUNDUP((J$1)/10,0)*10,[1]Hugst!$R$4:$W$4,0))))</f>
        <v>0</v>
      </c>
      <c r="K20" s="168">
        <f ca="1">IF($C20-K$1&lt;År1,0,J19*(1-VLOOKUP($A20,[1]Hugst!$R$5:$W$9,MATCH(ROUNDUP((K$1)/10,0)*10,[1]Hugst!$R$4:$W$4,0))))</f>
        <v>0</v>
      </c>
      <c r="L20" s="168">
        <f ca="1">IF($C20-L$1&lt;År1,0,K19*(1-VLOOKUP($A20,[1]Hugst!$R$5:$W$9,MATCH(ROUNDUP((L$1)/10,0)*10,[1]Hugst!$R$4:$W$4,0))))</f>
        <v>0</v>
      </c>
      <c r="M20" s="168">
        <f ca="1">IF($C20-M$1&lt;År1,0,L19*(1-VLOOKUP($A20,[1]Hugst!$R$5:$W$9,MATCH(ROUNDUP((M$1)/10,0)*10,[1]Hugst!$R$4:$W$4,0))))</f>
        <v>0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0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8">
        <f ca="1">IF($C21-G$1&lt;År1,0,F20*(1-VLOOKUP($A21,[1]Hugst!$R$5:$W$9,MATCH(ROUNDUP((G$1)/10,0)*10,[1]Hugst!$R$4:$W$4,0))))</f>
        <v>0</v>
      </c>
      <c r="H21" s="168">
        <f ca="1">IF($C21-H$1&lt;År1,0,G20*(1-VLOOKUP($A21,[1]Hugst!$R$5:$W$9,MATCH(ROUNDUP((H$1)/10,0)*10,[1]Hugst!$R$4:$W$4,0))))</f>
        <v>0</v>
      </c>
      <c r="I21" s="168">
        <f ca="1">IF($C21-I$1&lt;År1,0,H20*(1-VLOOKUP($A21,[1]Hugst!$R$5:$W$9,MATCH(ROUNDUP((I$1)/10,0)*10,[1]Hugst!$R$4:$W$4,0))))</f>
        <v>0</v>
      </c>
      <c r="J21" s="168">
        <f ca="1">IF($C21-J$1&lt;År1,0,I20*(1-VLOOKUP($A21,[1]Hugst!$R$5:$W$9,MATCH(ROUNDUP((J$1)/10,0)*10,[1]Hugst!$R$4:$W$4,0))))</f>
        <v>0</v>
      </c>
      <c r="K21" s="168">
        <f ca="1">IF($C21-K$1&lt;År1,0,J20*(1-VLOOKUP($A21,[1]Hugst!$R$5:$W$9,MATCH(ROUNDUP((K$1)/10,0)*10,[1]Hugst!$R$4:$W$4,0))))</f>
        <v>0</v>
      </c>
      <c r="L21" s="168">
        <f ca="1">IF($C21-L$1&lt;År1,0,K20*(1-VLOOKUP($A21,[1]Hugst!$R$5:$W$9,MATCH(ROUNDUP((L$1)/10,0)*10,[1]Hugst!$R$4:$W$4,0))))</f>
        <v>0</v>
      </c>
      <c r="M21" s="168">
        <f ca="1">IF($C21-M$1&lt;År1,0,L20*(1-VLOOKUP($A21,[1]Hugst!$R$5:$W$9,MATCH(ROUNDUP((M$1)/10,0)*10,[1]Hugst!$R$4:$W$4,0))))</f>
        <v>0</v>
      </c>
      <c r="N21" s="168">
        <f ca="1">IF($C21-N$1&lt;År1,0,M20*(1-VLOOKUP($A21,[1]Hugst!$R$5:$W$9,MATCH(ROUNDUP((N$1)/10,0)*10,[1]Hugst!$R$4:$W$4,0))))</f>
        <v>0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0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8">
        <f ca="1">IF($C22-G$1&lt;År1,0,F21*(1-VLOOKUP($A22,[1]Hugst!$R$5:$W$9,MATCH(ROUNDUP((G$1)/10,0)*10,[1]Hugst!$R$4:$W$4,0))))</f>
        <v>0</v>
      </c>
      <c r="H22" s="168">
        <f ca="1">IF($C22-H$1&lt;År1,0,G21*(1-VLOOKUP($A22,[1]Hugst!$R$5:$W$9,MATCH(ROUNDUP((H$1)/10,0)*10,[1]Hugst!$R$4:$W$4,0))))</f>
        <v>0</v>
      </c>
      <c r="I22" s="168">
        <f ca="1">IF($C22-I$1&lt;År1,0,H21*(1-VLOOKUP($A22,[1]Hugst!$R$5:$W$9,MATCH(ROUNDUP((I$1)/10,0)*10,[1]Hugst!$R$4:$W$4,0))))</f>
        <v>0</v>
      </c>
      <c r="J22" s="168">
        <f ca="1">IF($C22-J$1&lt;År1,0,I21*(1-VLOOKUP($A22,[1]Hugst!$R$5:$W$9,MATCH(ROUNDUP((J$1)/10,0)*10,[1]Hugst!$R$4:$W$4,0))))</f>
        <v>0</v>
      </c>
      <c r="K22" s="168">
        <f ca="1">IF($C22-K$1&lt;År1,0,J21*(1-VLOOKUP($A22,[1]Hugst!$R$5:$W$9,MATCH(ROUNDUP((K$1)/10,0)*10,[1]Hugst!$R$4:$W$4,0))))</f>
        <v>0</v>
      </c>
      <c r="L22" s="168">
        <f ca="1">IF($C22-L$1&lt;År1,0,K21*(1-VLOOKUP($A22,[1]Hugst!$R$5:$W$9,MATCH(ROUNDUP((L$1)/10,0)*10,[1]Hugst!$R$4:$W$4,0))))</f>
        <v>0</v>
      </c>
      <c r="M22" s="168">
        <f ca="1">IF($C22-M$1&lt;År1,0,L21*(1-VLOOKUP($A22,[1]Hugst!$R$5:$W$9,MATCH(ROUNDUP((M$1)/10,0)*10,[1]Hugst!$R$4:$W$4,0))))</f>
        <v>0</v>
      </c>
      <c r="N22" s="168">
        <f ca="1">IF($C22-N$1&lt;År1,0,M21*(1-VLOOKUP($A22,[1]Hugst!$R$5:$W$9,MATCH(ROUNDUP((N$1)/10,0)*10,[1]Hugst!$R$4:$W$4,0))))</f>
        <v>0</v>
      </c>
      <c r="O22" s="168">
        <f ca="1">IF($C22-O$1&lt;År1,0,N21*(1-VLOOKUP($A22,[1]Hugst!$R$5:$W$9,MATCH(ROUNDUP((O$1)/10,0)*10,[1]Hugst!$R$4:$W$4,0))))</f>
        <v>0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0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8">
        <f ca="1">IF($C23-G$1&lt;År1,0,F22*(1-VLOOKUP($A23,[1]Hugst!$R$5:$W$9,MATCH(ROUNDUP((G$1)/10,0)*10,[1]Hugst!$R$4:$W$4,0))))</f>
        <v>0</v>
      </c>
      <c r="H23" s="168">
        <f ca="1">IF($C23-H$1&lt;År1,0,G22*(1-VLOOKUP($A23,[1]Hugst!$R$5:$W$9,MATCH(ROUNDUP((H$1)/10,0)*10,[1]Hugst!$R$4:$W$4,0))))</f>
        <v>0</v>
      </c>
      <c r="I23" s="168">
        <f ca="1">IF($C23-I$1&lt;År1,0,H22*(1-VLOOKUP($A23,[1]Hugst!$R$5:$W$9,MATCH(ROUNDUP((I$1)/10,0)*10,[1]Hugst!$R$4:$W$4,0))))</f>
        <v>0</v>
      </c>
      <c r="J23" s="168">
        <f ca="1">IF($C23-J$1&lt;År1,0,I22*(1-VLOOKUP($A23,[1]Hugst!$R$5:$W$9,MATCH(ROUNDUP((J$1)/10,0)*10,[1]Hugst!$R$4:$W$4,0))))</f>
        <v>0</v>
      </c>
      <c r="K23" s="168">
        <f ca="1">IF($C23-K$1&lt;År1,0,J22*(1-VLOOKUP($A23,[1]Hugst!$R$5:$W$9,MATCH(ROUNDUP((K$1)/10,0)*10,[1]Hugst!$R$4:$W$4,0))))</f>
        <v>0</v>
      </c>
      <c r="L23" s="168">
        <f ca="1">IF($C23-L$1&lt;År1,0,K22*(1-VLOOKUP($A23,[1]Hugst!$R$5:$W$9,MATCH(ROUNDUP((L$1)/10,0)*10,[1]Hugst!$R$4:$W$4,0))))</f>
        <v>0</v>
      </c>
      <c r="M23" s="168">
        <f ca="1">IF($C23-M$1&lt;År1,0,L22*(1-VLOOKUP($A23,[1]Hugst!$R$5:$W$9,MATCH(ROUNDUP((M$1)/10,0)*10,[1]Hugst!$R$4:$W$4,0))))</f>
        <v>0</v>
      </c>
      <c r="N23" s="168">
        <f ca="1">IF($C23-N$1&lt;År1,0,M22*(1-VLOOKUP($A23,[1]Hugst!$R$5:$W$9,MATCH(ROUNDUP((N$1)/10,0)*10,[1]Hugst!$R$4:$W$4,0))))</f>
        <v>0</v>
      </c>
      <c r="O23" s="168">
        <f ca="1">IF($C23-O$1&lt;År1,0,N22*(1-VLOOKUP($A23,[1]Hugst!$R$5:$W$9,MATCH(ROUNDUP((O$1)/10,0)*10,[1]Hugst!$R$4:$W$4,0))))</f>
        <v>0</v>
      </c>
      <c r="P23" s="168">
        <f ca="1">IF($C23-P$1&lt;År1,0,O22*(1-VLOOKUP($A23,[1]Hugst!$R$5:$W$9,MATCH(ROUNDUP((P$1)/10,0)*10,[1]Hugst!$R$4:$W$4,0))))</f>
        <v>0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0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8">
        <f ca="1">IF($C24-G$1&lt;År1,0,F23*(1-VLOOKUP($A24,[1]Hugst!$R$5:$W$9,MATCH(ROUNDUP((G$1)/10,0)*10,[1]Hugst!$R$4:$W$4,0))))</f>
        <v>0</v>
      </c>
      <c r="H24" s="168">
        <f ca="1">IF($C24-H$1&lt;År1,0,G23*(1-VLOOKUP($A24,[1]Hugst!$R$5:$W$9,MATCH(ROUNDUP((H$1)/10,0)*10,[1]Hugst!$R$4:$W$4,0))))</f>
        <v>0</v>
      </c>
      <c r="I24" s="168">
        <f ca="1">IF($C24-I$1&lt;År1,0,H23*(1-VLOOKUP($A24,[1]Hugst!$R$5:$W$9,MATCH(ROUNDUP((I$1)/10,0)*10,[1]Hugst!$R$4:$W$4,0))))</f>
        <v>0</v>
      </c>
      <c r="J24" s="168">
        <f ca="1">IF($C24-J$1&lt;År1,0,I23*(1-VLOOKUP($A24,[1]Hugst!$R$5:$W$9,MATCH(ROUNDUP((J$1)/10,0)*10,[1]Hugst!$R$4:$W$4,0))))</f>
        <v>0</v>
      </c>
      <c r="K24" s="168">
        <f ca="1">IF($C24-K$1&lt;År1,0,J23*(1-VLOOKUP($A24,[1]Hugst!$R$5:$W$9,MATCH(ROUNDUP((K$1)/10,0)*10,[1]Hugst!$R$4:$W$4,0))))</f>
        <v>0</v>
      </c>
      <c r="L24" s="168">
        <f ca="1">IF($C24-L$1&lt;År1,0,K23*(1-VLOOKUP($A24,[1]Hugst!$R$5:$W$9,MATCH(ROUNDUP((L$1)/10,0)*10,[1]Hugst!$R$4:$W$4,0))))</f>
        <v>0</v>
      </c>
      <c r="M24" s="168">
        <f ca="1">IF($C24-M$1&lt;År1,0,L23*(1-VLOOKUP($A24,[1]Hugst!$R$5:$W$9,MATCH(ROUNDUP((M$1)/10,0)*10,[1]Hugst!$R$4:$W$4,0))))</f>
        <v>0</v>
      </c>
      <c r="N24" s="168">
        <f ca="1">IF($C24-N$1&lt;År1,0,M23*(1-VLOOKUP($A24,[1]Hugst!$R$5:$W$9,MATCH(ROUNDUP((N$1)/10,0)*10,[1]Hugst!$R$4:$W$4,0))))</f>
        <v>0</v>
      </c>
      <c r="O24" s="168">
        <f ca="1">IF($C24-O$1&lt;År1,0,N23*(1-VLOOKUP($A24,[1]Hugst!$R$5:$W$9,MATCH(ROUNDUP((O$1)/10,0)*10,[1]Hugst!$R$4:$W$4,0))))</f>
        <v>0</v>
      </c>
      <c r="P24" s="168">
        <f ca="1">IF($C24-P$1&lt;År1,0,O23*(1-VLOOKUP($A24,[1]Hugst!$R$5:$W$9,MATCH(ROUNDUP((P$1)/10,0)*10,[1]Hugst!$R$4:$W$4,0))))</f>
        <v>0</v>
      </c>
      <c r="Q24" s="168">
        <f ca="1">IF($C24-Q$1&lt;År1,0,P23*(1-VLOOKUP($A24,[1]Hugst!$R$5:$W$9,MATCH(ROUNDUP((Q$1)/10,0)*10,[1]Hugst!$R$4:$W$4,0))))</f>
        <v>0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0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8">
        <f ca="1">IF($C25-G$1&lt;År1,0,F24*(1-VLOOKUP($A25,[1]Hugst!$R$5:$W$9,MATCH(ROUNDUP((G$1)/10,0)*10,[1]Hugst!$R$4:$W$4,0))))</f>
        <v>0</v>
      </c>
      <c r="H25" s="168">
        <f ca="1">IF($C25-H$1&lt;År1,0,G24*(1-VLOOKUP($A25,[1]Hugst!$R$5:$W$9,MATCH(ROUNDUP((H$1)/10,0)*10,[1]Hugst!$R$4:$W$4,0))))</f>
        <v>0</v>
      </c>
      <c r="I25" s="168">
        <f ca="1">IF($C25-I$1&lt;År1,0,H24*(1-VLOOKUP($A25,[1]Hugst!$R$5:$W$9,MATCH(ROUNDUP((I$1)/10,0)*10,[1]Hugst!$R$4:$W$4,0))))</f>
        <v>0</v>
      </c>
      <c r="J25" s="168">
        <f ca="1">IF($C25-J$1&lt;År1,0,I24*(1-VLOOKUP($A25,[1]Hugst!$R$5:$W$9,MATCH(ROUNDUP((J$1)/10,0)*10,[1]Hugst!$R$4:$W$4,0))))</f>
        <v>0</v>
      </c>
      <c r="K25" s="168">
        <f ca="1">IF($C25-K$1&lt;År1,0,J24*(1-VLOOKUP($A25,[1]Hugst!$R$5:$W$9,MATCH(ROUNDUP((K$1)/10,0)*10,[1]Hugst!$R$4:$W$4,0))))</f>
        <v>0</v>
      </c>
      <c r="L25" s="168">
        <f ca="1">IF($C25-L$1&lt;År1,0,K24*(1-VLOOKUP($A25,[1]Hugst!$R$5:$W$9,MATCH(ROUNDUP((L$1)/10,0)*10,[1]Hugst!$R$4:$W$4,0))))</f>
        <v>0</v>
      </c>
      <c r="M25" s="168">
        <f ca="1">IF($C25-M$1&lt;År1,0,L24*(1-VLOOKUP($A25,[1]Hugst!$R$5:$W$9,MATCH(ROUNDUP((M$1)/10,0)*10,[1]Hugst!$R$4:$W$4,0))))</f>
        <v>0</v>
      </c>
      <c r="N25" s="168">
        <f ca="1">IF($C25-N$1&lt;År1,0,M24*(1-VLOOKUP($A25,[1]Hugst!$R$5:$W$9,MATCH(ROUNDUP((N$1)/10,0)*10,[1]Hugst!$R$4:$W$4,0))))</f>
        <v>0</v>
      </c>
      <c r="O25" s="168">
        <f ca="1">IF($C25-O$1&lt;År1,0,N24*(1-VLOOKUP($A25,[1]Hugst!$R$5:$W$9,MATCH(ROUNDUP((O$1)/10,0)*10,[1]Hugst!$R$4:$W$4,0))))</f>
        <v>0</v>
      </c>
      <c r="P25" s="168">
        <f ca="1">IF($C25-P$1&lt;År1,0,O24*(1-VLOOKUP($A25,[1]Hugst!$R$5:$W$9,MATCH(ROUNDUP((P$1)/10,0)*10,[1]Hugst!$R$4:$W$4,0))))</f>
        <v>0</v>
      </c>
      <c r="Q25" s="168">
        <f ca="1">IF($C25-Q$1&lt;År1,0,P24*(1-VLOOKUP($A25,[1]Hugst!$R$5:$W$9,MATCH(ROUNDUP((Q$1)/10,0)*10,[1]Hugst!$R$4:$W$4,0))))</f>
        <v>0</v>
      </c>
      <c r="R25" s="168">
        <f ca="1">IF($C25-R$1&lt;År1,0,Q24*(1-VLOOKUP($A25,[1]Hugst!$R$5:$W$9,MATCH(ROUNDUP((R$1)/10,0)*10,[1]Hugst!$R$4:$W$4,0))))</f>
        <v>0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0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8">
        <f ca="1">IF($C26-G$1&lt;År1,0,F25*(1-VLOOKUP($A26,[1]Hugst!$R$5:$W$9,MATCH(ROUNDUP((G$1)/10,0)*10,[1]Hugst!$R$4:$W$4,0))))</f>
        <v>0</v>
      </c>
      <c r="H26" s="168">
        <f ca="1">IF($C26-H$1&lt;År1,0,G25*(1-VLOOKUP($A26,[1]Hugst!$R$5:$W$9,MATCH(ROUNDUP((H$1)/10,0)*10,[1]Hugst!$R$4:$W$4,0))))</f>
        <v>0</v>
      </c>
      <c r="I26" s="168">
        <f ca="1">IF($C26-I$1&lt;År1,0,H25*(1-VLOOKUP($A26,[1]Hugst!$R$5:$W$9,MATCH(ROUNDUP((I$1)/10,0)*10,[1]Hugst!$R$4:$W$4,0))))</f>
        <v>0</v>
      </c>
      <c r="J26" s="168">
        <f ca="1">IF($C26-J$1&lt;År1,0,I25*(1-VLOOKUP($A26,[1]Hugst!$R$5:$W$9,MATCH(ROUNDUP((J$1)/10,0)*10,[1]Hugst!$R$4:$W$4,0))))</f>
        <v>0</v>
      </c>
      <c r="K26" s="168">
        <f ca="1">IF($C26-K$1&lt;År1,0,J25*(1-VLOOKUP($A26,[1]Hugst!$R$5:$W$9,MATCH(ROUNDUP((K$1)/10,0)*10,[1]Hugst!$R$4:$W$4,0))))</f>
        <v>0</v>
      </c>
      <c r="L26" s="168">
        <f ca="1">IF($C26-L$1&lt;År1,0,K25*(1-VLOOKUP($A26,[1]Hugst!$R$5:$W$9,MATCH(ROUNDUP((L$1)/10,0)*10,[1]Hugst!$R$4:$W$4,0))))</f>
        <v>0</v>
      </c>
      <c r="M26" s="168">
        <f ca="1">IF($C26-M$1&lt;År1,0,L25*(1-VLOOKUP($A26,[1]Hugst!$R$5:$W$9,MATCH(ROUNDUP((M$1)/10,0)*10,[1]Hugst!$R$4:$W$4,0))))</f>
        <v>0</v>
      </c>
      <c r="N26" s="168">
        <f ca="1">IF($C26-N$1&lt;År1,0,M25*(1-VLOOKUP($A26,[1]Hugst!$R$5:$W$9,MATCH(ROUNDUP((N$1)/10,0)*10,[1]Hugst!$R$4:$W$4,0))))</f>
        <v>0</v>
      </c>
      <c r="O26" s="168">
        <f ca="1">IF($C26-O$1&lt;År1,0,N25*(1-VLOOKUP($A26,[1]Hugst!$R$5:$W$9,MATCH(ROUNDUP((O$1)/10,0)*10,[1]Hugst!$R$4:$W$4,0))))</f>
        <v>0</v>
      </c>
      <c r="P26" s="168">
        <f ca="1">IF($C26-P$1&lt;År1,0,O25*(1-VLOOKUP($A26,[1]Hugst!$R$5:$W$9,MATCH(ROUNDUP((P$1)/10,0)*10,[1]Hugst!$R$4:$W$4,0))))</f>
        <v>0</v>
      </c>
      <c r="Q26" s="168">
        <f ca="1">IF($C26-Q$1&lt;År1,0,P25*(1-VLOOKUP($A26,[1]Hugst!$R$5:$W$9,MATCH(ROUNDUP((Q$1)/10,0)*10,[1]Hugst!$R$4:$W$4,0))))</f>
        <v>0</v>
      </c>
      <c r="R26" s="168">
        <f ca="1">IF($C26-R$1&lt;År1,0,Q25*(1-VLOOKUP($A26,[1]Hugst!$R$5:$W$9,MATCH(ROUNDUP((R$1)/10,0)*10,[1]Hugst!$R$4:$W$4,0))))</f>
        <v>0</v>
      </c>
      <c r="S26" s="168">
        <f ca="1">IF($C26-S$1&lt;År1,0,R25*(1-VLOOKUP($A26,[1]Hugst!$R$5:$W$9,MATCH(ROUNDUP((S$1)/10,0)*10,[1]Hugst!$R$4:$W$4,0))))</f>
        <v>0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0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8">
        <f ca="1">IF($C27-G$1&lt;År1,0,F26*(1-VLOOKUP($A27,[1]Hugst!$R$5:$W$9,MATCH(ROUNDUP((G$1)/10,0)*10,[1]Hugst!$R$4:$W$4,0))))</f>
        <v>0</v>
      </c>
      <c r="H27" s="168">
        <f ca="1">IF($C27-H$1&lt;År1,0,G26*(1-VLOOKUP($A27,[1]Hugst!$R$5:$W$9,MATCH(ROUNDUP((H$1)/10,0)*10,[1]Hugst!$R$4:$W$4,0))))</f>
        <v>0</v>
      </c>
      <c r="I27" s="168">
        <f ca="1">IF($C27-I$1&lt;År1,0,H26*(1-VLOOKUP($A27,[1]Hugst!$R$5:$W$9,MATCH(ROUNDUP((I$1)/10,0)*10,[1]Hugst!$R$4:$W$4,0))))</f>
        <v>0</v>
      </c>
      <c r="J27" s="168">
        <f ca="1">IF($C27-J$1&lt;År1,0,I26*(1-VLOOKUP($A27,[1]Hugst!$R$5:$W$9,MATCH(ROUNDUP((J$1)/10,0)*10,[1]Hugst!$R$4:$W$4,0))))</f>
        <v>0</v>
      </c>
      <c r="K27" s="168">
        <f ca="1">IF($C27-K$1&lt;År1,0,J26*(1-VLOOKUP($A27,[1]Hugst!$R$5:$W$9,MATCH(ROUNDUP((K$1)/10,0)*10,[1]Hugst!$R$4:$W$4,0))))</f>
        <v>0</v>
      </c>
      <c r="L27" s="168">
        <f ca="1">IF($C27-L$1&lt;År1,0,K26*(1-VLOOKUP($A27,[1]Hugst!$R$5:$W$9,MATCH(ROUNDUP((L$1)/10,0)*10,[1]Hugst!$R$4:$W$4,0))))</f>
        <v>0</v>
      </c>
      <c r="M27" s="168">
        <f ca="1">IF($C27-M$1&lt;År1,0,L26*(1-VLOOKUP($A27,[1]Hugst!$R$5:$W$9,MATCH(ROUNDUP((M$1)/10,0)*10,[1]Hugst!$R$4:$W$4,0))))</f>
        <v>0</v>
      </c>
      <c r="N27" s="168">
        <f ca="1">IF($C27-N$1&lt;År1,0,M26*(1-VLOOKUP($A27,[1]Hugst!$R$5:$W$9,MATCH(ROUNDUP((N$1)/10,0)*10,[1]Hugst!$R$4:$W$4,0))))</f>
        <v>0</v>
      </c>
      <c r="O27" s="168">
        <f ca="1">IF($C27-O$1&lt;År1,0,N26*(1-VLOOKUP($A27,[1]Hugst!$R$5:$W$9,MATCH(ROUNDUP((O$1)/10,0)*10,[1]Hugst!$R$4:$W$4,0))))</f>
        <v>0</v>
      </c>
      <c r="P27" s="168">
        <f ca="1">IF($C27-P$1&lt;År1,0,O26*(1-VLOOKUP($A27,[1]Hugst!$R$5:$W$9,MATCH(ROUNDUP((P$1)/10,0)*10,[1]Hugst!$R$4:$W$4,0))))</f>
        <v>0</v>
      </c>
      <c r="Q27" s="168">
        <f ca="1">IF($C27-Q$1&lt;År1,0,P26*(1-VLOOKUP($A27,[1]Hugst!$R$5:$W$9,MATCH(ROUNDUP((Q$1)/10,0)*10,[1]Hugst!$R$4:$W$4,0))))</f>
        <v>0</v>
      </c>
      <c r="R27" s="168">
        <f ca="1">IF($C27-R$1&lt;År1,0,Q26*(1-VLOOKUP($A27,[1]Hugst!$R$5:$W$9,MATCH(ROUNDUP((R$1)/10,0)*10,[1]Hugst!$R$4:$W$4,0))))</f>
        <v>0</v>
      </c>
      <c r="S27" s="168">
        <f ca="1">IF($C27-S$1&lt;År1,0,R26*(1-VLOOKUP($A27,[1]Hugst!$R$5:$W$9,MATCH(ROUNDUP((S$1)/10,0)*10,[1]Hugst!$R$4:$W$4,0))))</f>
        <v>0</v>
      </c>
      <c r="T27" s="168">
        <f ca="1">IF($C27-T$1&lt;År1,0,S26*(1-VLOOKUP($A27,[1]Hugst!$R$5:$W$9,MATCH(ROUNDUP((T$1)/10,0)*10,[1]Hugst!$R$4:$W$4,0))))</f>
        <v>0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0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8">
        <f ca="1">IF($C28-G$1&lt;År1,0,F27*(1-VLOOKUP($A28,[1]Hugst!$R$5:$W$9,MATCH(ROUNDUP((G$1)/10,0)*10,[1]Hugst!$R$4:$W$4,0))))</f>
        <v>0</v>
      </c>
      <c r="H28" s="168">
        <f ca="1">IF($C28-H$1&lt;År1,0,G27*(1-VLOOKUP($A28,[1]Hugst!$R$5:$W$9,MATCH(ROUNDUP((H$1)/10,0)*10,[1]Hugst!$R$4:$W$4,0))))</f>
        <v>0</v>
      </c>
      <c r="I28" s="168">
        <f ca="1">IF($C28-I$1&lt;År1,0,H27*(1-VLOOKUP($A28,[1]Hugst!$R$5:$W$9,MATCH(ROUNDUP((I$1)/10,0)*10,[1]Hugst!$R$4:$W$4,0))))</f>
        <v>0</v>
      </c>
      <c r="J28" s="168">
        <f ca="1">IF($C28-J$1&lt;År1,0,I27*(1-VLOOKUP($A28,[1]Hugst!$R$5:$W$9,MATCH(ROUNDUP((J$1)/10,0)*10,[1]Hugst!$R$4:$W$4,0))))</f>
        <v>0</v>
      </c>
      <c r="K28" s="168">
        <f ca="1">IF($C28-K$1&lt;År1,0,J27*(1-VLOOKUP($A28,[1]Hugst!$R$5:$W$9,MATCH(ROUNDUP((K$1)/10,0)*10,[1]Hugst!$R$4:$W$4,0))))</f>
        <v>0</v>
      </c>
      <c r="L28" s="168">
        <f ca="1">IF($C28-L$1&lt;År1,0,K27*(1-VLOOKUP($A28,[1]Hugst!$R$5:$W$9,MATCH(ROUNDUP((L$1)/10,0)*10,[1]Hugst!$R$4:$W$4,0))))</f>
        <v>0</v>
      </c>
      <c r="M28" s="168">
        <f ca="1">IF($C28-M$1&lt;År1,0,L27*(1-VLOOKUP($A28,[1]Hugst!$R$5:$W$9,MATCH(ROUNDUP((M$1)/10,0)*10,[1]Hugst!$R$4:$W$4,0))))</f>
        <v>0</v>
      </c>
      <c r="N28" s="168">
        <f ca="1">IF($C28-N$1&lt;År1,0,M27*(1-VLOOKUP($A28,[1]Hugst!$R$5:$W$9,MATCH(ROUNDUP((N$1)/10,0)*10,[1]Hugst!$R$4:$W$4,0))))</f>
        <v>0</v>
      </c>
      <c r="O28" s="168">
        <f ca="1">IF($C28-O$1&lt;År1,0,N27*(1-VLOOKUP($A28,[1]Hugst!$R$5:$W$9,MATCH(ROUNDUP((O$1)/10,0)*10,[1]Hugst!$R$4:$W$4,0))))</f>
        <v>0</v>
      </c>
      <c r="P28" s="168">
        <f ca="1">IF($C28-P$1&lt;År1,0,O27*(1-VLOOKUP($A28,[1]Hugst!$R$5:$W$9,MATCH(ROUNDUP((P$1)/10,0)*10,[1]Hugst!$R$4:$W$4,0))))</f>
        <v>0</v>
      </c>
      <c r="Q28" s="168">
        <f ca="1">IF($C28-Q$1&lt;År1,0,P27*(1-VLOOKUP($A28,[1]Hugst!$R$5:$W$9,MATCH(ROUNDUP((Q$1)/10,0)*10,[1]Hugst!$R$4:$W$4,0))))</f>
        <v>0</v>
      </c>
      <c r="R28" s="168">
        <f ca="1">IF($C28-R$1&lt;År1,0,Q27*(1-VLOOKUP($A28,[1]Hugst!$R$5:$W$9,MATCH(ROUNDUP((R$1)/10,0)*10,[1]Hugst!$R$4:$W$4,0))))</f>
        <v>0</v>
      </c>
      <c r="S28" s="168">
        <f ca="1">IF($C28-S$1&lt;År1,0,R27*(1-VLOOKUP($A28,[1]Hugst!$R$5:$W$9,MATCH(ROUNDUP((S$1)/10,0)*10,[1]Hugst!$R$4:$W$4,0))))</f>
        <v>0</v>
      </c>
      <c r="T28" s="168">
        <f ca="1">IF($C28-T$1&lt;År1,0,S27*(1-VLOOKUP($A28,[1]Hugst!$R$5:$W$9,MATCH(ROUNDUP((T$1)/10,0)*10,[1]Hugst!$R$4:$W$4,0))))</f>
        <v>0</v>
      </c>
      <c r="U28" s="168">
        <f ca="1">IF($C28-U$1&lt;År1,0,T27*(1-VLOOKUP($A28,[1]Hugst!$R$5:$W$9,MATCH(ROUNDUP((U$1)/10,0)*10,[1]Hugst!$R$4:$W$4,0))))</f>
        <v>0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0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8">
        <f ca="1">IF($C29-G$1&lt;År1,0,F28*(1-VLOOKUP($A29,[1]Hugst!$R$5:$W$9,MATCH(ROUNDUP((G$1)/10,0)*10,[1]Hugst!$R$4:$W$4,0))))</f>
        <v>0</v>
      </c>
      <c r="H29" s="168">
        <f ca="1">IF($C29-H$1&lt;År1,0,G28*(1-VLOOKUP($A29,[1]Hugst!$R$5:$W$9,MATCH(ROUNDUP((H$1)/10,0)*10,[1]Hugst!$R$4:$W$4,0))))</f>
        <v>0</v>
      </c>
      <c r="I29" s="168">
        <f ca="1">IF($C29-I$1&lt;År1,0,H28*(1-VLOOKUP($A29,[1]Hugst!$R$5:$W$9,MATCH(ROUNDUP((I$1)/10,0)*10,[1]Hugst!$R$4:$W$4,0))))</f>
        <v>0</v>
      </c>
      <c r="J29" s="168">
        <f ca="1">IF($C29-J$1&lt;År1,0,I28*(1-VLOOKUP($A29,[1]Hugst!$R$5:$W$9,MATCH(ROUNDUP((J$1)/10,0)*10,[1]Hugst!$R$4:$W$4,0))))</f>
        <v>0</v>
      </c>
      <c r="K29" s="168">
        <f ca="1">IF($C29-K$1&lt;År1,0,J28*(1-VLOOKUP($A29,[1]Hugst!$R$5:$W$9,MATCH(ROUNDUP((K$1)/10,0)*10,[1]Hugst!$R$4:$W$4,0))))</f>
        <v>0</v>
      </c>
      <c r="L29" s="168">
        <f ca="1">IF($C29-L$1&lt;År1,0,K28*(1-VLOOKUP($A29,[1]Hugst!$R$5:$W$9,MATCH(ROUNDUP((L$1)/10,0)*10,[1]Hugst!$R$4:$W$4,0))))</f>
        <v>0</v>
      </c>
      <c r="M29" s="168">
        <f ca="1">IF($C29-M$1&lt;År1,0,L28*(1-VLOOKUP($A29,[1]Hugst!$R$5:$W$9,MATCH(ROUNDUP((M$1)/10,0)*10,[1]Hugst!$R$4:$W$4,0))))</f>
        <v>0</v>
      </c>
      <c r="N29" s="168">
        <f ca="1">IF($C29-N$1&lt;År1,0,M28*(1-VLOOKUP($A29,[1]Hugst!$R$5:$W$9,MATCH(ROUNDUP((N$1)/10,0)*10,[1]Hugst!$R$4:$W$4,0))))</f>
        <v>0</v>
      </c>
      <c r="O29" s="168">
        <f ca="1">IF($C29-O$1&lt;År1,0,N28*(1-VLOOKUP($A29,[1]Hugst!$R$5:$W$9,MATCH(ROUNDUP((O$1)/10,0)*10,[1]Hugst!$R$4:$W$4,0))))</f>
        <v>0</v>
      </c>
      <c r="P29" s="168">
        <f ca="1">IF($C29-P$1&lt;År1,0,O28*(1-VLOOKUP($A29,[1]Hugst!$R$5:$W$9,MATCH(ROUNDUP((P$1)/10,0)*10,[1]Hugst!$R$4:$W$4,0))))</f>
        <v>0</v>
      </c>
      <c r="Q29" s="168">
        <f ca="1">IF($C29-Q$1&lt;År1,0,P28*(1-VLOOKUP($A29,[1]Hugst!$R$5:$W$9,MATCH(ROUNDUP((Q$1)/10,0)*10,[1]Hugst!$R$4:$W$4,0))))</f>
        <v>0</v>
      </c>
      <c r="R29" s="168">
        <f ca="1">IF($C29-R$1&lt;År1,0,Q28*(1-VLOOKUP($A29,[1]Hugst!$R$5:$W$9,MATCH(ROUNDUP((R$1)/10,0)*10,[1]Hugst!$R$4:$W$4,0))))</f>
        <v>0</v>
      </c>
      <c r="S29" s="168">
        <f ca="1">IF($C29-S$1&lt;År1,0,R28*(1-VLOOKUP($A29,[1]Hugst!$R$5:$W$9,MATCH(ROUNDUP((S$1)/10,0)*10,[1]Hugst!$R$4:$W$4,0))))</f>
        <v>0</v>
      </c>
      <c r="T29" s="168">
        <f ca="1">IF($C29-T$1&lt;År1,0,S28*(1-VLOOKUP($A29,[1]Hugst!$R$5:$W$9,MATCH(ROUNDUP((T$1)/10,0)*10,[1]Hugst!$R$4:$W$4,0))))</f>
        <v>0</v>
      </c>
      <c r="U29" s="168">
        <f ca="1">IF($C29-U$1&lt;År1,0,T28*(1-VLOOKUP($A29,[1]Hugst!$R$5:$W$9,MATCH(ROUNDUP((U$1)/10,0)*10,[1]Hugst!$R$4:$W$4,0))))</f>
        <v>0</v>
      </c>
      <c r="V29" s="168">
        <f ca="1">IF($C29-V$1&lt;År1,0,U28*(1-VLOOKUP($A29,[1]Hugst!$R$5:$W$9,MATCH(ROUNDUP((V$1)/10,0)*10,[1]Hugst!$R$4:$W$4,0))))</f>
        <v>0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0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8">
        <f ca="1">IF($C30-G$1&lt;År1,0,F29*(1-VLOOKUP($A30,[1]Hugst!$R$5:$W$9,MATCH(ROUNDUP((G$1)/10,0)*10,[1]Hugst!$R$4:$W$4,0))))</f>
        <v>0</v>
      </c>
      <c r="H30" s="168">
        <f ca="1">IF($C30-H$1&lt;År1,0,G29*(1-VLOOKUP($A30,[1]Hugst!$R$5:$W$9,MATCH(ROUNDUP((H$1)/10,0)*10,[1]Hugst!$R$4:$W$4,0))))</f>
        <v>0</v>
      </c>
      <c r="I30" s="168">
        <f ca="1">IF($C30-I$1&lt;År1,0,H29*(1-VLOOKUP($A30,[1]Hugst!$R$5:$W$9,MATCH(ROUNDUP((I$1)/10,0)*10,[1]Hugst!$R$4:$W$4,0))))</f>
        <v>0</v>
      </c>
      <c r="J30" s="168">
        <f ca="1">IF($C30-J$1&lt;År1,0,I29*(1-VLOOKUP($A30,[1]Hugst!$R$5:$W$9,MATCH(ROUNDUP((J$1)/10,0)*10,[1]Hugst!$R$4:$W$4,0))))</f>
        <v>0</v>
      </c>
      <c r="K30" s="168">
        <f ca="1">IF($C30-K$1&lt;År1,0,J29*(1-VLOOKUP($A30,[1]Hugst!$R$5:$W$9,MATCH(ROUNDUP((K$1)/10,0)*10,[1]Hugst!$R$4:$W$4,0))))</f>
        <v>0</v>
      </c>
      <c r="L30" s="168">
        <f ca="1">IF($C30-L$1&lt;År1,0,K29*(1-VLOOKUP($A30,[1]Hugst!$R$5:$W$9,MATCH(ROUNDUP((L$1)/10,0)*10,[1]Hugst!$R$4:$W$4,0))))</f>
        <v>0</v>
      </c>
      <c r="M30" s="168">
        <f ca="1">IF($C30-M$1&lt;År1,0,L29*(1-VLOOKUP($A30,[1]Hugst!$R$5:$W$9,MATCH(ROUNDUP((M$1)/10,0)*10,[1]Hugst!$R$4:$W$4,0))))</f>
        <v>0</v>
      </c>
      <c r="N30" s="168">
        <f ca="1">IF($C30-N$1&lt;År1,0,M29*(1-VLOOKUP($A30,[1]Hugst!$R$5:$W$9,MATCH(ROUNDUP((N$1)/10,0)*10,[1]Hugst!$R$4:$W$4,0))))</f>
        <v>0</v>
      </c>
      <c r="O30" s="168">
        <f ca="1">IF($C30-O$1&lt;År1,0,N29*(1-VLOOKUP($A30,[1]Hugst!$R$5:$W$9,MATCH(ROUNDUP((O$1)/10,0)*10,[1]Hugst!$R$4:$W$4,0))))</f>
        <v>0</v>
      </c>
      <c r="P30" s="168">
        <f ca="1">IF($C30-P$1&lt;År1,0,O29*(1-VLOOKUP($A30,[1]Hugst!$R$5:$W$9,MATCH(ROUNDUP((P$1)/10,0)*10,[1]Hugst!$R$4:$W$4,0))))</f>
        <v>0</v>
      </c>
      <c r="Q30" s="168">
        <f ca="1">IF($C30-Q$1&lt;År1,0,P29*(1-VLOOKUP($A30,[1]Hugst!$R$5:$W$9,MATCH(ROUNDUP((Q$1)/10,0)*10,[1]Hugst!$R$4:$W$4,0))))</f>
        <v>0</v>
      </c>
      <c r="R30" s="168">
        <f ca="1">IF($C30-R$1&lt;År1,0,Q29*(1-VLOOKUP($A30,[1]Hugst!$R$5:$W$9,MATCH(ROUNDUP((R$1)/10,0)*10,[1]Hugst!$R$4:$W$4,0))))</f>
        <v>0</v>
      </c>
      <c r="S30" s="168">
        <f ca="1">IF($C30-S$1&lt;År1,0,R29*(1-VLOOKUP($A30,[1]Hugst!$R$5:$W$9,MATCH(ROUNDUP((S$1)/10,0)*10,[1]Hugst!$R$4:$W$4,0))))</f>
        <v>0</v>
      </c>
      <c r="T30" s="168">
        <f ca="1">IF($C30-T$1&lt;År1,0,S29*(1-VLOOKUP($A30,[1]Hugst!$R$5:$W$9,MATCH(ROUNDUP((T$1)/10,0)*10,[1]Hugst!$R$4:$W$4,0))))</f>
        <v>0</v>
      </c>
      <c r="U30" s="168">
        <f ca="1">IF($C30-U$1&lt;År1,0,T29*(1-VLOOKUP($A30,[1]Hugst!$R$5:$W$9,MATCH(ROUNDUP((U$1)/10,0)*10,[1]Hugst!$R$4:$W$4,0))))</f>
        <v>0</v>
      </c>
      <c r="V30" s="168">
        <f ca="1">IF($C30-V$1&lt;År1,0,U29*(1-VLOOKUP($A30,[1]Hugst!$R$5:$W$9,MATCH(ROUNDUP((V$1)/10,0)*10,[1]Hugst!$R$4:$W$4,0))))</f>
        <v>0</v>
      </c>
      <c r="W30" s="168">
        <f ca="1">IF($C30-W$1&lt;År1,0,V29*(1-VLOOKUP($A30,[1]Hugst!$R$5:$W$9,MATCH(ROUNDUP((W$1)/10,0)*10,[1]Hugst!$R$4:$W$4,0))))</f>
        <v>0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0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8">
        <f ca="1">IF($C31-G$1&lt;År1,0,F30*(1-VLOOKUP($A31,[1]Hugst!$R$5:$W$9,MATCH(ROUNDUP((G$1)/10,0)*10,[1]Hugst!$R$4:$W$4,0))))</f>
        <v>0</v>
      </c>
      <c r="H31" s="168">
        <f ca="1">IF($C31-H$1&lt;År1,0,G30*(1-VLOOKUP($A31,[1]Hugst!$R$5:$W$9,MATCH(ROUNDUP((H$1)/10,0)*10,[1]Hugst!$R$4:$W$4,0))))</f>
        <v>0</v>
      </c>
      <c r="I31" s="168">
        <f ca="1">IF($C31-I$1&lt;År1,0,H30*(1-VLOOKUP($A31,[1]Hugst!$R$5:$W$9,MATCH(ROUNDUP((I$1)/10,0)*10,[1]Hugst!$R$4:$W$4,0))))</f>
        <v>0</v>
      </c>
      <c r="J31" s="168">
        <f ca="1">IF($C31-J$1&lt;År1,0,I30*(1-VLOOKUP($A31,[1]Hugst!$R$5:$W$9,MATCH(ROUNDUP((J$1)/10,0)*10,[1]Hugst!$R$4:$W$4,0))))</f>
        <v>0</v>
      </c>
      <c r="K31" s="168">
        <f ca="1">IF($C31-K$1&lt;År1,0,J30*(1-VLOOKUP($A31,[1]Hugst!$R$5:$W$9,MATCH(ROUNDUP((K$1)/10,0)*10,[1]Hugst!$R$4:$W$4,0))))</f>
        <v>0</v>
      </c>
      <c r="L31" s="168">
        <f ca="1">IF($C31-L$1&lt;År1,0,K30*(1-VLOOKUP($A31,[1]Hugst!$R$5:$W$9,MATCH(ROUNDUP((L$1)/10,0)*10,[1]Hugst!$R$4:$W$4,0))))</f>
        <v>0</v>
      </c>
      <c r="M31" s="168">
        <f ca="1">IF($C31-M$1&lt;År1,0,L30*(1-VLOOKUP($A31,[1]Hugst!$R$5:$W$9,MATCH(ROUNDUP((M$1)/10,0)*10,[1]Hugst!$R$4:$W$4,0))))</f>
        <v>0</v>
      </c>
      <c r="N31" s="168">
        <f ca="1">IF($C31-N$1&lt;År1,0,M30*(1-VLOOKUP($A31,[1]Hugst!$R$5:$W$9,MATCH(ROUNDUP((N$1)/10,0)*10,[1]Hugst!$R$4:$W$4,0))))</f>
        <v>0</v>
      </c>
      <c r="O31" s="168">
        <f ca="1">IF($C31-O$1&lt;År1,0,N30*(1-VLOOKUP($A31,[1]Hugst!$R$5:$W$9,MATCH(ROUNDUP((O$1)/10,0)*10,[1]Hugst!$R$4:$W$4,0))))</f>
        <v>0</v>
      </c>
      <c r="P31" s="168">
        <f ca="1">IF($C31-P$1&lt;År1,0,O30*(1-VLOOKUP($A31,[1]Hugst!$R$5:$W$9,MATCH(ROUNDUP((P$1)/10,0)*10,[1]Hugst!$R$4:$W$4,0))))</f>
        <v>0</v>
      </c>
      <c r="Q31" s="168">
        <f ca="1">IF($C31-Q$1&lt;År1,0,P30*(1-VLOOKUP($A31,[1]Hugst!$R$5:$W$9,MATCH(ROUNDUP((Q$1)/10,0)*10,[1]Hugst!$R$4:$W$4,0))))</f>
        <v>0</v>
      </c>
      <c r="R31" s="168">
        <f ca="1">IF($C31-R$1&lt;År1,0,Q30*(1-VLOOKUP($A31,[1]Hugst!$R$5:$W$9,MATCH(ROUNDUP((R$1)/10,0)*10,[1]Hugst!$R$4:$W$4,0))))</f>
        <v>0</v>
      </c>
      <c r="S31" s="168">
        <f ca="1">IF($C31-S$1&lt;År1,0,R30*(1-VLOOKUP($A31,[1]Hugst!$R$5:$W$9,MATCH(ROUNDUP((S$1)/10,0)*10,[1]Hugst!$R$4:$W$4,0))))</f>
        <v>0</v>
      </c>
      <c r="T31" s="168">
        <f ca="1">IF($C31-T$1&lt;År1,0,S30*(1-VLOOKUP($A31,[1]Hugst!$R$5:$W$9,MATCH(ROUNDUP((T$1)/10,0)*10,[1]Hugst!$R$4:$W$4,0))))</f>
        <v>0</v>
      </c>
      <c r="U31" s="168">
        <f ca="1">IF($C31-U$1&lt;År1,0,T30*(1-VLOOKUP($A31,[1]Hugst!$R$5:$W$9,MATCH(ROUNDUP((U$1)/10,0)*10,[1]Hugst!$R$4:$W$4,0))))</f>
        <v>0</v>
      </c>
      <c r="V31" s="168">
        <f ca="1">IF($C31-V$1&lt;År1,0,U30*(1-VLOOKUP($A31,[1]Hugst!$R$5:$W$9,MATCH(ROUNDUP((V$1)/10,0)*10,[1]Hugst!$R$4:$W$4,0))))</f>
        <v>0</v>
      </c>
      <c r="W31" s="168">
        <f ca="1">IF($C31-W$1&lt;År1,0,V30*(1-VLOOKUP($A31,[1]Hugst!$R$5:$W$9,MATCH(ROUNDUP((W$1)/10,0)*10,[1]Hugst!$R$4:$W$4,0))))</f>
        <v>0</v>
      </c>
      <c r="X31" s="168">
        <f ca="1">IF($C31-X$1&lt;År1,0,W30*(1-VLOOKUP($A31,[1]Hugst!$R$5:$W$9,MATCH(ROUNDUP((X$1)/10,0)*10,[1]Hugst!$R$4:$W$4,0))))</f>
        <v>0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0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8">
        <f ca="1">IF($C32-G$1&lt;År1,0,F31*(1-VLOOKUP($A32,[1]Hugst!$R$5:$W$9,MATCH(ROUNDUP((G$1)/10,0)*10,[1]Hugst!$R$4:$W$4,0))))</f>
        <v>0</v>
      </c>
      <c r="H32" s="168">
        <f ca="1">IF($C32-H$1&lt;År1,0,G31*(1-VLOOKUP($A32,[1]Hugst!$R$5:$W$9,MATCH(ROUNDUP((H$1)/10,0)*10,[1]Hugst!$R$4:$W$4,0))))</f>
        <v>0</v>
      </c>
      <c r="I32" s="168">
        <f ca="1">IF($C32-I$1&lt;År1,0,H31*(1-VLOOKUP($A32,[1]Hugst!$R$5:$W$9,MATCH(ROUNDUP((I$1)/10,0)*10,[1]Hugst!$R$4:$W$4,0))))</f>
        <v>0</v>
      </c>
      <c r="J32" s="168">
        <f ca="1">IF($C32-J$1&lt;År1,0,I31*(1-VLOOKUP($A32,[1]Hugst!$R$5:$W$9,MATCH(ROUNDUP((J$1)/10,0)*10,[1]Hugst!$R$4:$W$4,0))))</f>
        <v>0</v>
      </c>
      <c r="K32" s="168">
        <f ca="1">IF($C32-K$1&lt;År1,0,J31*(1-VLOOKUP($A32,[1]Hugst!$R$5:$W$9,MATCH(ROUNDUP((K$1)/10,0)*10,[1]Hugst!$R$4:$W$4,0))))</f>
        <v>0</v>
      </c>
      <c r="L32" s="168">
        <f ca="1">IF($C32-L$1&lt;År1,0,K31*(1-VLOOKUP($A32,[1]Hugst!$R$5:$W$9,MATCH(ROUNDUP((L$1)/10,0)*10,[1]Hugst!$R$4:$W$4,0))))</f>
        <v>0</v>
      </c>
      <c r="M32" s="168">
        <f ca="1">IF($C32-M$1&lt;År1,0,L31*(1-VLOOKUP($A32,[1]Hugst!$R$5:$W$9,MATCH(ROUNDUP((M$1)/10,0)*10,[1]Hugst!$R$4:$W$4,0))))</f>
        <v>0</v>
      </c>
      <c r="N32" s="168">
        <f ca="1">IF($C32-N$1&lt;År1,0,M31*(1-VLOOKUP($A32,[1]Hugst!$R$5:$W$9,MATCH(ROUNDUP((N$1)/10,0)*10,[1]Hugst!$R$4:$W$4,0))))</f>
        <v>0</v>
      </c>
      <c r="O32" s="168">
        <f ca="1">IF($C32-O$1&lt;År1,0,N31*(1-VLOOKUP($A32,[1]Hugst!$R$5:$W$9,MATCH(ROUNDUP((O$1)/10,0)*10,[1]Hugst!$R$4:$W$4,0))))</f>
        <v>0</v>
      </c>
      <c r="P32" s="168">
        <f ca="1">IF($C32-P$1&lt;År1,0,O31*(1-VLOOKUP($A32,[1]Hugst!$R$5:$W$9,MATCH(ROUNDUP((P$1)/10,0)*10,[1]Hugst!$R$4:$W$4,0))))</f>
        <v>0</v>
      </c>
      <c r="Q32" s="168">
        <f ca="1">IF($C32-Q$1&lt;År1,0,P31*(1-VLOOKUP($A32,[1]Hugst!$R$5:$W$9,MATCH(ROUNDUP((Q$1)/10,0)*10,[1]Hugst!$R$4:$W$4,0))))</f>
        <v>0</v>
      </c>
      <c r="R32" s="168">
        <f ca="1">IF($C32-R$1&lt;År1,0,Q31*(1-VLOOKUP($A32,[1]Hugst!$R$5:$W$9,MATCH(ROUNDUP((R$1)/10,0)*10,[1]Hugst!$R$4:$W$4,0))))</f>
        <v>0</v>
      </c>
      <c r="S32" s="168">
        <f ca="1">IF($C32-S$1&lt;År1,0,R31*(1-VLOOKUP($A32,[1]Hugst!$R$5:$W$9,MATCH(ROUNDUP((S$1)/10,0)*10,[1]Hugst!$R$4:$W$4,0))))</f>
        <v>0</v>
      </c>
      <c r="T32" s="168">
        <f ca="1">IF($C32-T$1&lt;År1,0,S31*(1-VLOOKUP($A32,[1]Hugst!$R$5:$W$9,MATCH(ROUNDUP((T$1)/10,0)*10,[1]Hugst!$R$4:$W$4,0))))</f>
        <v>0</v>
      </c>
      <c r="U32" s="168">
        <f ca="1">IF($C32-U$1&lt;År1,0,T31*(1-VLOOKUP($A32,[1]Hugst!$R$5:$W$9,MATCH(ROUNDUP((U$1)/10,0)*10,[1]Hugst!$R$4:$W$4,0))))</f>
        <v>0</v>
      </c>
      <c r="V32" s="168">
        <f ca="1">IF($C32-V$1&lt;År1,0,U31*(1-VLOOKUP($A32,[1]Hugst!$R$5:$W$9,MATCH(ROUNDUP((V$1)/10,0)*10,[1]Hugst!$R$4:$W$4,0))))</f>
        <v>0</v>
      </c>
      <c r="W32" s="168">
        <f ca="1">IF($C32-W$1&lt;År1,0,V31*(1-VLOOKUP($A32,[1]Hugst!$R$5:$W$9,MATCH(ROUNDUP((W$1)/10,0)*10,[1]Hugst!$R$4:$W$4,0))))</f>
        <v>0</v>
      </c>
      <c r="X32" s="168">
        <f ca="1">IF($C32-X$1&lt;År1,0,W31*(1-VLOOKUP($A32,[1]Hugst!$R$5:$W$9,MATCH(ROUNDUP((X$1)/10,0)*10,[1]Hugst!$R$4:$W$4,0))))</f>
        <v>0</v>
      </c>
      <c r="Y32" s="168">
        <f ca="1">IF($C32-Y$1&lt;År1,0,X31*(1-VLOOKUP($A32,[1]Hugst!$R$5:$W$9,MATCH(ROUNDUP((Y$1)/10,0)*10,[1]Hugst!$R$4:$W$4,0))))</f>
        <v>0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0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0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0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8">
        <f ca="1">IF($C45-G$1&lt;År1,0,F44*(1-VLOOKUP($A45,[1]Hugst!$R$5:$W$9,MATCH(ROUNDUP((G$1)/10,0)*10,[1]Hugst!$R$4:$W$4,0))))</f>
        <v>0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0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8">
        <f ca="1">IF($C46-G$1&lt;År1,0,F45*(1-VLOOKUP($A46,[1]Hugst!$R$5:$W$9,MATCH(ROUNDUP((G$1)/10,0)*10,[1]Hugst!$R$4:$W$4,0))))</f>
        <v>0</v>
      </c>
      <c r="H46" s="168">
        <f ca="1">IF($C46-H$1&lt;År1,0,G45*(1-VLOOKUP($A46,[1]Hugst!$R$5:$W$9,MATCH(ROUNDUP((H$1)/10,0)*10,[1]Hugst!$R$4:$W$4,0))))</f>
        <v>0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0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8">
        <f ca="1">IF($C47-G$1&lt;År1,0,F46*(1-VLOOKUP($A47,[1]Hugst!$R$5:$W$9,MATCH(ROUNDUP((G$1)/10,0)*10,[1]Hugst!$R$4:$W$4,0))))</f>
        <v>0</v>
      </c>
      <c r="H47" s="168">
        <f ca="1">IF($C47-H$1&lt;År1,0,G46*(1-VLOOKUP($A47,[1]Hugst!$R$5:$W$9,MATCH(ROUNDUP((H$1)/10,0)*10,[1]Hugst!$R$4:$W$4,0))))</f>
        <v>0</v>
      </c>
      <c r="I47" s="168">
        <f ca="1">IF($C47-I$1&lt;År1,0,H46*(1-VLOOKUP($A47,[1]Hugst!$R$5:$W$9,MATCH(ROUNDUP((I$1)/10,0)*10,[1]Hugst!$R$4:$W$4,0))))</f>
        <v>0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0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8">
        <f ca="1">IF($C48-G$1&lt;År1,0,F47*(1-VLOOKUP($A48,[1]Hugst!$R$5:$W$9,MATCH(ROUNDUP((G$1)/10,0)*10,[1]Hugst!$R$4:$W$4,0))))</f>
        <v>0</v>
      </c>
      <c r="H48" s="168">
        <f ca="1">IF($C48-H$1&lt;År1,0,G47*(1-VLOOKUP($A48,[1]Hugst!$R$5:$W$9,MATCH(ROUNDUP((H$1)/10,0)*10,[1]Hugst!$R$4:$W$4,0))))</f>
        <v>0</v>
      </c>
      <c r="I48" s="168">
        <f ca="1">IF($C48-I$1&lt;År1,0,H47*(1-VLOOKUP($A48,[1]Hugst!$R$5:$W$9,MATCH(ROUNDUP((I$1)/10,0)*10,[1]Hugst!$R$4:$W$4,0))))</f>
        <v>0</v>
      </c>
      <c r="J48" s="168">
        <f ca="1">IF($C48-J$1&lt;År1,0,I47*(1-VLOOKUP($A48,[1]Hugst!$R$5:$W$9,MATCH(ROUNDUP((J$1)/10,0)*10,[1]Hugst!$R$4:$W$4,0))))</f>
        <v>0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0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8">
        <f ca="1">IF($C49-G$1&lt;År1,0,F48*(1-VLOOKUP($A49,[1]Hugst!$R$5:$W$9,MATCH(ROUNDUP((G$1)/10,0)*10,[1]Hugst!$R$4:$W$4,0))))</f>
        <v>0</v>
      </c>
      <c r="H49" s="168">
        <f ca="1">IF($C49-H$1&lt;År1,0,G48*(1-VLOOKUP($A49,[1]Hugst!$R$5:$W$9,MATCH(ROUNDUP((H$1)/10,0)*10,[1]Hugst!$R$4:$W$4,0))))</f>
        <v>0</v>
      </c>
      <c r="I49" s="168">
        <f ca="1">IF($C49-I$1&lt;År1,0,H48*(1-VLOOKUP($A49,[1]Hugst!$R$5:$W$9,MATCH(ROUNDUP((I$1)/10,0)*10,[1]Hugst!$R$4:$W$4,0))))</f>
        <v>0</v>
      </c>
      <c r="J49" s="168">
        <f ca="1">IF($C49-J$1&lt;År1,0,I48*(1-VLOOKUP($A49,[1]Hugst!$R$5:$W$9,MATCH(ROUNDUP((J$1)/10,0)*10,[1]Hugst!$R$4:$W$4,0))))</f>
        <v>0</v>
      </c>
      <c r="K49" s="168">
        <f ca="1">IF($C49-K$1&lt;År1,0,J48*(1-VLOOKUP($A49,[1]Hugst!$R$5:$W$9,MATCH(ROUNDUP((K$1)/10,0)*10,[1]Hugst!$R$4:$W$4,0))))</f>
        <v>0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0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8">
        <f ca="1">IF($C50-G$1&lt;År1,0,F49*(1-VLOOKUP($A50,[1]Hugst!$R$5:$W$9,MATCH(ROUNDUP((G$1)/10,0)*10,[1]Hugst!$R$4:$W$4,0))))</f>
        <v>0</v>
      </c>
      <c r="H50" s="168">
        <f ca="1">IF($C50-H$1&lt;År1,0,G49*(1-VLOOKUP($A50,[1]Hugst!$R$5:$W$9,MATCH(ROUNDUP((H$1)/10,0)*10,[1]Hugst!$R$4:$W$4,0))))</f>
        <v>0</v>
      </c>
      <c r="I50" s="168">
        <f ca="1">IF($C50-I$1&lt;År1,0,H49*(1-VLOOKUP($A50,[1]Hugst!$R$5:$W$9,MATCH(ROUNDUP((I$1)/10,0)*10,[1]Hugst!$R$4:$W$4,0))))</f>
        <v>0</v>
      </c>
      <c r="J50" s="168">
        <f ca="1">IF($C50-J$1&lt;År1,0,I49*(1-VLOOKUP($A50,[1]Hugst!$R$5:$W$9,MATCH(ROUNDUP((J$1)/10,0)*10,[1]Hugst!$R$4:$W$4,0))))</f>
        <v>0</v>
      </c>
      <c r="K50" s="168">
        <f ca="1">IF($C50-K$1&lt;År1,0,J49*(1-VLOOKUP($A50,[1]Hugst!$R$5:$W$9,MATCH(ROUNDUP((K$1)/10,0)*10,[1]Hugst!$R$4:$W$4,0))))</f>
        <v>0</v>
      </c>
      <c r="L50" s="168">
        <f ca="1">IF($C50-L$1&lt;År1,0,K49*(1-VLOOKUP($A50,[1]Hugst!$R$5:$W$9,MATCH(ROUNDUP((L$1)/10,0)*10,[1]Hugst!$R$4:$W$4,0))))</f>
        <v>0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0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8">
        <f ca="1">IF($C51-G$1&lt;År1,0,F50*(1-VLOOKUP($A51,[1]Hugst!$R$5:$W$9,MATCH(ROUNDUP((G$1)/10,0)*10,[1]Hugst!$R$4:$W$4,0))))</f>
        <v>0</v>
      </c>
      <c r="H51" s="168">
        <f ca="1">IF($C51-H$1&lt;År1,0,G50*(1-VLOOKUP($A51,[1]Hugst!$R$5:$W$9,MATCH(ROUNDUP((H$1)/10,0)*10,[1]Hugst!$R$4:$W$4,0))))</f>
        <v>0</v>
      </c>
      <c r="I51" s="168">
        <f ca="1">IF($C51-I$1&lt;År1,0,H50*(1-VLOOKUP($A51,[1]Hugst!$R$5:$W$9,MATCH(ROUNDUP((I$1)/10,0)*10,[1]Hugst!$R$4:$W$4,0))))</f>
        <v>0</v>
      </c>
      <c r="J51" s="168">
        <f ca="1">IF($C51-J$1&lt;År1,0,I50*(1-VLOOKUP($A51,[1]Hugst!$R$5:$W$9,MATCH(ROUNDUP((J$1)/10,0)*10,[1]Hugst!$R$4:$W$4,0))))</f>
        <v>0</v>
      </c>
      <c r="K51" s="168">
        <f ca="1">IF($C51-K$1&lt;År1,0,J50*(1-VLOOKUP($A51,[1]Hugst!$R$5:$W$9,MATCH(ROUNDUP((K$1)/10,0)*10,[1]Hugst!$R$4:$W$4,0))))</f>
        <v>0</v>
      </c>
      <c r="L51" s="168">
        <f ca="1">IF($C51-L$1&lt;År1,0,K50*(1-VLOOKUP($A51,[1]Hugst!$R$5:$W$9,MATCH(ROUNDUP((L$1)/10,0)*10,[1]Hugst!$R$4:$W$4,0))))</f>
        <v>0</v>
      </c>
      <c r="M51" s="168">
        <f ca="1">IF($C51-M$1&lt;År1,0,L50*(1-VLOOKUP($A51,[1]Hugst!$R$5:$W$9,MATCH(ROUNDUP((M$1)/10,0)*10,[1]Hugst!$R$4:$W$4,0))))</f>
        <v>0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0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8">
        <f ca="1">IF($C52-G$1&lt;År1,0,F51*(1-VLOOKUP($A52,[1]Hugst!$R$5:$W$9,MATCH(ROUNDUP((G$1)/10,0)*10,[1]Hugst!$R$4:$W$4,0))))</f>
        <v>0</v>
      </c>
      <c r="H52" s="168">
        <f ca="1">IF($C52-H$1&lt;År1,0,G51*(1-VLOOKUP($A52,[1]Hugst!$R$5:$W$9,MATCH(ROUNDUP((H$1)/10,0)*10,[1]Hugst!$R$4:$W$4,0))))</f>
        <v>0</v>
      </c>
      <c r="I52" s="168">
        <f ca="1">IF($C52-I$1&lt;År1,0,H51*(1-VLOOKUP($A52,[1]Hugst!$R$5:$W$9,MATCH(ROUNDUP((I$1)/10,0)*10,[1]Hugst!$R$4:$W$4,0))))</f>
        <v>0</v>
      </c>
      <c r="J52" s="168">
        <f ca="1">IF($C52-J$1&lt;År1,0,I51*(1-VLOOKUP($A52,[1]Hugst!$R$5:$W$9,MATCH(ROUNDUP((J$1)/10,0)*10,[1]Hugst!$R$4:$W$4,0))))</f>
        <v>0</v>
      </c>
      <c r="K52" s="168">
        <f ca="1">IF($C52-K$1&lt;År1,0,J51*(1-VLOOKUP($A52,[1]Hugst!$R$5:$W$9,MATCH(ROUNDUP((K$1)/10,0)*10,[1]Hugst!$R$4:$W$4,0))))</f>
        <v>0</v>
      </c>
      <c r="L52" s="168">
        <f ca="1">IF($C52-L$1&lt;År1,0,K51*(1-VLOOKUP($A52,[1]Hugst!$R$5:$W$9,MATCH(ROUNDUP((L$1)/10,0)*10,[1]Hugst!$R$4:$W$4,0))))</f>
        <v>0</v>
      </c>
      <c r="M52" s="168">
        <f ca="1">IF($C52-M$1&lt;År1,0,L51*(1-VLOOKUP($A52,[1]Hugst!$R$5:$W$9,MATCH(ROUNDUP((M$1)/10,0)*10,[1]Hugst!$R$4:$W$4,0))))</f>
        <v>0</v>
      </c>
      <c r="N52" s="168">
        <f ca="1">IF($C52-N$1&lt;År1,0,M51*(1-VLOOKUP($A52,[1]Hugst!$R$5:$W$9,MATCH(ROUNDUP((N$1)/10,0)*10,[1]Hugst!$R$4:$W$4,0))))</f>
        <v>0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0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8">
        <f ca="1">IF($C53-G$1&lt;År1,0,F52*(1-VLOOKUP($A53,[1]Hugst!$R$5:$W$9,MATCH(ROUNDUP((G$1)/10,0)*10,[1]Hugst!$R$4:$W$4,0))))</f>
        <v>0</v>
      </c>
      <c r="H53" s="168">
        <f ca="1">IF($C53-H$1&lt;År1,0,G52*(1-VLOOKUP($A53,[1]Hugst!$R$5:$W$9,MATCH(ROUNDUP((H$1)/10,0)*10,[1]Hugst!$R$4:$W$4,0))))</f>
        <v>0</v>
      </c>
      <c r="I53" s="168">
        <f ca="1">IF($C53-I$1&lt;År1,0,H52*(1-VLOOKUP($A53,[1]Hugst!$R$5:$W$9,MATCH(ROUNDUP((I$1)/10,0)*10,[1]Hugst!$R$4:$W$4,0))))</f>
        <v>0</v>
      </c>
      <c r="J53" s="168">
        <f ca="1">IF($C53-J$1&lt;År1,0,I52*(1-VLOOKUP($A53,[1]Hugst!$R$5:$W$9,MATCH(ROUNDUP((J$1)/10,0)*10,[1]Hugst!$R$4:$W$4,0))))</f>
        <v>0</v>
      </c>
      <c r="K53" s="168">
        <f ca="1">IF($C53-K$1&lt;År1,0,J52*(1-VLOOKUP($A53,[1]Hugst!$R$5:$W$9,MATCH(ROUNDUP((K$1)/10,0)*10,[1]Hugst!$R$4:$W$4,0))))</f>
        <v>0</v>
      </c>
      <c r="L53" s="168">
        <f ca="1">IF($C53-L$1&lt;År1,0,K52*(1-VLOOKUP($A53,[1]Hugst!$R$5:$W$9,MATCH(ROUNDUP((L$1)/10,0)*10,[1]Hugst!$R$4:$W$4,0))))</f>
        <v>0</v>
      </c>
      <c r="M53" s="168">
        <f ca="1">IF($C53-M$1&lt;År1,0,L52*(1-VLOOKUP($A53,[1]Hugst!$R$5:$W$9,MATCH(ROUNDUP((M$1)/10,0)*10,[1]Hugst!$R$4:$W$4,0))))</f>
        <v>0</v>
      </c>
      <c r="N53" s="168">
        <f ca="1">IF($C53-N$1&lt;År1,0,M52*(1-VLOOKUP($A53,[1]Hugst!$R$5:$W$9,MATCH(ROUNDUP((N$1)/10,0)*10,[1]Hugst!$R$4:$W$4,0))))</f>
        <v>0</v>
      </c>
      <c r="O53" s="168">
        <f ca="1">IF($C53-O$1&lt;År1,0,N52*(1-VLOOKUP($A53,[1]Hugst!$R$5:$W$9,MATCH(ROUNDUP((O$1)/10,0)*10,[1]Hugst!$R$4:$W$4,0))))</f>
        <v>0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0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8">
        <f ca="1">IF($C54-G$1&lt;År1,0,F53*(1-VLOOKUP($A54,[1]Hugst!$R$5:$W$9,MATCH(ROUNDUP((G$1)/10,0)*10,[1]Hugst!$R$4:$W$4,0))))</f>
        <v>0</v>
      </c>
      <c r="H54" s="168">
        <f ca="1">IF($C54-H$1&lt;År1,0,G53*(1-VLOOKUP($A54,[1]Hugst!$R$5:$W$9,MATCH(ROUNDUP((H$1)/10,0)*10,[1]Hugst!$R$4:$W$4,0))))</f>
        <v>0</v>
      </c>
      <c r="I54" s="168">
        <f ca="1">IF($C54-I$1&lt;År1,0,H53*(1-VLOOKUP($A54,[1]Hugst!$R$5:$W$9,MATCH(ROUNDUP((I$1)/10,0)*10,[1]Hugst!$R$4:$W$4,0))))</f>
        <v>0</v>
      </c>
      <c r="J54" s="168">
        <f ca="1">IF($C54-J$1&lt;År1,0,I53*(1-VLOOKUP($A54,[1]Hugst!$R$5:$W$9,MATCH(ROUNDUP((J$1)/10,0)*10,[1]Hugst!$R$4:$W$4,0))))</f>
        <v>0</v>
      </c>
      <c r="K54" s="168">
        <f ca="1">IF($C54-K$1&lt;År1,0,J53*(1-VLOOKUP($A54,[1]Hugst!$R$5:$W$9,MATCH(ROUNDUP((K$1)/10,0)*10,[1]Hugst!$R$4:$W$4,0))))</f>
        <v>0</v>
      </c>
      <c r="L54" s="168">
        <f ca="1">IF($C54-L$1&lt;År1,0,K53*(1-VLOOKUP($A54,[1]Hugst!$R$5:$W$9,MATCH(ROUNDUP((L$1)/10,0)*10,[1]Hugst!$R$4:$W$4,0))))</f>
        <v>0</v>
      </c>
      <c r="M54" s="168">
        <f ca="1">IF($C54-M$1&lt;År1,0,L53*(1-VLOOKUP($A54,[1]Hugst!$R$5:$W$9,MATCH(ROUNDUP((M$1)/10,0)*10,[1]Hugst!$R$4:$W$4,0))))</f>
        <v>0</v>
      </c>
      <c r="N54" s="168">
        <f ca="1">IF($C54-N$1&lt;År1,0,M53*(1-VLOOKUP($A54,[1]Hugst!$R$5:$W$9,MATCH(ROUNDUP((N$1)/10,0)*10,[1]Hugst!$R$4:$W$4,0))))</f>
        <v>0</v>
      </c>
      <c r="O54" s="168">
        <f ca="1">IF($C54-O$1&lt;År1,0,N53*(1-VLOOKUP($A54,[1]Hugst!$R$5:$W$9,MATCH(ROUNDUP((O$1)/10,0)*10,[1]Hugst!$R$4:$W$4,0))))</f>
        <v>0</v>
      </c>
      <c r="P54" s="168">
        <f ca="1">IF($C54-P$1&lt;År1,0,O53*(1-VLOOKUP($A54,[1]Hugst!$R$5:$W$9,MATCH(ROUNDUP((P$1)/10,0)*10,[1]Hugst!$R$4:$W$4,0))))</f>
        <v>0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0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8">
        <f ca="1">IF($C55-G$1&lt;År1,0,F54*(1-VLOOKUP($A55,[1]Hugst!$R$5:$W$9,MATCH(ROUNDUP((G$1)/10,0)*10,[1]Hugst!$R$4:$W$4,0))))</f>
        <v>0</v>
      </c>
      <c r="H55" s="168">
        <f ca="1">IF($C55-H$1&lt;År1,0,G54*(1-VLOOKUP($A55,[1]Hugst!$R$5:$W$9,MATCH(ROUNDUP((H$1)/10,0)*10,[1]Hugst!$R$4:$W$4,0))))</f>
        <v>0</v>
      </c>
      <c r="I55" s="168">
        <f ca="1">IF($C55-I$1&lt;År1,0,H54*(1-VLOOKUP($A55,[1]Hugst!$R$5:$W$9,MATCH(ROUNDUP((I$1)/10,0)*10,[1]Hugst!$R$4:$W$4,0))))</f>
        <v>0</v>
      </c>
      <c r="J55" s="168">
        <f ca="1">IF($C55-J$1&lt;År1,0,I54*(1-VLOOKUP($A55,[1]Hugst!$R$5:$W$9,MATCH(ROUNDUP((J$1)/10,0)*10,[1]Hugst!$R$4:$W$4,0))))</f>
        <v>0</v>
      </c>
      <c r="K55" s="168">
        <f ca="1">IF($C55-K$1&lt;År1,0,J54*(1-VLOOKUP($A55,[1]Hugst!$R$5:$W$9,MATCH(ROUNDUP((K$1)/10,0)*10,[1]Hugst!$R$4:$W$4,0))))</f>
        <v>0</v>
      </c>
      <c r="L55" s="168">
        <f ca="1">IF($C55-L$1&lt;År1,0,K54*(1-VLOOKUP($A55,[1]Hugst!$R$5:$W$9,MATCH(ROUNDUP((L$1)/10,0)*10,[1]Hugst!$R$4:$W$4,0))))</f>
        <v>0</v>
      </c>
      <c r="M55" s="168">
        <f ca="1">IF($C55-M$1&lt;År1,0,L54*(1-VLOOKUP($A55,[1]Hugst!$R$5:$W$9,MATCH(ROUNDUP((M$1)/10,0)*10,[1]Hugst!$R$4:$W$4,0))))</f>
        <v>0</v>
      </c>
      <c r="N55" s="168">
        <f ca="1">IF($C55-N$1&lt;År1,0,M54*(1-VLOOKUP($A55,[1]Hugst!$R$5:$W$9,MATCH(ROUNDUP((N$1)/10,0)*10,[1]Hugst!$R$4:$W$4,0))))</f>
        <v>0</v>
      </c>
      <c r="O55" s="168">
        <f ca="1">IF($C55-O$1&lt;År1,0,N54*(1-VLOOKUP($A55,[1]Hugst!$R$5:$W$9,MATCH(ROUNDUP((O$1)/10,0)*10,[1]Hugst!$R$4:$W$4,0))))</f>
        <v>0</v>
      </c>
      <c r="P55" s="168">
        <f ca="1">IF($C55-P$1&lt;År1,0,O54*(1-VLOOKUP($A55,[1]Hugst!$R$5:$W$9,MATCH(ROUNDUP((P$1)/10,0)*10,[1]Hugst!$R$4:$W$4,0))))</f>
        <v>0</v>
      </c>
      <c r="Q55" s="168">
        <f ca="1">IF($C55-Q$1&lt;År1,0,P54*(1-VLOOKUP($A55,[1]Hugst!$R$5:$W$9,MATCH(ROUNDUP((Q$1)/10,0)*10,[1]Hugst!$R$4:$W$4,0))))</f>
        <v>0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0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8">
        <f ca="1">IF($C56-G$1&lt;År1,0,F55*(1-VLOOKUP($A56,[1]Hugst!$R$5:$W$9,MATCH(ROUNDUP((G$1)/10,0)*10,[1]Hugst!$R$4:$W$4,0))))</f>
        <v>0</v>
      </c>
      <c r="H56" s="168">
        <f ca="1">IF($C56-H$1&lt;År1,0,G55*(1-VLOOKUP($A56,[1]Hugst!$R$5:$W$9,MATCH(ROUNDUP((H$1)/10,0)*10,[1]Hugst!$R$4:$W$4,0))))</f>
        <v>0</v>
      </c>
      <c r="I56" s="168">
        <f ca="1">IF($C56-I$1&lt;År1,0,H55*(1-VLOOKUP($A56,[1]Hugst!$R$5:$W$9,MATCH(ROUNDUP((I$1)/10,0)*10,[1]Hugst!$R$4:$W$4,0))))</f>
        <v>0</v>
      </c>
      <c r="J56" s="168">
        <f ca="1">IF($C56-J$1&lt;År1,0,I55*(1-VLOOKUP($A56,[1]Hugst!$R$5:$W$9,MATCH(ROUNDUP((J$1)/10,0)*10,[1]Hugst!$R$4:$W$4,0))))</f>
        <v>0</v>
      </c>
      <c r="K56" s="168">
        <f ca="1">IF($C56-K$1&lt;År1,0,J55*(1-VLOOKUP($A56,[1]Hugst!$R$5:$W$9,MATCH(ROUNDUP((K$1)/10,0)*10,[1]Hugst!$R$4:$W$4,0))))</f>
        <v>0</v>
      </c>
      <c r="L56" s="168">
        <f ca="1">IF($C56-L$1&lt;År1,0,K55*(1-VLOOKUP($A56,[1]Hugst!$R$5:$W$9,MATCH(ROUNDUP((L$1)/10,0)*10,[1]Hugst!$R$4:$W$4,0))))</f>
        <v>0</v>
      </c>
      <c r="M56" s="168">
        <f ca="1">IF($C56-M$1&lt;År1,0,L55*(1-VLOOKUP($A56,[1]Hugst!$R$5:$W$9,MATCH(ROUNDUP((M$1)/10,0)*10,[1]Hugst!$R$4:$W$4,0))))</f>
        <v>0</v>
      </c>
      <c r="N56" s="168">
        <f ca="1">IF($C56-N$1&lt;År1,0,M55*(1-VLOOKUP($A56,[1]Hugst!$R$5:$W$9,MATCH(ROUNDUP((N$1)/10,0)*10,[1]Hugst!$R$4:$W$4,0))))</f>
        <v>0</v>
      </c>
      <c r="O56" s="168">
        <f ca="1">IF($C56-O$1&lt;År1,0,N55*(1-VLOOKUP($A56,[1]Hugst!$R$5:$W$9,MATCH(ROUNDUP((O$1)/10,0)*10,[1]Hugst!$R$4:$W$4,0))))</f>
        <v>0</v>
      </c>
      <c r="P56" s="168">
        <f ca="1">IF($C56-P$1&lt;År1,0,O55*(1-VLOOKUP($A56,[1]Hugst!$R$5:$W$9,MATCH(ROUNDUP((P$1)/10,0)*10,[1]Hugst!$R$4:$W$4,0))))</f>
        <v>0</v>
      </c>
      <c r="Q56" s="168">
        <f ca="1">IF($C56-Q$1&lt;År1,0,P55*(1-VLOOKUP($A56,[1]Hugst!$R$5:$W$9,MATCH(ROUNDUP((Q$1)/10,0)*10,[1]Hugst!$R$4:$W$4,0))))</f>
        <v>0</v>
      </c>
      <c r="R56" s="168">
        <f ca="1">IF($C56-R$1&lt;År1,0,Q55*(1-VLOOKUP($A56,[1]Hugst!$R$5:$W$9,MATCH(ROUNDUP((R$1)/10,0)*10,[1]Hugst!$R$4:$W$4,0))))</f>
        <v>0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0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8">
        <f ca="1">IF($C57-G$1&lt;År1,0,F56*(1-VLOOKUP($A57,[1]Hugst!$R$5:$W$9,MATCH(ROUNDUP((G$1)/10,0)*10,[1]Hugst!$R$4:$W$4,0))))</f>
        <v>0</v>
      </c>
      <c r="H57" s="168">
        <f ca="1">IF($C57-H$1&lt;År1,0,G56*(1-VLOOKUP($A57,[1]Hugst!$R$5:$W$9,MATCH(ROUNDUP((H$1)/10,0)*10,[1]Hugst!$R$4:$W$4,0))))</f>
        <v>0</v>
      </c>
      <c r="I57" s="168">
        <f ca="1">IF($C57-I$1&lt;År1,0,H56*(1-VLOOKUP($A57,[1]Hugst!$R$5:$W$9,MATCH(ROUNDUP((I$1)/10,0)*10,[1]Hugst!$R$4:$W$4,0))))</f>
        <v>0</v>
      </c>
      <c r="J57" s="168">
        <f ca="1">IF($C57-J$1&lt;År1,0,I56*(1-VLOOKUP($A57,[1]Hugst!$R$5:$W$9,MATCH(ROUNDUP((J$1)/10,0)*10,[1]Hugst!$R$4:$W$4,0))))</f>
        <v>0</v>
      </c>
      <c r="K57" s="168">
        <f ca="1">IF($C57-K$1&lt;År1,0,J56*(1-VLOOKUP($A57,[1]Hugst!$R$5:$W$9,MATCH(ROUNDUP((K$1)/10,0)*10,[1]Hugst!$R$4:$W$4,0))))</f>
        <v>0</v>
      </c>
      <c r="L57" s="168">
        <f ca="1">IF($C57-L$1&lt;År1,0,K56*(1-VLOOKUP($A57,[1]Hugst!$R$5:$W$9,MATCH(ROUNDUP((L$1)/10,0)*10,[1]Hugst!$R$4:$W$4,0))))</f>
        <v>0</v>
      </c>
      <c r="M57" s="168">
        <f ca="1">IF($C57-M$1&lt;År1,0,L56*(1-VLOOKUP($A57,[1]Hugst!$R$5:$W$9,MATCH(ROUNDUP((M$1)/10,0)*10,[1]Hugst!$R$4:$W$4,0))))</f>
        <v>0</v>
      </c>
      <c r="N57" s="168">
        <f ca="1">IF($C57-N$1&lt;År1,0,M56*(1-VLOOKUP($A57,[1]Hugst!$R$5:$W$9,MATCH(ROUNDUP((N$1)/10,0)*10,[1]Hugst!$R$4:$W$4,0))))</f>
        <v>0</v>
      </c>
      <c r="O57" s="168">
        <f ca="1">IF($C57-O$1&lt;År1,0,N56*(1-VLOOKUP($A57,[1]Hugst!$R$5:$W$9,MATCH(ROUNDUP((O$1)/10,0)*10,[1]Hugst!$R$4:$W$4,0))))</f>
        <v>0</v>
      </c>
      <c r="P57" s="168">
        <f ca="1">IF($C57-P$1&lt;År1,0,O56*(1-VLOOKUP($A57,[1]Hugst!$R$5:$W$9,MATCH(ROUNDUP((P$1)/10,0)*10,[1]Hugst!$R$4:$W$4,0))))</f>
        <v>0</v>
      </c>
      <c r="Q57" s="168">
        <f ca="1">IF($C57-Q$1&lt;År1,0,P56*(1-VLOOKUP($A57,[1]Hugst!$R$5:$W$9,MATCH(ROUNDUP((Q$1)/10,0)*10,[1]Hugst!$R$4:$W$4,0))))</f>
        <v>0</v>
      </c>
      <c r="R57" s="168">
        <f ca="1">IF($C57-R$1&lt;År1,0,Q56*(1-VLOOKUP($A57,[1]Hugst!$R$5:$W$9,MATCH(ROUNDUP((R$1)/10,0)*10,[1]Hugst!$R$4:$W$4,0))))</f>
        <v>0</v>
      </c>
      <c r="S57" s="168">
        <f ca="1">IF($C57-S$1&lt;År1,0,R56*(1-VLOOKUP($A57,[1]Hugst!$R$5:$W$9,MATCH(ROUNDUP((S$1)/10,0)*10,[1]Hugst!$R$4:$W$4,0))))</f>
        <v>0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0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8">
        <f ca="1">IF($C58-G$1&lt;År1,0,F57*(1-VLOOKUP($A58,[1]Hugst!$R$5:$W$9,MATCH(ROUNDUP((G$1)/10,0)*10,[1]Hugst!$R$4:$W$4,0))))</f>
        <v>0</v>
      </c>
      <c r="H58" s="168">
        <f ca="1">IF($C58-H$1&lt;År1,0,G57*(1-VLOOKUP($A58,[1]Hugst!$R$5:$W$9,MATCH(ROUNDUP((H$1)/10,0)*10,[1]Hugst!$R$4:$W$4,0))))</f>
        <v>0</v>
      </c>
      <c r="I58" s="168">
        <f ca="1">IF($C58-I$1&lt;År1,0,H57*(1-VLOOKUP($A58,[1]Hugst!$R$5:$W$9,MATCH(ROUNDUP((I$1)/10,0)*10,[1]Hugst!$R$4:$W$4,0))))</f>
        <v>0</v>
      </c>
      <c r="J58" s="168">
        <f ca="1">IF($C58-J$1&lt;År1,0,I57*(1-VLOOKUP($A58,[1]Hugst!$R$5:$W$9,MATCH(ROUNDUP((J$1)/10,0)*10,[1]Hugst!$R$4:$W$4,0))))</f>
        <v>0</v>
      </c>
      <c r="K58" s="168">
        <f ca="1">IF($C58-K$1&lt;År1,0,J57*(1-VLOOKUP($A58,[1]Hugst!$R$5:$W$9,MATCH(ROUNDUP((K$1)/10,0)*10,[1]Hugst!$R$4:$W$4,0))))</f>
        <v>0</v>
      </c>
      <c r="L58" s="168">
        <f ca="1">IF($C58-L$1&lt;År1,0,K57*(1-VLOOKUP($A58,[1]Hugst!$R$5:$W$9,MATCH(ROUNDUP((L$1)/10,0)*10,[1]Hugst!$R$4:$W$4,0))))</f>
        <v>0</v>
      </c>
      <c r="M58" s="168">
        <f ca="1">IF($C58-M$1&lt;År1,0,L57*(1-VLOOKUP($A58,[1]Hugst!$R$5:$W$9,MATCH(ROUNDUP((M$1)/10,0)*10,[1]Hugst!$R$4:$W$4,0))))</f>
        <v>0</v>
      </c>
      <c r="N58" s="168">
        <f ca="1">IF($C58-N$1&lt;År1,0,M57*(1-VLOOKUP($A58,[1]Hugst!$R$5:$W$9,MATCH(ROUNDUP((N$1)/10,0)*10,[1]Hugst!$R$4:$W$4,0))))</f>
        <v>0</v>
      </c>
      <c r="O58" s="168">
        <f ca="1">IF($C58-O$1&lt;År1,0,N57*(1-VLOOKUP($A58,[1]Hugst!$R$5:$W$9,MATCH(ROUNDUP((O$1)/10,0)*10,[1]Hugst!$R$4:$W$4,0))))</f>
        <v>0</v>
      </c>
      <c r="P58" s="168">
        <f ca="1">IF($C58-P$1&lt;År1,0,O57*(1-VLOOKUP($A58,[1]Hugst!$R$5:$W$9,MATCH(ROUNDUP((P$1)/10,0)*10,[1]Hugst!$R$4:$W$4,0))))</f>
        <v>0</v>
      </c>
      <c r="Q58" s="168">
        <f ca="1">IF($C58-Q$1&lt;År1,0,P57*(1-VLOOKUP($A58,[1]Hugst!$R$5:$W$9,MATCH(ROUNDUP((Q$1)/10,0)*10,[1]Hugst!$R$4:$W$4,0))))</f>
        <v>0</v>
      </c>
      <c r="R58" s="168">
        <f ca="1">IF($C58-R$1&lt;År1,0,Q57*(1-VLOOKUP($A58,[1]Hugst!$R$5:$W$9,MATCH(ROUNDUP((R$1)/10,0)*10,[1]Hugst!$R$4:$W$4,0))))</f>
        <v>0</v>
      </c>
      <c r="S58" s="168">
        <f ca="1">IF($C58-S$1&lt;År1,0,R57*(1-VLOOKUP($A58,[1]Hugst!$R$5:$W$9,MATCH(ROUNDUP((S$1)/10,0)*10,[1]Hugst!$R$4:$W$4,0))))</f>
        <v>0</v>
      </c>
      <c r="T58" s="168">
        <f ca="1">IF($C58-T$1&lt;År1,0,S57*(1-VLOOKUP($A58,[1]Hugst!$R$5:$W$9,MATCH(ROUNDUP((T$1)/10,0)*10,[1]Hugst!$R$4:$W$4,0))))</f>
        <v>0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0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8">
        <f ca="1">IF($C59-G$1&lt;År1,0,F58*(1-VLOOKUP($A59,[1]Hugst!$R$5:$W$9,MATCH(ROUNDUP((G$1)/10,0)*10,[1]Hugst!$R$4:$W$4,0))))</f>
        <v>0</v>
      </c>
      <c r="H59" s="168">
        <f ca="1">IF($C59-H$1&lt;År1,0,G58*(1-VLOOKUP($A59,[1]Hugst!$R$5:$W$9,MATCH(ROUNDUP((H$1)/10,0)*10,[1]Hugst!$R$4:$W$4,0))))</f>
        <v>0</v>
      </c>
      <c r="I59" s="168">
        <f ca="1">IF($C59-I$1&lt;År1,0,H58*(1-VLOOKUP($A59,[1]Hugst!$R$5:$W$9,MATCH(ROUNDUP((I$1)/10,0)*10,[1]Hugst!$R$4:$W$4,0))))</f>
        <v>0</v>
      </c>
      <c r="J59" s="168">
        <f ca="1">IF($C59-J$1&lt;År1,0,I58*(1-VLOOKUP($A59,[1]Hugst!$R$5:$W$9,MATCH(ROUNDUP((J$1)/10,0)*10,[1]Hugst!$R$4:$W$4,0))))</f>
        <v>0</v>
      </c>
      <c r="K59" s="168">
        <f ca="1">IF($C59-K$1&lt;År1,0,J58*(1-VLOOKUP($A59,[1]Hugst!$R$5:$W$9,MATCH(ROUNDUP((K$1)/10,0)*10,[1]Hugst!$R$4:$W$4,0))))</f>
        <v>0</v>
      </c>
      <c r="L59" s="168">
        <f ca="1">IF($C59-L$1&lt;År1,0,K58*(1-VLOOKUP($A59,[1]Hugst!$R$5:$W$9,MATCH(ROUNDUP((L$1)/10,0)*10,[1]Hugst!$R$4:$W$4,0))))</f>
        <v>0</v>
      </c>
      <c r="M59" s="168">
        <f ca="1">IF($C59-M$1&lt;År1,0,L58*(1-VLOOKUP($A59,[1]Hugst!$R$5:$W$9,MATCH(ROUNDUP((M$1)/10,0)*10,[1]Hugst!$R$4:$W$4,0))))</f>
        <v>0</v>
      </c>
      <c r="N59" s="168">
        <f ca="1">IF($C59-N$1&lt;År1,0,M58*(1-VLOOKUP($A59,[1]Hugst!$R$5:$W$9,MATCH(ROUNDUP((N$1)/10,0)*10,[1]Hugst!$R$4:$W$4,0))))</f>
        <v>0</v>
      </c>
      <c r="O59" s="168">
        <f ca="1">IF($C59-O$1&lt;År1,0,N58*(1-VLOOKUP($A59,[1]Hugst!$R$5:$W$9,MATCH(ROUNDUP((O$1)/10,0)*10,[1]Hugst!$R$4:$W$4,0))))</f>
        <v>0</v>
      </c>
      <c r="P59" s="168">
        <f ca="1">IF($C59-P$1&lt;År1,0,O58*(1-VLOOKUP($A59,[1]Hugst!$R$5:$W$9,MATCH(ROUNDUP((P$1)/10,0)*10,[1]Hugst!$R$4:$W$4,0))))</f>
        <v>0</v>
      </c>
      <c r="Q59" s="168">
        <f ca="1">IF($C59-Q$1&lt;År1,0,P58*(1-VLOOKUP($A59,[1]Hugst!$R$5:$W$9,MATCH(ROUNDUP((Q$1)/10,0)*10,[1]Hugst!$R$4:$W$4,0))))</f>
        <v>0</v>
      </c>
      <c r="R59" s="168">
        <f ca="1">IF($C59-R$1&lt;År1,0,Q58*(1-VLOOKUP($A59,[1]Hugst!$R$5:$W$9,MATCH(ROUNDUP((R$1)/10,0)*10,[1]Hugst!$R$4:$W$4,0))))</f>
        <v>0</v>
      </c>
      <c r="S59" s="168">
        <f ca="1">IF($C59-S$1&lt;År1,0,R58*(1-VLOOKUP($A59,[1]Hugst!$R$5:$W$9,MATCH(ROUNDUP((S$1)/10,0)*10,[1]Hugst!$R$4:$W$4,0))))</f>
        <v>0</v>
      </c>
      <c r="T59" s="168">
        <f ca="1">IF($C59-T$1&lt;År1,0,S58*(1-VLOOKUP($A59,[1]Hugst!$R$5:$W$9,MATCH(ROUNDUP((T$1)/10,0)*10,[1]Hugst!$R$4:$W$4,0))))</f>
        <v>0</v>
      </c>
      <c r="U59" s="168">
        <f ca="1">IF($C59-U$1&lt;År1,0,T58*(1-VLOOKUP($A59,[1]Hugst!$R$5:$W$9,MATCH(ROUNDUP((U$1)/10,0)*10,[1]Hugst!$R$4:$W$4,0))))</f>
        <v>0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0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8">
        <f ca="1">IF($C60-G$1&lt;År1,0,F59*(1-VLOOKUP($A60,[1]Hugst!$R$5:$W$9,MATCH(ROUNDUP((G$1)/10,0)*10,[1]Hugst!$R$4:$W$4,0))))</f>
        <v>0</v>
      </c>
      <c r="H60" s="168">
        <f ca="1">IF($C60-H$1&lt;År1,0,G59*(1-VLOOKUP($A60,[1]Hugst!$R$5:$W$9,MATCH(ROUNDUP((H$1)/10,0)*10,[1]Hugst!$R$4:$W$4,0))))</f>
        <v>0</v>
      </c>
      <c r="I60" s="168">
        <f ca="1">IF($C60-I$1&lt;År1,0,H59*(1-VLOOKUP($A60,[1]Hugst!$R$5:$W$9,MATCH(ROUNDUP((I$1)/10,0)*10,[1]Hugst!$R$4:$W$4,0))))</f>
        <v>0</v>
      </c>
      <c r="J60" s="168">
        <f ca="1">IF($C60-J$1&lt;År1,0,I59*(1-VLOOKUP($A60,[1]Hugst!$R$5:$W$9,MATCH(ROUNDUP((J$1)/10,0)*10,[1]Hugst!$R$4:$W$4,0))))</f>
        <v>0</v>
      </c>
      <c r="K60" s="168">
        <f ca="1">IF($C60-K$1&lt;År1,0,J59*(1-VLOOKUP($A60,[1]Hugst!$R$5:$W$9,MATCH(ROUNDUP((K$1)/10,0)*10,[1]Hugst!$R$4:$W$4,0))))</f>
        <v>0</v>
      </c>
      <c r="L60" s="168">
        <f ca="1">IF($C60-L$1&lt;År1,0,K59*(1-VLOOKUP($A60,[1]Hugst!$R$5:$W$9,MATCH(ROUNDUP((L$1)/10,0)*10,[1]Hugst!$R$4:$W$4,0))))</f>
        <v>0</v>
      </c>
      <c r="M60" s="168">
        <f ca="1">IF($C60-M$1&lt;År1,0,L59*(1-VLOOKUP($A60,[1]Hugst!$R$5:$W$9,MATCH(ROUNDUP((M$1)/10,0)*10,[1]Hugst!$R$4:$W$4,0))))</f>
        <v>0</v>
      </c>
      <c r="N60" s="168">
        <f ca="1">IF($C60-N$1&lt;År1,0,M59*(1-VLOOKUP($A60,[1]Hugst!$R$5:$W$9,MATCH(ROUNDUP((N$1)/10,0)*10,[1]Hugst!$R$4:$W$4,0))))</f>
        <v>0</v>
      </c>
      <c r="O60" s="168">
        <f ca="1">IF($C60-O$1&lt;År1,0,N59*(1-VLOOKUP($A60,[1]Hugst!$R$5:$W$9,MATCH(ROUNDUP((O$1)/10,0)*10,[1]Hugst!$R$4:$W$4,0))))</f>
        <v>0</v>
      </c>
      <c r="P60" s="168">
        <f ca="1">IF($C60-P$1&lt;År1,0,O59*(1-VLOOKUP($A60,[1]Hugst!$R$5:$W$9,MATCH(ROUNDUP((P$1)/10,0)*10,[1]Hugst!$R$4:$W$4,0))))</f>
        <v>0</v>
      </c>
      <c r="Q60" s="168">
        <f ca="1">IF($C60-Q$1&lt;År1,0,P59*(1-VLOOKUP($A60,[1]Hugst!$R$5:$W$9,MATCH(ROUNDUP((Q$1)/10,0)*10,[1]Hugst!$R$4:$W$4,0))))</f>
        <v>0</v>
      </c>
      <c r="R60" s="168">
        <f ca="1">IF($C60-R$1&lt;År1,0,Q59*(1-VLOOKUP($A60,[1]Hugst!$R$5:$W$9,MATCH(ROUNDUP((R$1)/10,0)*10,[1]Hugst!$R$4:$W$4,0))))</f>
        <v>0</v>
      </c>
      <c r="S60" s="168">
        <f ca="1">IF($C60-S$1&lt;År1,0,R59*(1-VLOOKUP($A60,[1]Hugst!$R$5:$W$9,MATCH(ROUNDUP((S$1)/10,0)*10,[1]Hugst!$R$4:$W$4,0))))</f>
        <v>0</v>
      </c>
      <c r="T60" s="168">
        <f ca="1">IF($C60-T$1&lt;År1,0,S59*(1-VLOOKUP($A60,[1]Hugst!$R$5:$W$9,MATCH(ROUNDUP((T$1)/10,0)*10,[1]Hugst!$R$4:$W$4,0))))</f>
        <v>0</v>
      </c>
      <c r="U60" s="168">
        <f ca="1">IF($C60-U$1&lt;År1,0,T59*(1-VLOOKUP($A60,[1]Hugst!$R$5:$W$9,MATCH(ROUNDUP((U$1)/10,0)*10,[1]Hugst!$R$4:$W$4,0))))</f>
        <v>0</v>
      </c>
      <c r="V60" s="168">
        <f ca="1">IF($C60-V$1&lt;År1,0,U59*(1-VLOOKUP($A60,[1]Hugst!$R$5:$W$9,MATCH(ROUNDUP((V$1)/10,0)*10,[1]Hugst!$R$4:$W$4,0))))</f>
        <v>0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0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8">
        <f ca="1">IF($C61-G$1&lt;År1,0,F60*(1-VLOOKUP($A61,[1]Hugst!$R$5:$W$9,MATCH(ROUNDUP((G$1)/10,0)*10,[1]Hugst!$R$4:$W$4,0))))</f>
        <v>0</v>
      </c>
      <c r="H61" s="168">
        <f ca="1">IF($C61-H$1&lt;År1,0,G60*(1-VLOOKUP($A61,[1]Hugst!$R$5:$W$9,MATCH(ROUNDUP((H$1)/10,0)*10,[1]Hugst!$R$4:$W$4,0))))</f>
        <v>0</v>
      </c>
      <c r="I61" s="168">
        <f ca="1">IF($C61-I$1&lt;År1,0,H60*(1-VLOOKUP($A61,[1]Hugst!$R$5:$W$9,MATCH(ROUNDUP((I$1)/10,0)*10,[1]Hugst!$R$4:$W$4,0))))</f>
        <v>0</v>
      </c>
      <c r="J61" s="168">
        <f ca="1">IF($C61-J$1&lt;År1,0,I60*(1-VLOOKUP($A61,[1]Hugst!$R$5:$W$9,MATCH(ROUNDUP((J$1)/10,0)*10,[1]Hugst!$R$4:$W$4,0))))</f>
        <v>0</v>
      </c>
      <c r="K61" s="168">
        <f ca="1">IF($C61-K$1&lt;År1,0,J60*(1-VLOOKUP($A61,[1]Hugst!$R$5:$W$9,MATCH(ROUNDUP((K$1)/10,0)*10,[1]Hugst!$R$4:$W$4,0))))</f>
        <v>0</v>
      </c>
      <c r="L61" s="168">
        <f ca="1">IF($C61-L$1&lt;År1,0,K60*(1-VLOOKUP($A61,[1]Hugst!$R$5:$W$9,MATCH(ROUNDUP((L$1)/10,0)*10,[1]Hugst!$R$4:$W$4,0))))</f>
        <v>0</v>
      </c>
      <c r="M61" s="168">
        <f ca="1">IF($C61-M$1&lt;År1,0,L60*(1-VLOOKUP($A61,[1]Hugst!$R$5:$W$9,MATCH(ROUNDUP((M$1)/10,0)*10,[1]Hugst!$R$4:$W$4,0))))</f>
        <v>0</v>
      </c>
      <c r="N61" s="168">
        <f ca="1">IF($C61-N$1&lt;År1,0,M60*(1-VLOOKUP($A61,[1]Hugst!$R$5:$W$9,MATCH(ROUNDUP((N$1)/10,0)*10,[1]Hugst!$R$4:$W$4,0))))</f>
        <v>0</v>
      </c>
      <c r="O61" s="168">
        <f ca="1">IF($C61-O$1&lt;År1,0,N60*(1-VLOOKUP($A61,[1]Hugst!$R$5:$W$9,MATCH(ROUNDUP((O$1)/10,0)*10,[1]Hugst!$R$4:$W$4,0))))</f>
        <v>0</v>
      </c>
      <c r="P61" s="168">
        <f ca="1">IF($C61-P$1&lt;År1,0,O60*(1-VLOOKUP($A61,[1]Hugst!$R$5:$W$9,MATCH(ROUNDUP((P$1)/10,0)*10,[1]Hugst!$R$4:$W$4,0))))</f>
        <v>0</v>
      </c>
      <c r="Q61" s="168">
        <f ca="1">IF($C61-Q$1&lt;År1,0,P60*(1-VLOOKUP($A61,[1]Hugst!$R$5:$W$9,MATCH(ROUNDUP((Q$1)/10,0)*10,[1]Hugst!$R$4:$W$4,0))))</f>
        <v>0</v>
      </c>
      <c r="R61" s="168">
        <f ca="1">IF($C61-R$1&lt;År1,0,Q60*(1-VLOOKUP($A61,[1]Hugst!$R$5:$W$9,MATCH(ROUNDUP((R$1)/10,0)*10,[1]Hugst!$R$4:$W$4,0))))</f>
        <v>0</v>
      </c>
      <c r="S61" s="168">
        <f ca="1">IF($C61-S$1&lt;År1,0,R60*(1-VLOOKUP($A61,[1]Hugst!$R$5:$W$9,MATCH(ROUNDUP((S$1)/10,0)*10,[1]Hugst!$R$4:$W$4,0))))</f>
        <v>0</v>
      </c>
      <c r="T61" s="168">
        <f ca="1">IF($C61-T$1&lt;År1,0,S60*(1-VLOOKUP($A61,[1]Hugst!$R$5:$W$9,MATCH(ROUNDUP((T$1)/10,0)*10,[1]Hugst!$R$4:$W$4,0))))</f>
        <v>0</v>
      </c>
      <c r="U61" s="168">
        <f ca="1">IF($C61-U$1&lt;År1,0,T60*(1-VLOOKUP($A61,[1]Hugst!$R$5:$W$9,MATCH(ROUNDUP((U$1)/10,0)*10,[1]Hugst!$R$4:$W$4,0))))</f>
        <v>0</v>
      </c>
      <c r="V61" s="168">
        <f ca="1">IF($C61-V$1&lt;År1,0,U60*(1-VLOOKUP($A61,[1]Hugst!$R$5:$W$9,MATCH(ROUNDUP((V$1)/10,0)*10,[1]Hugst!$R$4:$W$4,0))))</f>
        <v>0</v>
      </c>
      <c r="W61" s="168">
        <f ca="1">IF($C61-W$1&lt;År1,0,V60*(1-VLOOKUP($A61,[1]Hugst!$R$5:$W$9,MATCH(ROUNDUP((W$1)/10,0)*10,[1]Hugst!$R$4:$W$4,0))))</f>
        <v>0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0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8">
        <f ca="1">IF($C62-G$1&lt;År1,0,F61*(1-VLOOKUP($A62,[1]Hugst!$R$5:$W$9,MATCH(ROUNDUP((G$1)/10,0)*10,[1]Hugst!$R$4:$W$4,0))))</f>
        <v>0</v>
      </c>
      <c r="H62" s="168">
        <f ca="1">IF($C62-H$1&lt;År1,0,G61*(1-VLOOKUP($A62,[1]Hugst!$R$5:$W$9,MATCH(ROUNDUP((H$1)/10,0)*10,[1]Hugst!$R$4:$W$4,0))))</f>
        <v>0</v>
      </c>
      <c r="I62" s="168">
        <f ca="1">IF($C62-I$1&lt;År1,0,H61*(1-VLOOKUP($A62,[1]Hugst!$R$5:$W$9,MATCH(ROUNDUP((I$1)/10,0)*10,[1]Hugst!$R$4:$W$4,0))))</f>
        <v>0</v>
      </c>
      <c r="J62" s="168">
        <f ca="1">IF($C62-J$1&lt;År1,0,I61*(1-VLOOKUP($A62,[1]Hugst!$R$5:$W$9,MATCH(ROUNDUP((J$1)/10,0)*10,[1]Hugst!$R$4:$W$4,0))))</f>
        <v>0</v>
      </c>
      <c r="K62" s="168">
        <f ca="1">IF($C62-K$1&lt;År1,0,J61*(1-VLOOKUP($A62,[1]Hugst!$R$5:$W$9,MATCH(ROUNDUP((K$1)/10,0)*10,[1]Hugst!$R$4:$W$4,0))))</f>
        <v>0</v>
      </c>
      <c r="L62" s="168">
        <f ca="1">IF($C62-L$1&lt;År1,0,K61*(1-VLOOKUP($A62,[1]Hugst!$R$5:$W$9,MATCH(ROUNDUP((L$1)/10,0)*10,[1]Hugst!$R$4:$W$4,0))))</f>
        <v>0</v>
      </c>
      <c r="M62" s="168">
        <f ca="1">IF($C62-M$1&lt;År1,0,L61*(1-VLOOKUP($A62,[1]Hugst!$R$5:$W$9,MATCH(ROUNDUP((M$1)/10,0)*10,[1]Hugst!$R$4:$W$4,0))))</f>
        <v>0</v>
      </c>
      <c r="N62" s="168">
        <f ca="1">IF($C62-N$1&lt;År1,0,M61*(1-VLOOKUP($A62,[1]Hugst!$R$5:$W$9,MATCH(ROUNDUP((N$1)/10,0)*10,[1]Hugst!$R$4:$W$4,0))))</f>
        <v>0</v>
      </c>
      <c r="O62" s="168">
        <f ca="1">IF($C62-O$1&lt;År1,0,N61*(1-VLOOKUP($A62,[1]Hugst!$R$5:$W$9,MATCH(ROUNDUP((O$1)/10,0)*10,[1]Hugst!$R$4:$W$4,0))))</f>
        <v>0</v>
      </c>
      <c r="P62" s="168">
        <f ca="1">IF($C62-P$1&lt;År1,0,O61*(1-VLOOKUP($A62,[1]Hugst!$R$5:$W$9,MATCH(ROUNDUP((P$1)/10,0)*10,[1]Hugst!$R$4:$W$4,0))))</f>
        <v>0</v>
      </c>
      <c r="Q62" s="168">
        <f ca="1">IF($C62-Q$1&lt;År1,0,P61*(1-VLOOKUP($A62,[1]Hugst!$R$5:$W$9,MATCH(ROUNDUP((Q$1)/10,0)*10,[1]Hugst!$R$4:$W$4,0))))</f>
        <v>0</v>
      </c>
      <c r="R62" s="168">
        <f ca="1">IF($C62-R$1&lt;År1,0,Q61*(1-VLOOKUP($A62,[1]Hugst!$R$5:$W$9,MATCH(ROUNDUP((R$1)/10,0)*10,[1]Hugst!$R$4:$W$4,0))))</f>
        <v>0</v>
      </c>
      <c r="S62" s="168">
        <f ca="1">IF($C62-S$1&lt;År1,0,R61*(1-VLOOKUP($A62,[1]Hugst!$R$5:$W$9,MATCH(ROUNDUP((S$1)/10,0)*10,[1]Hugst!$R$4:$W$4,0))))</f>
        <v>0</v>
      </c>
      <c r="T62" s="168">
        <f ca="1">IF($C62-T$1&lt;År1,0,S61*(1-VLOOKUP($A62,[1]Hugst!$R$5:$W$9,MATCH(ROUNDUP((T$1)/10,0)*10,[1]Hugst!$R$4:$W$4,0))))</f>
        <v>0</v>
      </c>
      <c r="U62" s="168">
        <f ca="1">IF($C62-U$1&lt;År1,0,T61*(1-VLOOKUP($A62,[1]Hugst!$R$5:$W$9,MATCH(ROUNDUP((U$1)/10,0)*10,[1]Hugst!$R$4:$W$4,0))))</f>
        <v>0</v>
      </c>
      <c r="V62" s="168">
        <f ca="1">IF($C62-V$1&lt;År1,0,U61*(1-VLOOKUP($A62,[1]Hugst!$R$5:$W$9,MATCH(ROUNDUP((V$1)/10,0)*10,[1]Hugst!$R$4:$W$4,0))))</f>
        <v>0</v>
      </c>
      <c r="W62" s="168">
        <f ca="1">IF($C62-W$1&lt;År1,0,V61*(1-VLOOKUP($A62,[1]Hugst!$R$5:$W$9,MATCH(ROUNDUP((W$1)/10,0)*10,[1]Hugst!$R$4:$W$4,0))))</f>
        <v>0</v>
      </c>
      <c r="X62" s="168">
        <f ca="1">IF($C62-X$1&lt;År1,0,W61*(1-VLOOKUP($A62,[1]Hugst!$R$5:$W$9,MATCH(ROUNDUP((X$1)/10,0)*10,[1]Hugst!$R$4:$W$4,0))))</f>
        <v>0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0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8">
        <f ca="1">IF($C63-G$1&lt;År1,0,F62*(1-VLOOKUP($A63,[1]Hugst!$R$5:$W$9,MATCH(ROUNDUP((G$1)/10,0)*10,[1]Hugst!$R$4:$W$4,0))))</f>
        <v>0</v>
      </c>
      <c r="H63" s="168">
        <f ca="1">IF($C63-H$1&lt;År1,0,G62*(1-VLOOKUP($A63,[1]Hugst!$R$5:$W$9,MATCH(ROUNDUP((H$1)/10,0)*10,[1]Hugst!$R$4:$W$4,0))))</f>
        <v>0</v>
      </c>
      <c r="I63" s="168">
        <f ca="1">IF($C63-I$1&lt;År1,0,H62*(1-VLOOKUP($A63,[1]Hugst!$R$5:$W$9,MATCH(ROUNDUP((I$1)/10,0)*10,[1]Hugst!$R$4:$W$4,0))))</f>
        <v>0</v>
      </c>
      <c r="J63" s="168">
        <f ca="1">IF($C63-J$1&lt;År1,0,I62*(1-VLOOKUP($A63,[1]Hugst!$R$5:$W$9,MATCH(ROUNDUP((J$1)/10,0)*10,[1]Hugst!$R$4:$W$4,0))))</f>
        <v>0</v>
      </c>
      <c r="K63" s="168">
        <f ca="1">IF($C63-K$1&lt;År1,0,J62*(1-VLOOKUP($A63,[1]Hugst!$R$5:$W$9,MATCH(ROUNDUP((K$1)/10,0)*10,[1]Hugst!$R$4:$W$4,0))))</f>
        <v>0</v>
      </c>
      <c r="L63" s="168">
        <f ca="1">IF($C63-L$1&lt;År1,0,K62*(1-VLOOKUP($A63,[1]Hugst!$R$5:$W$9,MATCH(ROUNDUP((L$1)/10,0)*10,[1]Hugst!$R$4:$W$4,0))))</f>
        <v>0</v>
      </c>
      <c r="M63" s="168">
        <f ca="1">IF($C63-M$1&lt;År1,0,L62*(1-VLOOKUP($A63,[1]Hugst!$R$5:$W$9,MATCH(ROUNDUP((M$1)/10,0)*10,[1]Hugst!$R$4:$W$4,0))))</f>
        <v>0</v>
      </c>
      <c r="N63" s="168">
        <f ca="1">IF($C63-N$1&lt;År1,0,M62*(1-VLOOKUP($A63,[1]Hugst!$R$5:$W$9,MATCH(ROUNDUP((N$1)/10,0)*10,[1]Hugst!$R$4:$W$4,0))))</f>
        <v>0</v>
      </c>
      <c r="O63" s="168">
        <f ca="1">IF($C63-O$1&lt;År1,0,N62*(1-VLOOKUP($A63,[1]Hugst!$R$5:$W$9,MATCH(ROUNDUP((O$1)/10,0)*10,[1]Hugst!$R$4:$W$4,0))))</f>
        <v>0</v>
      </c>
      <c r="P63" s="168">
        <f ca="1">IF($C63-P$1&lt;År1,0,O62*(1-VLOOKUP($A63,[1]Hugst!$R$5:$W$9,MATCH(ROUNDUP((P$1)/10,0)*10,[1]Hugst!$R$4:$W$4,0))))</f>
        <v>0</v>
      </c>
      <c r="Q63" s="168">
        <f ca="1">IF($C63-Q$1&lt;År1,0,P62*(1-VLOOKUP($A63,[1]Hugst!$R$5:$W$9,MATCH(ROUNDUP((Q$1)/10,0)*10,[1]Hugst!$R$4:$W$4,0))))</f>
        <v>0</v>
      </c>
      <c r="R63" s="168">
        <f ca="1">IF($C63-R$1&lt;År1,0,Q62*(1-VLOOKUP($A63,[1]Hugst!$R$5:$W$9,MATCH(ROUNDUP((R$1)/10,0)*10,[1]Hugst!$R$4:$W$4,0))))</f>
        <v>0</v>
      </c>
      <c r="S63" s="168">
        <f ca="1">IF($C63-S$1&lt;År1,0,R62*(1-VLOOKUP($A63,[1]Hugst!$R$5:$W$9,MATCH(ROUNDUP((S$1)/10,0)*10,[1]Hugst!$R$4:$W$4,0))))</f>
        <v>0</v>
      </c>
      <c r="T63" s="168">
        <f ca="1">IF($C63-T$1&lt;År1,0,S62*(1-VLOOKUP($A63,[1]Hugst!$R$5:$W$9,MATCH(ROUNDUP((T$1)/10,0)*10,[1]Hugst!$R$4:$W$4,0))))</f>
        <v>0</v>
      </c>
      <c r="U63" s="168">
        <f ca="1">IF($C63-U$1&lt;År1,0,T62*(1-VLOOKUP($A63,[1]Hugst!$R$5:$W$9,MATCH(ROUNDUP((U$1)/10,0)*10,[1]Hugst!$R$4:$W$4,0))))</f>
        <v>0</v>
      </c>
      <c r="V63" s="168">
        <f ca="1">IF($C63-V$1&lt;År1,0,U62*(1-VLOOKUP($A63,[1]Hugst!$R$5:$W$9,MATCH(ROUNDUP((V$1)/10,0)*10,[1]Hugst!$R$4:$W$4,0))))</f>
        <v>0</v>
      </c>
      <c r="W63" s="168">
        <f ca="1">IF($C63-W$1&lt;År1,0,V62*(1-VLOOKUP($A63,[1]Hugst!$R$5:$W$9,MATCH(ROUNDUP((W$1)/10,0)*10,[1]Hugst!$R$4:$W$4,0))))</f>
        <v>0</v>
      </c>
      <c r="X63" s="168">
        <f ca="1">IF($C63-X$1&lt;År1,0,W62*(1-VLOOKUP($A63,[1]Hugst!$R$5:$W$9,MATCH(ROUNDUP((X$1)/10,0)*10,[1]Hugst!$R$4:$W$4,0))))</f>
        <v>0</v>
      </c>
      <c r="Y63" s="168">
        <f ca="1">IF($C63-Y$1&lt;År1,0,X62*(1-VLOOKUP($A63,[1]Hugst!$R$5:$W$9,MATCH(ROUNDUP((Y$1)/10,0)*10,[1]Hugst!$R$4:$W$4,0))))</f>
        <v>0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0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2173.3499999999767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7228.5082359884873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2162.4832499999902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7217.6414859885008</v>
      </c>
      <c r="G65" s="168">
        <f ca="1">IF($C65-G$1&lt;År1,0,F64*(1-VLOOKUP($A65,[1]Hugst!$R$5:$W$9,MATCH(ROUNDUP((G$1)/10,0)*10,[1]Hugst!$R$4:$W$4,0))))</f>
        <v>7228.5082359884873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2151.6708337500459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7206.8290697385564</v>
      </c>
      <c r="G66" s="168">
        <f ca="1">IF($C66-G$1&lt;År1,0,F65*(1-VLOOKUP($A66,[1]Hugst!$R$5:$W$9,MATCH(ROUNDUP((G$1)/10,0)*10,[1]Hugst!$R$4:$W$4,0))))</f>
        <v>7217.6414859885008</v>
      </c>
      <c r="H66" s="168">
        <f ca="1">IF($C66-H$1&lt;År1,0,G65*(1-VLOOKUP($A66,[1]Hugst!$R$5:$W$9,MATCH(ROUNDUP((H$1)/10,0)*10,[1]Hugst!$R$4:$W$4,0))))</f>
        <v>7228.5082359884873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2140.9124795811949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7196.0707155697055</v>
      </c>
      <c r="G67" s="168">
        <f ca="1">IF($C67-G$1&lt;År1,0,F66*(1-VLOOKUP($A67,[1]Hugst!$R$5:$W$9,MATCH(ROUNDUP((G$1)/10,0)*10,[1]Hugst!$R$4:$W$4,0))))</f>
        <v>7206.8290697385564</v>
      </c>
      <c r="H67" s="168">
        <f ca="1">IF($C67-H$1&lt;År1,0,G66*(1-VLOOKUP($A67,[1]Hugst!$R$5:$W$9,MATCH(ROUNDUP((H$1)/10,0)*10,[1]Hugst!$R$4:$W$4,0))))</f>
        <v>7217.6414859885008</v>
      </c>
      <c r="I67" s="168">
        <f ca="1">IF($C67-I$1&lt;År1,0,H66*(1-VLOOKUP($A67,[1]Hugst!$R$5:$W$9,MATCH(ROUNDUP((I$1)/10,0)*10,[1]Hugst!$R$4:$W$4,0))))</f>
        <v>7228.5082359884873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2130.2079171833466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7185.3661531718571</v>
      </c>
      <c r="G68" s="168">
        <f ca="1">IF($C68-G$1&lt;År1,0,F67*(1-VLOOKUP($A68,[1]Hugst!$R$5:$W$9,MATCH(ROUNDUP((G$1)/10,0)*10,[1]Hugst!$R$4:$W$4,0))))</f>
        <v>7196.0707155697055</v>
      </c>
      <c r="H68" s="168">
        <f ca="1">IF($C68-H$1&lt;År1,0,G67*(1-VLOOKUP($A68,[1]Hugst!$R$5:$W$9,MATCH(ROUNDUP((H$1)/10,0)*10,[1]Hugst!$R$4:$W$4,0))))</f>
        <v>7206.8290697385564</v>
      </c>
      <c r="I68" s="168">
        <f ca="1">IF($C68-I$1&lt;År1,0,H67*(1-VLOOKUP($A68,[1]Hugst!$R$5:$W$9,MATCH(ROUNDUP((I$1)/10,0)*10,[1]Hugst!$R$4:$W$4,0))))</f>
        <v>7217.6414859885008</v>
      </c>
      <c r="J68" s="168">
        <f ca="1">IF($C68-J$1&lt;År1,0,I67*(1-VLOOKUP($A68,[1]Hugst!$R$5:$W$9,MATCH(ROUNDUP((J$1)/10,0)*10,[1]Hugst!$R$4:$W$4,0))))</f>
        <v>7228.5082359884873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2119.5568775974098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7174.7151135859203</v>
      </c>
      <c r="G69" s="168">
        <f ca="1">IF($C69-G$1&lt;År1,0,F68*(1-VLOOKUP($A69,[1]Hugst!$R$5:$W$9,MATCH(ROUNDUP((G$1)/10,0)*10,[1]Hugst!$R$4:$W$4,0))))</f>
        <v>7185.3661531718571</v>
      </c>
      <c r="H69" s="168">
        <f ca="1">IF($C69-H$1&lt;År1,0,G68*(1-VLOOKUP($A69,[1]Hugst!$R$5:$W$9,MATCH(ROUNDUP((H$1)/10,0)*10,[1]Hugst!$R$4:$W$4,0))))</f>
        <v>7196.0707155697055</v>
      </c>
      <c r="I69" s="168">
        <f ca="1">IF($C69-I$1&lt;År1,0,H68*(1-VLOOKUP($A69,[1]Hugst!$R$5:$W$9,MATCH(ROUNDUP((I$1)/10,0)*10,[1]Hugst!$R$4:$W$4,0))))</f>
        <v>7206.8290697385564</v>
      </c>
      <c r="J69" s="168">
        <f ca="1">IF($C69-J$1&lt;År1,0,I68*(1-VLOOKUP($A69,[1]Hugst!$R$5:$W$9,MATCH(ROUNDUP((J$1)/10,0)*10,[1]Hugst!$R$4:$W$4,0))))</f>
        <v>7217.6414859885008</v>
      </c>
      <c r="K69" s="168">
        <f ca="1">IF($C69-K$1&lt;År1,0,J68*(1-VLOOKUP($A69,[1]Hugst!$R$5:$W$9,MATCH(ROUNDUP((K$1)/10,0)*10,[1]Hugst!$R$4:$W$4,0))))</f>
        <v>7228.5082359884873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2108.9590932094725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7164.1173291979831</v>
      </c>
      <c r="G70" s="168">
        <f ca="1">IF($C70-G$1&lt;År1,0,F69*(1-VLOOKUP($A70,[1]Hugst!$R$5:$W$9,MATCH(ROUNDUP((G$1)/10,0)*10,[1]Hugst!$R$4:$W$4,0))))</f>
        <v>7174.7151135859203</v>
      </c>
      <c r="H70" s="168">
        <f ca="1">IF($C70-H$1&lt;År1,0,G69*(1-VLOOKUP($A70,[1]Hugst!$R$5:$W$9,MATCH(ROUNDUP((H$1)/10,0)*10,[1]Hugst!$R$4:$W$4,0))))</f>
        <v>7185.3661531718571</v>
      </c>
      <c r="I70" s="168">
        <f ca="1">IF($C70-I$1&lt;År1,0,H69*(1-VLOOKUP($A70,[1]Hugst!$R$5:$W$9,MATCH(ROUNDUP((I$1)/10,0)*10,[1]Hugst!$R$4:$W$4,0))))</f>
        <v>7196.0707155697055</v>
      </c>
      <c r="J70" s="168">
        <f ca="1">IF($C70-J$1&lt;År1,0,I69*(1-VLOOKUP($A70,[1]Hugst!$R$5:$W$9,MATCH(ROUNDUP((J$1)/10,0)*10,[1]Hugst!$R$4:$W$4,0))))</f>
        <v>7206.8290697385564</v>
      </c>
      <c r="K70" s="168">
        <f ca="1">IF($C70-K$1&lt;År1,0,J69*(1-VLOOKUP($A70,[1]Hugst!$R$5:$W$9,MATCH(ROUNDUP((K$1)/10,0)*10,[1]Hugst!$R$4:$W$4,0))))</f>
        <v>7217.6414859885008</v>
      </c>
      <c r="L70" s="168">
        <f ca="1">IF($C70-L$1&lt;År1,0,K69*(1-VLOOKUP($A70,[1]Hugst!$R$5:$W$9,MATCH(ROUNDUP((L$1)/10,0)*10,[1]Hugst!$R$4:$W$4,0))))</f>
        <v>7228.5082359884873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2098.4142977434094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7153.57253373192</v>
      </c>
      <c r="G71" s="168">
        <f ca="1">IF($C71-G$1&lt;År1,0,F70*(1-VLOOKUP($A71,[1]Hugst!$R$5:$W$9,MATCH(ROUNDUP((G$1)/10,0)*10,[1]Hugst!$R$4:$W$4,0))))</f>
        <v>7164.1173291979831</v>
      </c>
      <c r="H71" s="168">
        <f ca="1">IF($C71-H$1&lt;År1,0,G70*(1-VLOOKUP($A71,[1]Hugst!$R$5:$W$9,MATCH(ROUNDUP((H$1)/10,0)*10,[1]Hugst!$R$4:$W$4,0))))</f>
        <v>7174.7151135859203</v>
      </c>
      <c r="I71" s="168">
        <f ca="1">IF($C71-I$1&lt;År1,0,H70*(1-VLOOKUP($A71,[1]Hugst!$R$5:$W$9,MATCH(ROUNDUP((I$1)/10,0)*10,[1]Hugst!$R$4:$W$4,0))))</f>
        <v>7185.3661531718571</v>
      </c>
      <c r="J71" s="168">
        <f ca="1">IF($C71-J$1&lt;År1,0,I70*(1-VLOOKUP($A71,[1]Hugst!$R$5:$W$9,MATCH(ROUNDUP((J$1)/10,0)*10,[1]Hugst!$R$4:$W$4,0))))</f>
        <v>7196.0707155697055</v>
      </c>
      <c r="K71" s="168">
        <f ca="1">IF($C71-K$1&lt;År1,0,J70*(1-VLOOKUP($A71,[1]Hugst!$R$5:$W$9,MATCH(ROUNDUP((K$1)/10,0)*10,[1]Hugst!$R$4:$W$4,0))))</f>
        <v>7206.8290697385564</v>
      </c>
      <c r="L71" s="168">
        <f ca="1">IF($C71-L$1&lt;År1,0,K70*(1-VLOOKUP($A71,[1]Hugst!$R$5:$W$9,MATCH(ROUNDUP((L$1)/10,0)*10,[1]Hugst!$R$4:$W$4,0))))</f>
        <v>7217.6414859885008</v>
      </c>
      <c r="M71" s="168">
        <f ca="1">IF($C71-M$1&lt;År1,0,L70*(1-VLOOKUP($A71,[1]Hugst!$R$5:$W$9,MATCH(ROUNDUP((M$1)/10,0)*10,[1]Hugst!$R$4:$W$4,0))))</f>
        <v>7228.5082359884873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2087.9222262546537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7143.0804622431642</v>
      </c>
      <c r="G72" s="168">
        <f ca="1">IF($C72-G$1&lt;År1,0,F71*(1-VLOOKUP($A72,[1]Hugst!$R$5:$W$9,MATCH(ROUNDUP((G$1)/10,0)*10,[1]Hugst!$R$4:$W$4,0))))</f>
        <v>7153.57253373192</v>
      </c>
      <c r="H72" s="168">
        <f ca="1">IF($C72-H$1&lt;År1,0,G71*(1-VLOOKUP($A72,[1]Hugst!$R$5:$W$9,MATCH(ROUNDUP((H$1)/10,0)*10,[1]Hugst!$R$4:$W$4,0))))</f>
        <v>7164.1173291979831</v>
      </c>
      <c r="I72" s="168">
        <f ca="1">IF($C72-I$1&lt;År1,0,H71*(1-VLOOKUP($A72,[1]Hugst!$R$5:$W$9,MATCH(ROUNDUP((I$1)/10,0)*10,[1]Hugst!$R$4:$W$4,0))))</f>
        <v>7174.7151135859203</v>
      </c>
      <c r="J72" s="168">
        <f ca="1">IF($C72-J$1&lt;År1,0,I71*(1-VLOOKUP($A72,[1]Hugst!$R$5:$W$9,MATCH(ROUNDUP((J$1)/10,0)*10,[1]Hugst!$R$4:$W$4,0))))</f>
        <v>7185.3661531718571</v>
      </c>
      <c r="K72" s="168">
        <f ca="1">IF($C72-K$1&lt;År1,0,J71*(1-VLOOKUP($A72,[1]Hugst!$R$5:$W$9,MATCH(ROUNDUP((K$1)/10,0)*10,[1]Hugst!$R$4:$W$4,0))))</f>
        <v>7196.0707155697055</v>
      </c>
      <c r="L72" s="168">
        <f ca="1">IF($C72-L$1&lt;År1,0,K71*(1-VLOOKUP($A72,[1]Hugst!$R$5:$W$9,MATCH(ROUNDUP((L$1)/10,0)*10,[1]Hugst!$R$4:$W$4,0))))</f>
        <v>7206.8290697385564</v>
      </c>
      <c r="M72" s="168">
        <f ca="1">IF($C72-M$1&lt;År1,0,L71*(1-VLOOKUP($A72,[1]Hugst!$R$5:$W$9,MATCH(ROUNDUP((M$1)/10,0)*10,[1]Hugst!$R$4:$W$4,0))))</f>
        <v>7217.6414859885008</v>
      </c>
      <c r="N72" s="168">
        <f ca="1">IF($C72-N$1&lt;År1,0,M71*(1-VLOOKUP($A72,[1]Hugst!$R$5:$W$9,MATCH(ROUNDUP((N$1)/10,0)*10,[1]Hugst!$R$4:$W$4,0))))</f>
        <v>7228.5082359884873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2077.4826151233865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7132.6408511118971</v>
      </c>
      <c r="G73" s="168">
        <f ca="1">IF($C73-G$1&lt;År1,0,F72*(1-VLOOKUP($A73,[1]Hugst!$R$5:$W$9,MATCH(ROUNDUP((G$1)/10,0)*10,[1]Hugst!$R$4:$W$4,0))))</f>
        <v>7143.0804622431642</v>
      </c>
      <c r="H73" s="168">
        <f ca="1">IF($C73-H$1&lt;År1,0,G72*(1-VLOOKUP($A73,[1]Hugst!$R$5:$W$9,MATCH(ROUNDUP((H$1)/10,0)*10,[1]Hugst!$R$4:$W$4,0))))</f>
        <v>7153.57253373192</v>
      </c>
      <c r="I73" s="168">
        <f ca="1">IF($C73-I$1&lt;År1,0,H72*(1-VLOOKUP($A73,[1]Hugst!$R$5:$W$9,MATCH(ROUNDUP((I$1)/10,0)*10,[1]Hugst!$R$4:$W$4,0))))</f>
        <v>7164.1173291979831</v>
      </c>
      <c r="J73" s="168">
        <f ca="1">IF($C73-J$1&lt;År1,0,I72*(1-VLOOKUP($A73,[1]Hugst!$R$5:$W$9,MATCH(ROUNDUP((J$1)/10,0)*10,[1]Hugst!$R$4:$W$4,0))))</f>
        <v>7174.7151135859203</v>
      </c>
      <c r="K73" s="168">
        <f ca="1">IF($C73-K$1&lt;År1,0,J72*(1-VLOOKUP($A73,[1]Hugst!$R$5:$W$9,MATCH(ROUNDUP((K$1)/10,0)*10,[1]Hugst!$R$4:$W$4,0))))</f>
        <v>7185.3661531718571</v>
      </c>
      <c r="L73" s="168">
        <f ca="1">IF($C73-L$1&lt;År1,0,K72*(1-VLOOKUP($A73,[1]Hugst!$R$5:$W$9,MATCH(ROUNDUP((L$1)/10,0)*10,[1]Hugst!$R$4:$W$4,0))))</f>
        <v>7196.0707155697055</v>
      </c>
      <c r="M73" s="168">
        <f ca="1">IF($C73-M$1&lt;År1,0,L72*(1-VLOOKUP($A73,[1]Hugst!$R$5:$W$9,MATCH(ROUNDUP((M$1)/10,0)*10,[1]Hugst!$R$4:$W$4,0))))</f>
        <v>7206.8290697385564</v>
      </c>
      <c r="N73" s="168">
        <f ca="1">IF($C73-N$1&lt;År1,0,M72*(1-VLOOKUP($A73,[1]Hugst!$R$5:$W$9,MATCH(ROUNDUP((N$1)/10,0)*10,[1]Hugst!$R$4:$W$4,0))))</f>
        <v>7217.6414859885008</v>
      </c>
      <c r="O73" s="168">
        <f ca="1">IF($C73-O$1&lt;År1,0,N72*(1-VLOOKUP($A73,[1]Hugst!$R$5:$W$9,MATCH(ROUNDUP((O$1)/10,0)*10,[1]Hugst!$R$4:$W$4,0))))</f>
        <v>7228.5082359884873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2067.0952020478435</v>
      </c>
      <c r="E74" s="168">
        <f t="shared" ca="1" si="1"/>
        <v>11.026537987097981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7133.279976023452</v>
      </c>
      <c r="G74" s="168">
        <f ca="1">IF($C74-G$1&lt;År1,0,F73*(1-VLOOKUP($A74,[1]Hugst!$R$5:$W$9,MATCH(ROUNDUP((G$1)/10,0)*10,[1]Hugst!$R$4:$W$4,0))))</f>
        <v>7132.6408511118971</v>
      </c>
      <c r="H74" s="168">
        <f ca="1">IF($C74-H$1&lt;År1,0,G73*(1-VLOOKUP($A74,[1]Hugst!$R$5:$W$9,MATCH(ROUNDUP((H$1)/10,0)*10,[1]Hugst!$R$4:$W$4,0))))</f>
        <v>7143.0804622431642</v>
      </c>
      <c r="I74" s="168">
        <f ca="1">IF($C74-I$1&lt;År1,0,H73*(1-VLOOKUP($A74,[1]Hugst!$R$5:$W$9,MATCH(ROUNDUP((I$1)/10,0)*10,[1]Hugst!$R$4:$W$4,0))))</f>
        <v>7153.57253373192</v>
      </c>
      <c r="J74" s="168">
        <f ca="1">IF($C74-J$1&lt;År1,0,I73*(1-VLOOKUP($A74,[1]Hugst!$R$5:$W$9,MATCH(ROUNDUP((J$1)/10,0)*10,[1]Hugst!$R$4:$W$4,0))))</f>
        <v>7164.1173291979831</v>
      </c>
      <c r="K74" s="168">
        <f ca="1">IF($C74-K$1&lt;År1,0,J73*(1-VLOOKUP($A74,[1]Hugst!$R$5:$W$9,MATCH(ROUNDUP((K$1)/10,0)*10,[1]Hugst!$R$4:$W$4,0))))</f>
        <v>7174.7151135859203</v>
      </c>
      <c r="L74" s="168">
        <f ca="1">IF($C74-L$1&lt;År1,0,K73*(1-VLOOKUP($A74,[1]Hugst!$R$5:$W$9,MATCH(ROUNDUP((L$1)/10,0)*10,[1]Hugst!$R$4:$W$4,0))))</f>
        <v>7185.3661531718571</v>
      </c>
      <c r="M74" s="168">
        <f ca="1">IF($C74-M$1&lt;År1,0,L73*(1-VLOOKUP($A74,[1]Hugst!$R$5:$W$9,MATCH(ROUNDUP((M$1)/10,0)*10,[1]Hugst!$R$4:$W$4,0))))</f>
        <v>7196.0707155697055</v>
      </c>
      <c r="N74" s="168">
        <f ca="1">IF($C74-N$1&lt;År1,0,M73*(1-VLOOKUP($A74,[1]Hugst!$R$5:$W$9,MATCH(ROUNDUP((N$1)/10,0)*10,[1]Hugst!$R$4:$W$4,0))))</f>
        <v>7206.8290697385564</v>
      </c>
      <c r="O74" s="168">
        <f ca="1">IF($C74-O$1&lt;År1,0,N73*(1-VLOOKUP($A74,[1]Hugst!$R$5:$W$9,MATCH(ROUNDUP((O$1)/10,0)*10,[1]Hugst!$R$4:$W$4,0))))</f>
        <v>7217.6414859885008</v>
      </c>
      <c r="P74" s="168">
        <f ca="1">IF($C74-P$1&lt;År1,0,O73*(1-VLOOKUP($A74,[1]Hugst!$R$5:$W$9,MATCH(ROUNDUP((P$1)/10,0)*10,[1]Hugst!$R$4:$W$4,0))))</f>
        <v>7217.4816980013857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2056.7597260375042</v>
      </c>
      <c r="E75" s="168">
        <f t="shared" ca="1" si="1"/>
        <v>22.019679433200508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7133.937641459217</v>
      </c>
      <c r="G75" s="168">
        <f ca="1">IF($C75-G$1&lt;År1,0,F74*(1-VLOOKUP($A75,[1]Hugst!$R$5:$W$9,MATCH(ROUNDUP((G$1)/10,0)*10,[1]Hugst!$R$4:$W$4,0))))</f>
        <v>7133.279976023452</v>
      </c>
      <c r="H75" s="168">
        <f ca="1">IF($C75-H$1&lt;År1,0,G74*(1-VLOOKUP($A75,[1]Hugst!$R$5:$W$9,MATCH(ROUNDUP((H$1)/10,0)*10,[1]Hugst!$R$4:$W$4,0))))</f>
        <v>7132.6408511118971</v>
      </c>
      <c r="I75" s="168">
        <f ca="1">IF($C75-I$1&lt;År1,0,H74*(1-VLOOKUP($A75,[1]Hugst!$R$5:$W$9,MATCH(ROUNDUP((I$1)/10,0)*10,[1]Hugst!$R$4:$W$4,0))))</f>
        <v>7143.0804622431642</v>
      </c>
      <c r="J75" s="168">
        <f ca="1">IF($C75-J$1&lt;År1,0,I74*(1-VLOOKUP($A75,[1]Hugst!$R$5:$W$9,MATCH(ROUNDUP((J$1)/10,0)*10,[1]Hugst!$R$4:$W$4,0))))</f>
        <v>7153.57253373192</v>
      </c>
      <c r="K75" s="168">
        <f ca="1">IF($C75-K$1&lt;År1,0,J74*(1-VLOOKUP($A75,[1]Hugst!$R$5:$W$9,MATCH(ROUNDUP((K$1)/10,0)*10,[1]Hugst!$R$4:$W$4,0))))</f>
        <v>7164.1173291979831</v>
      </c>
      <c r="L75" s="168">
        <f ca="1">IF($C75-L$1&lt;År1,0,K74*(1-VLOOKUP($A75,[1]Hugst!$R$5:$W$9,MATCH(ROUNDUP((L$1)/10,0)*10,[1]Hugst!$R$4:$W$4,0))))</f>
        <v>7174.7151135859203</v>
      </c>
      <c r="M75" s="168">
        <f ca="1">IF($C75-M$1&lt;År1,0,L74*(1-VLOOKUP($A75,[1]Hugst!$R$5:$W$9,MATCH(ROUNDUP((M$1)/10,0)*10,[1]Hugst!$R$4:$W$4,0))))</f>
        <v>7185.3661531718571</v>
      </c>
      <c r="N75" s="168">
        <f ca="1">IF($C75-N$1&lt;År1,0,M74*(1-VLOOKUP($A75,[1]Hugst!$R$5:$W$9,MATCH(ROUNDUP((N$1)/10,0)*10,[1]Hugst!$R$4:$W$4,0))))</f>
        <v>7196.0707155697055</v>
      </c>
      <c r="O75" s="168">
        <f ca="1">IF($C75-O$1&lt;År1,0,N74*(1-VLOOKUP($A75,[1]Hugst!$R$5:$W$9,MATCH(ROUNDUP((O$1)/10,0)*10,[1]Hugst!$R$4:$W$4,0))))</f>
        <v>7206.8290697385564</v>
      </c>
      <c r="P75" s="168">
        <f ca="1">IF($C75-P$1&lt;År1,0,O74*(1-VLOOKUP($A75,[1]Hugst!$R$5:$W$9,MATCH(ROUNDUP((P$1)/10,0)*10,[1]Hugst!$R$4:$W$4,0))))</f>
        <v>7206.6315243997042</v>
      </c>
      <c r="Q75" s="168">
        <f ca="1">IF($C75-Q$1&lt;År1,0,P74*(1-VLOOKUP($A75,[1]Hugst!$R$5:$W$9,MATCH(ROUNDUP((Q$1)/10,0)*10,[1]Hugst!$R$4:$W$4,0))))</f>
        <v>7206.4719801569763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2046.4759274073294</v>
      </c>
      <c r="E76" s="168">
        <f t="shared" ca="1" si="1"/>
        <v>32.979558164181071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7134.6137215600229</v>
      </c>
      <c r="G76" s="168">
        <f ca="1">IF($C76-G$1&lt;År1,0,F75*(1-VLOOKUP($A76,[1]Hugst!$R$5:$W$9,MATCH(ROUNDUP((G$1)/10,0)*10,[1]Hugst!$R$4:$W$4,0))))</f>
        <v>7133.937641459217</v>
      </c>
      <c r="H76" s="168">
        <f ca="1">IF($C76-H$1&lt;År1,0,G75*(1-VLOOKUP($A76,[1]Hugst!$R$5:$W$9,MATCH(ROUNDUP((H$1)/10,0)*10,[1]Hugst!$R$4:$W$4,0))))</f>
        <v>7133.279976023452</v>
      </c>
      <c r="I76" s="168">
        <f ca="1">IF($C76-I$1&lt;År1,0,H75*(1-VLOOKUP($A76,[1]Hugst!$R$5:$W$9,MATCH(ROUNDUP((I$1)/10,0)*10,[1]Hugst!$R$4:$W$4,0))))</f>
        <v>7132.6408511118971</v>
      </c>
      <c r="J76" s="168">
        <f ca="1">IF($C76-J$1&lt;År1,0,I75*(1-VLOOKUP($A76,[1]Hugst!$R$5:$W$9,MATCH(ROUNDUP((J$1)/10,0)*10,[1]Hugst!$R$4:$W$4,0))))</f>
        <v>7143.0804622431642</v>
      </c>
      <c r="K76" s="168">
        <f ca="1">IF($C76-K$1&lt;År1,0,J75*(1-VLOOKUP($A76,[1]Hugst!$R$5:$W$9,MATCH(ROUNDUP((K$1)/10,0)*10,[1]Hugst!$R$4:$W$4,0))))</f>
        <v>7153.57253373192</v>
      </c>
      <c r="L76" s="168">
        <f ca="1">IF($C76-L$1&lt;År1,0,K75*(1-VLOOKUP($A76,[1]Hugst!$R$5:$W$9,MATCH(ROUNDUP((L$1)/10,0)*10,[1]Hugst!$R$4:$W$4,0))))</f>
        <v>7164.1173291979831</v>
      </c>
      <c r="M76" s="168">
        <f ca="1">IF($C76-M$1&lt;År1,0,L75*(1-VLOOKUP($A76,[1]Hugst!$R$5:$W$9,MATCH(ROUNDUP((M$1)/10,0)*10,[1]Hugst!$R$4:$W$4,0))))</f>
        <v>7174.7151135859203</v>
      </c>
      <c r="N76" s="168">
        <f ca="1">IF($C76-N$1&lt;År1,0,M75*(1-VLOOKUP($A76,[1]Hugst!$R$5:$W$9,MATCH(ROUNDUP((N$1)/10,0)*10,[1]Hugst!$R$4:$W$4,0))))</f>
        <v>7185.3661531718571</v>
      </c>
      <c r="O76" s="168">
        <f ca="1">IF($C76-O$1&lt;År1,0,N75*(1-VLOOKUP($A76,[1]Hugst!$R$5:$W$9,MATCH(ROUNDUP((O$1)/10,0)*10,[1]Hugst!$R$4:$W$4,0))))</f>
        <v>7196.0707155697055</v>
      </c>
      <c r="P76" s="168">
        <f ca="1">IF($C76-P$1&lt;År1,0,O75*(1-VLOOKUP($A76,[1]Hugst!$R$5:$W$9,MATCH(ROUNDUP((P$1)/10,0)*10,[1]Hugst!$R$4:$W$4,0))))</f>
        <v>7195.8356016660737</v>
      </c>
      <c r="Q76" s="168">
        <f ca="1">IF($C76-Q$1&lt;År1,0,P75*(1-VLOOKUP($A76,[1]Hugst!$R$5:$W$9,MATCH(ROUNDUP((Q$1)/10,0)*10,[1]Hugst!$R$4:$W$4,0))))</f>
        <v>7195.6383576675689</v>
      </c>
      <c r="R76" s="168">
        <f ca="1">IF($C76-R$1&lt;År1,0,Q75*(1-VLOOKUP($A76,[1]Hugst!$R$5:$W$9,MATCH(ROUNDUP((R$1)/10,0)*10,[1]Hugst!$R$4:$W$4,0))))</f>
        <v>7195.4790567974142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2036.2435477703111</v>
      </c>
      <c r="E77" s="168">
        <f t="shared" ca="1" si="1"/>
        <v>43.906307387340348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7135.3080911461639</v>
      </c>
      <c r="G77" s="168">
        <f ca="1">IF($C77-G$1&lt;År1,0,F76*(1-VLOOKUP($A77,[1]Hugst!$R$5:$W$9,MATCH(ROUNDUP((G$1)/10,0)*10,[1]Hugst!$R$4:$W$4,0))))</f>
        <v>7134.6137215600229</v>
      </c>
      <c r="H77" s="168">
        <f ca="1">IF($C77-H$1&lt;År1,0,G76*(1-VLOOKUP($A77,[1]Hugst!$R$5:$W$9,MATCH(ROUNDUP((H$1)/10,0)*10,[1]Hugst!$R$4:$W$4,0))))</f>
        <v>7133.937641459217</v>
      </c>
      <c r="I77" s="168">
        <f ca="1">IF($C77-I$1&lt;År1,0,H76*(1-VLOOKUP($A77,[1]Hugst!$R$5:$W$9,MATCH(ROUNDUP((I$1)/10,0)*10,[1]Hugst!$R$4:$W$4,0))))</f>
        <v>7133.279976023452</v>
      </c>
      <c r="J77" s="168">
        <f ca="1">IF($C77-J$1&lt;År1,0,I76*(1-VLOOKUP($A77,[1]Hugst!$R$5:$W$9,MATCH(ROUNDUP((J$1)/10,0)*10,[1]Hugst!$R$4:$W$4,0))))</f>
        <v>7132.6408511118971</v>
      </c>
      <c r="K77" s="168">
        <f ca="1">IF($C77-K$1&lt;År1,0,J76*(1-VLOOKUP($A77,[1]Hugst!$R$5:$W$9,MATCH(ROUNDUP((K$1)/10,0)*10,[1]Hugst!$R$4:$W$4,0))))</f>
        <v>7143.0804622431642</v>
      </c>
      <c r="L77" s="168">
        <f ca="1">IF($C77-L$1&lt;År1,0,K76*(1-VLOOKUP($A77,[1]Hugst!$R$5:$W$9,MATCH(ROUNDUP((L$1)/10,0)*10,[1]Hugst!$R$4:$W$4,0))))</f>
        <v>7153.57253373192</v>
      </c>
      <c r="M77" s="168">
        <f ca="1">IF($C77-M$1&lt;År1,0,L76*(1-VLOOKUP($A77,[1]Hugst!$R$5:$W$9,MATCH(ROUNDUP((M$1)/10,0)*10,[1]Hugst!$R$4:$W$4,0))))</f>
        <v>7164.1173291979831</v>
      </c>
      <c r="N77" s="168">
        <f ca="1">IF($C77-N$1&lt;År1,0,M76*(1-VLOOKUP($A77,[1]Hugst!$R$5:$W$9,MATCH(ROUNDUP((N$1)/10,0)*10,[1]Hugst!$R$4:$W$4,0))))</f>
        <v>7174.7151135859203</v>
      </c>
      <c r="O77" s="168">
        <f ca="1">IF($C77-O$1&lt;År1,0,N76*(1-VLOOKUP($A77,[1]Hugst!$R$5:$W$9,MATCH(ROUNDUP((O$1)/10,0)*10,[1]Hugst!$R$4:$W$4,0))))</f>
        <v>7185.3661531718571</v>
      </c>
      <c r="P77" s="168">
        <f ca="1">IF($C77-P$1&lt;År1,0,O76*(1-VLOOKUP($A77,[1]Hugst!$R$5:$W$9,MATCH(ROUNDUP((P$1)/10,0)*10,[1]Hugst!$R$4:$W$4,0))))</f>
        <v>7185.0936585459549</v>
      </c>
      <c r="Q77" s="168">
        <f ca="1">IF($C77-Q$1&lt;År1,0,P76*(1-VLOOKUP($A77,[1]Hugst!$R$5:$W$9,MATCH(ROUNDUP((Q$1)/10,0)*10,[1]Hugst!$R$4:$W$4,0))))</f>
        <v>7184.8589032906502</v>
      </c>
      <c r="R77" s="168">
        <f ca="1">IF($C77-R$1&lt;År1,0,Q76*(1-VLOOKUP($A77,[1]Hugst!$R$5:$W$9,MATCH(ROUNDUP((R$1)/10,0)*10,[1]Hugst!$R$4:$W$4,0))))</f>
        <v>7184.6619601728216</v>
      </c>
      <c r="S77" s="168">
        <f ca="1">IF($C77-S$1&lt;År1,0,R76*(1-VLOOKUP($A77,[1]Hugst!$R$5:$W$9,MATCH(ROUNDUP((S$1)/10,0)*10,[1]Hugst!$R$4:$W$4,0))))</f>
        <v>7184.5029023039942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2026.0623300314764</v>
      </c>
      <c r="E78" s="168">
        <f t="shared" ca="1" si="1"/>
        <v>54.800059694447555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7136.0206257144364</v>
      </c>
      <c r="G78" s="168">
        <f ca="1">IF($C78-G$1&lt;År1,0,F77*(1-VLOOKUP($A78,[1]Hugst!$R$5:$W$9,MATCH(ROUNDUP((G$1)/10,0)*10,[1]Hugst!$R$4:$W$4,0))))</f>
        <v>7135.3080911461639</v>
      </c>
      <c r="H78" s="168">
        <f ca="1">IF($C78-H$1&lt;År1,0,G77*(1-VLOOKUP($A78,[1]Hugst!$R$5:$W$9,MATCH(ROUNDUP((H$1)/10,0)*10,[1]Hugst!$R$4:$W$4,0))))</f>
        <v>7134.6137215600229</v>
      </c>
      <c r="I78" s="168">
        <f ca="1">IF($C78-I$1&lt;År1,0,H77*(1-VLOOKUP($A78,[1]Hugst!$R$5:$W$9,MATCH(ROUNDUP((I$1)/10,0)*10,[1]Hugst!$R$4:$W$4,0))))</f>
        <v>7133.937641459217</v>
      </c>
      <c r="J78" s="168">
        <f ca="1">IF($C78-J$1&lt;År1,0,I77*(1-VLOOKUP($A78,[1]Hugst!$R$5:$W$9,MATCH(ROUNDUP((J$1)/10,0)*10,[1]Hugst!$R$4:$W$4,0))))</f>
        <v>7133.279976023452</v>
      </c>
      <c r="K78" s="168">
        <f ca="1">IF($C78-K$1&lt;År1,0,J77*(1-VLOOKUP($A78,[1]Hugst!$R$5:$W$9,MATCH(ROUNDUP((K$1)/10,0)*10,[1]Hugst!$R$4:$W$4,0))))</f>
        <v>7132.6408511118971</v>
      </c>
      <c r="L78" s="168">
        <f ca="1">IF($C78-L$1&lt;År1,0,K77*(1-VLOOKUP($A78,[1]Hugst!$R$5:$W$9,MATCH(ROUNDUP((L$1)/10,0)*10,[1]Hugst!$R$4:$W$4,0))))</f>
        <v>7143.0804622431642</v>
      </c>
      <c r="M78" s="168">
        <f ca="1">IF($C78-M$1&lt;År1,0,L77*(1-VLOOKUP($A78,[1]Hugst!$R$5:$W$9,MATCH(ROUNDUP((M$1)/10,0)*10,[1]Hugst!$R$4:$W$4,0))))</f>
        <v>7153.57253373192</v>
      </c>
      <c r="N78" s="168">
        <f ca="1">IF($C78-N$1&lt;År1,0,M77*(1-VLOOKUP($A78,[1]Hugst!$R$5:$W$9,MATCH(ROUNDUP((N$1)/10,0)*10,[1]Hugst!$R$4:$W$4,0))))</f>
        <v>7164.1173291979831</v>
      </c>
      <c r="O78" s="168">
        <f ca="1">IF($C78-O$1&lt;År1,0,N77*(1-VLOOKUP($A78,[1]Hugst!$R$5:$W$9,MATCH(ROUNDUP((O$1)/10,0)*10,[1]Hugst!$R$4:$W$4,0))))</f>
        <v>7174.7151135859203</v>
      </c>
      <c r="P78" s="168">
        <f ca="1">IF($C78-P$1&lt;År1,0,O77*(1-VLOOKUP($A78,[1]Hugst!$R$5:$W$9,MATCH(ROUNDUP((P$1)/10,0)*10,[1]Hugst!$R$4:$W$4,0))))</f>
        <v>7174.4054251415946</v>
      </c>
      <c r="Q78" s="168">
        <f ca="1">IF($C78-Q$1&lt;År1,0,P77*(1-VLOOKUP($A78,[1]Hugst!$R$5:$W$9,MATCH(ROUNDUP((Q$1)/10,0)*10,[1]Hugst!$R$4:$W$4,0))))</f>
        <v>7174.1333461854611</v>
      </c>
      <c r="R78" s="168">
        <f ca="1">IF($C78-R$1&lt;År1,0,Q77*(1-VLOOKUP($A78,[1]Hugst!$R$5:$W$9,MATCH(ROUNDUP((R$1)/10,0)*10,[1]Hugst!$R$4:$W$4,0))))</f>
        <v>7173.8989490313934</v>
      </c>
      <c r="S78" s="168">
        <f ca="1">IF($C78-S$1&lt;År1,0,R77*(1-VLOOKUP($A78,[1]Hugst!$R$5:$W$9,MATCH(ROUNDUP((S$1)/10,0)*10,[1]Hugst!$R$4:$W$4,0))))</f>
        <v>7173.7023063352699</v>
      </c>
      <c r="T78" s="168">
        <f ca="1">IF($C78-T$1&lt;År1,0,S77*(1-VLOOKUP($A78,[1]Hugst!$R$5:$W$9,MATCH(ROUNDUP((T$1)/10,0)*10,[1]Hugst!$R$4:$W$4,0))))</f>
        <v>7173.5434910970898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2015.9320183813106</v>
      </c>
      <c r="E79" s="168">
        <f t="shared" ca="1" si="1"/>
        <v>65.660947064810898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7136.7512014346339</v>
      </c>
      <c r="G79" s="168">
        <f ca="1">IF($C79-G$1&lt;År1,0,F78*(1-VLOOKUP($A79,[1]Hugst!$R$5:$W$9,MATCH(ROUNDUP((G$1)/10,0)*10,[1]Hugst!$R$4:$W$4,0))))</f>
        <v>7136.0206257144364</v>
      </c>
      <c r="H79" s="168">
        <f ca="1">IF($C79-H$1&lt;År1,0,G78*(1-VLOOKUP($A79,[1]Hugst!$R$5:$W$9,MATCH(ROUNDUP((H$1)/10,0)*10,[1]Hugst!$R$4:$W$4,0))))</f>
        <v>7135.3080911461639</v>
      </c>
      <c r="I79" s="168">
        <f ca="1">IF($C79-I$1&lt;År1,0,H78*(1-VLOOKUP($A79,[1]Hugst!$R$5:$W$9,MATCH(ROUNDUP((I$1)/10,0)*10,[1]Hugst!$R$4:$W$4,0))))</f>
        <v>7134.6137215600229</v>
      </c>
      <c r="J79" s="168">
        <f ca="1">IF($C79-J$1&lt;År1,0,I78*(1-VLOOKUP($A79,[1]Hugst!$R$5:$W$9,MATCH(ROUNDUP((J$1)/10,0)*10,[1]Hugst!$R$4:$W$4,0))))</f>
        <v>7133.937641459217</v>
      </c>
      <c r="K79" s="168">
        <f ca="1">IF($C79-K$1&lt;År1,0,J78*(1-VLOOKUP($A79,[1]Hugst!$R$5:$W$9,MATCH(ROUNDUP((K$1)/10,0)*10,[1]Hugst!$R$4:$W$4,0))))</f>
        <v>7133.279976023452</v>
      </c>
      <c r="L79" s="168">
        <f ca="1">IF($C79-L$1&lt;År1,0,K78*(1-VLOOKUP($A79,[1]Hugst!$R$5:$W$9,MATCH(ROUNDUP((L$1)/10,0)*10,[1]Hugst!$R$4:$W$4,0))))</f>
        <v>7132.6408511118971</v>
      </c>
      <c r="M79" s="168">
        <f ca="1">IF($C79-M$1&lt;År1,0,L78*(1-VLOOKUP($A79,[1]Hugst!$R$5:$W$9,MATCH(ROUNDUP((M$1)/10,0)*10,[1]Hugst!$R$4:$W$4,0))))</f>
        <v>7143.0804622431642</v>
      </c>
      <c r="N79" s="168">
        <f ca="1">IF($C79-N$1&lt;År1,0,M78*(1-VLOOKUP($A79,[1]Hugst!$R$5:$W$9,MATCH(ROUNDUP((N$1)/10,0)*10,[1]Hugst!$R$4:$W$4,0))))</f>
        <v>7153.57253373192</v>
      </c>
      <c r="O79" s="168">
        <f ca="1">IF($C79-O$1&lt;År1,0,N78*(1-VLOOKUP($A79,[1]Hugst!$R$5:$W$9,MATCH(ROUNDUP((O$1)/10,0)*10,[1]Hugst!$R$4:$W$4,0))))</f>
        <v>7164.1173291979831</v>
      </c>
      <c r="P79" s="168">
        <f ca="1">IF($C79-P$1&lt;År1,0,O78*(1-VLOOKUP($A79,[1]Hugst!$R$5:$W$9,MATCH(ROUNDUP((P$1)/10,0)*10,[1]Hugst!$R$4:$W$4,0))))</f>
        <v>7163.7706329041785</v>
      </c>
      <c r="Q79" s="168">
        <f ca="1">IF($C79-Q$1&lt;År1,0,P78*(1-VLOOKUP($A79,[1]Hugst!$R$5:$W$9,MATCH(ROUNDUP((Q$1)/10,0)*10,[1]Hugst!$R$4:$W$4,0))))</f>
        <v>7163.4614168659546</v>
      </c>
      <c r="R79" s="168">
        <f ca="1">IF($C79-R$1&lt;År1,0,Q78*(1-VLOOKUP($A79,[1]Hugst!$R$5:$W$9,MATCH(ROUNDUP((R$1)/10,0)*10,[1]Hugst!$R$4:$W$4,0))))</f>
        <v>7163.1897529455173</v>
      </c>
      <c r="S79" s="168">
        <f ca="1">IF($C79-S$1&lt;År1,0,R78*(1-VLOOKUP($A79,[1]Hugst!$R$5:$W$9,MATCH(ROUNDUP((S$1)/10,0)*10,[1]Hugst!$R$4:$W$4,0))))</f>
        <v>7162.9557133464305</v>
      </c>
      <c r="T79" s="168">
        <f ca="1">IF($C79-T$1&lt;År1,0,S78*(1-VLOOKUP($A79,[1]Hugst!$R$5:$W$9,MATCH(ROUNDUP((T$1)/10,0)*10,[1]Hugst!$R$4:$W$4,0))))</f>
        <v>7162.7593706137413</v>
      </c>
      <c r="U79" s="168">
        <f ca="1">IF($C79-U$1&lt;År1,0,T78*(1-VLOOKUP($A79,[1]Hugst!$R$5:$W$9,MATCH(ROUNDUP((U$1)/10,0)*10,[1]Hugst!$R$4:$W$4,0))))</f>
        <v>7162.6007976360943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2005.8523582894122</v>
      </c>
      <c r="E80" s="168">
        <f t="shared" ca="1" si="1"/>
        <v>76.489100868086098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7137.4996951460107</v>
      </c>
      <c r="G80" s="168">
        <f ca="1">IF($C80-G$1&lt;År1,0,F79*(1-VLOOKUP($A80,[1]Hugst!$R$5:$W$9,MATCH(ROUNDUP((G$1)/10,0)*10,[1]Hugst!$R$4:$W$4,0))))</f>
        <v>7136.7512014346339</v>
      </c>
      <c r="H80" s="168">
        <f ca="1">IF($C80-H$1&lt;År1,0,G79*(1-VLOOKUP($A80,[1]Hugst!$R$5:$W$9,MATCH(ROUNDUP((H$1)/10,0)*10,[1]Hugst!$R$4:$W$4,0))))</f>
        <v>7136.0206257144364</v>
      </c>
      <c r="I80" s="168">
        <f ca="1">IF($C80-I$1&lt;År1,0,H79*(1-VLOOKUP($A80,[1]Hugst!$R$5:$W$9,MATCH(ROUNDUP((I$1)/10,0)*10,[1]Hugst!$R$4:$W$4,0))))</f>
        <v>7135.3080911461639</v>
      </c>
      <c r="J80" s="168">
        <f ca="1">IF($C80-J$1&lt;År1,0,I79*(1-VLOOKUP($A80,[1]Hugst!$R$5:$W$9,MATCH(ROUNDUP((J$1)/10,0)*10,[1]Hugst!$R$4:$W$4,0))))</f>
        <v>7134.6137215600229</v>
      </c>
      <c r="K80" s="168">
        <f ca="1">IF($C80-K$1&lt;År1,0,J79*(1-VLOOKUP($A80,[1]Hugst!$R$5:$W$9,MATCH(ROUNDUP((K$1)/10,0)*10,[1]Hugst!$R$4:$W$4,0))))</f>
        <v>7133.937641459217</v>
      </c>
      <c r="L80" s="168">
        <f ca="1">IF($C80-L$1&lt;År1,0,K79*(1-VLOOKUP($A80,[1]Hugst!$R$5:$W$9,MATCH(ROUNDUP((L$1)/10,0)*10,[1]Hugst!$R$4:$W$4,0))))</f>
        <v>7133.279976023452</v>
      </c>
      <c r="M80" s="168">
        <f ca="1">IF($C80-M$1&lt;År1,0,L79*(1-VLOOKUP($A80,[1]Hugst!$R$5:$W$9,MATCH(ROUNDUP((M$1)/10,0)*10,[1]Hugst!$R$4:$W$4,0))))</f>
        <v>7132.6408511118971</v>
      </c>
      <c r="N80" s="168">
        <f ca="1">IF($C80-N$1&lt;År1,0,M79*(1-VLOOKUP($A80,[1]Hugst!$R$5:$W$9,MATCH(ROUNDUP((N$1)/10,0)*10,[1]Hugst!$R$4:$W$4,0))))</f>
        <v>7143.0804622431642</v>
      </c>
      <c r="O80" s="168">
        <f ca="1">IF($C80-O$1&lt;År1,0,N79*(1-VLOOKUP($A80,[1]Hugst!$R$5:$W$9,MATCH(ROUNDUP((O$1)/10,0)*10,[1]Hugst!$R$4:$W$4,0))))</f>
        <v>7153.57253373192</v>
      </c>
      <c r="P80" s="168">
        <f ca="1">IF($C80-P$1&lt;År1,0,O79*(1-VLOOKUP($A80,[1]Hugst!$R$5:$W$9,MATCH(ROUNDUP((P$1)/10,0)*10,[1]Hugst!$R$4:$W$4,0))))</f>
        <v>7153.1890146280202</v>
      </c>
      <c r="Q80" s="168">
        <f ca="1">IF($C80-Q$1&lt;År1,0,P79*(1-VLOOKUP($A80,[1]Hugst!$R$5:$W$9,MATCH(ROUNDUP((Q$1)/10,0)*10,[1]Hugst!$R$4:$W$4,0))))</f>
        <v>7152.8428471929683</v>
      </c>
      <c r="R80" s="168">
        <f ca="1">IF($C80-R$1&lt;År1,0,Q79*(1-VLOOKUP($A80,[1]Hugst!$R$5:$W$9,MATCH(ROUNDUP((R$1)/10,0)*10,[1]Hugst!$R$4:$W$4,0))))</f>
        <v>7152.5341028402263</v>
      </c>
      <c r="S80" s="168">
        <f ca="1">IF($C80-S$1&lt;År1,0,R79*(1-VLOOKUP($A80,[1]Hugst!$R$5:$W$9,MATCH(ROUNDUP((S$1)/10,0)*10,[1]Hugst!$R$4:$W$4,0))))</f>
        <v>7152.2628533223797</v>
      </c>
      <c r="T80" s="168">
        <f ca="1">IF($C80-T$1&lt;År1,0,S79*(1-VLOOKUP($A80,[1]Hugst!$R$5:$W$9,MATCH(ROUNDUP((T$1)/10,0)*10,[1]Hugst!$R$4:$W$4,0))))</f>
        <v>7152.0291707328506</v>
      </c>
      <c r="U80" s="168">
        <f ca="1">IF($C80-U$1&lt;År1,0,T79*(1-VLOOKUP($A80,[1]Hugst!$R$5:$W$9,MATCH(ROUNDUP((U$1)/10,0)*10,[1]Hugst!$R$4:$W$4,0))))</f>
        <v>7151.8331275060254</v>
      </c>
      <c r="V80" s="168">
        <f ca="1">IF($C80-V$1&lt;År1,0,U79*(1-VLOOKUP($A80,[1]Hugst!$R$5:$W$9,MATCH(ROUNDUP((V$1)/10,0)*10,[1]Hugst!$R$4:$W$4,0))))</f>
        <v>7151.674796419361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1995.8230964979739</v>
      </c>
      <c r="E81" s="168">
        <f t="shared" ca="1" si="1"/>
        <v>87.284651867332286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7138.2659843538186</v>
      </c>
      <c r="G81" s="168">
        <f ca="1">IF($C81-G$1&lt;År1,0,F80*(1-VLOOKUP($A81,[1]Hugst!$R$5:$W$9,MATCH(ROUNDUP((G$1)/10,0)*10,[1]Hugst!$R$4:$W$4,0))))</f>
        <v>7137.4996951460107</v>
      </c>
      <c r="H81" s="168">
        <f ca="1">IF($C81-H$1&lt;År1,0,G80*(1-VLOOKUP($A81,[1]Hugst!$R$5:$W$9,MATCH(ROUNDUP((H$1)/10,0)*10,[1]Hugst!$R$4:$W$4,0))))</f>
        <v>7136.7512014346339</v>
      </c>
      <c r="I81" s="168">
        <f ca="1">IF($C81-I$1&lt;År1,0,H80*(1-VLOOKUP($A81,[1]Hugst!$R$5:$W$9,MATCH(ROUNDUP((I$1)/10,0)*10,[1]Hugst!$R$4:$W$4,0))))</f>
        <v>7136.0206257144364</v>
      </c>
      <c r="J81" s="168">
        <f ca="1">IF($C81-J$1&lt;År1,0,I80*(1-VLOOKUP($A81,[1]Hugst!$R$5:$W$9,MATCH(ROUNDUP((J$1)/10,0)*10,[1]Hugst!$R$4:$W$4,0))))</f>
        <v>7135.3080911461639</v>
      </c>
      <c r="K81" s="168">
        <f ca="1">IF($C81-K$1&lt;År1,0,J80*(1-VLOOKUP($A81,[1]Hugst!$R$5:$W$9,MATCH(ROUNDUP((K$1)/10,0)*10,[1]Hugst!$R$4:$W$4,0))))</f>
        <v>7134.6137215600229</v>
      </c>
      <c r="L81" s="168">
        <f ca="1">IF($C81-L$1&lt;År1,0,K80*(1-VLOOKUP($A81,[1]Hugst!$R$5:$W$9,MATCH(ROUNDUP((L$1)/10,0)*10,[1]Hugst!$R$4:$W$4,0))))</f>
        <v>7133.937641459217</v>
      </c>
      <c r="M81" s="168">
        <f ca="1">IF($C81-M$1&lt;År1,0,L80*(1-VLOOKUP($A81,[1]Hugst!$R$5:$W$9,MATCH(ROUNDUP((M$1)/10,0)*10,[1]Hugst!$R$4:$W$4,0))))</f>
        <v>7133.279976023452</v>
      </c>
      <c r="N81" s="168">
        <f ca="1">IF($C81-N$1&lt;År1,0,M80*(1-VLOOKUP($A81,[1]Hugst!$R$5:$W$9,MATCH(ROUNDUP((N$1)/10,0)*10,[1]Hugst!$R$4:$W$4,0))))</f>
        <v>7132.6408511118971</v>
      </c>
      <c r="O81" s="168">
        <f ca="1">IF($C81-O$1&lt;År1,0,N80*(1-VLOOKUP($A81,[1]Hugst!$R$5:$W$9,MATCH(ROUNDUP((O$1)/10,0)*10,[1]Hugst!$R$4:$W$4,0))))</f>
        <v>7143.0804622431642</v>
      </c>
      <c r="P81" s="168">
        <f ca="1">IF($C81-P$1&lt;År1,0,O80*(1-VLOOKUP($A81,[1]Hugst!$R$5:$W$9,MATCH(ROUNDUP((P$1)/10,0)*10,[1]Hugst!$R$4:$W$4,0))))</f>
        <v>7142.6603044431758</v>
      </c>
      <c r="Q81" s="168">
        <f ca="1">IF($C81-Q$1&lt;År1,0,P80*(1-VLOOKUP($A81,[1]Hugst!$R$5:$W$9,MATCH(ROUNDUP((Q$1)/10,0)*10,[1]Hugst!$R$4:$W$4,0))))</f>
        <v>7142.2773703684179</v>
      </c>
      <c r="R81" s="168">
        <f ca="1">IF($C81-R$1&lt;År1,0,Q80*(1-VLOOKUP($A81,[1]Hugst!$R$5:$W$9,MATCH(ROUNDUP((R$1)/10,0)*10,[1]Hugst!$R$4:$W$4,0))))</f>
        <v>7141.9317309853859</v>
      </c>
      <c r="S81" s="168">
        <f ca="1">IF($C81-S$1&lt;År1,0,R80*(1-VLOOKUP($A81,[1]Hugst!$R$5:$W$9,MATCH(ROUNDUP((S$1)/10,0)*10,[1]Hugst!$R$4:$W$4,0))))</f>
        <v>7141.6234575986055</v>
      </c>
      <c r="T81" s="168">
        <f ca="1">IF($C81-T$1&lt;År1,0,S80*(1-VLOOKUP($A81,[1]Hugst!$R$5:$W$9,MATCH(ROUNDUP((T$1)/10,0)*10,[1]Hugst!$R$4:$W$4,0))))</f>
        <v>7141.3526218512097</v>
      </c>
      <c r="U81" s="168">
        <f ca="1">IF($C81-U$1&lt;År1,0,T80*(1-VLOOKUP($A81,[1]Hugst!$R$5:$W$9,MATCH(ROUNDUP((U$1)/10,0)*10,[1]Hugst!$R$4:$W$4,0))))</f>
        <v>7141.1192957266476</v>
      </c>
      <c r="V81" s="168">
        <f ca="1">IF($C81-V$1&lt;År1,0,U80*(1-VLOOKUP($A81,[1]Hugst!$R$5:$W$9,MATCH(ROUNDUP((V$1)/10,0)*10,[1]Hugst!$R$4:$W$4,0))))</f>
        <v>7140.9235515488126</v>
      </c>
      <c r="W81" s="168">
        <f ca="1">IF($C81-W$1&lt;År1,0,V80*(1-VLOOKUP($A81,[1]Hugst!$R$5:$W$9,MATCH(ROUNDUP((W$1)/10,0)*10,[1]Hugst!$R$4:$W$4,0))))</f>
        <v>7140.7654619841451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1985.843981015496</v>
      </c>
      <c r="E82" s="168">
        <f t="shared" ca="1" si="1"/>
        <v>98.047730222169776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7139.0499472261781</v>
      </c>
      <c r="G82" s="168">
        <f ca="1">IF($C82-G$1&lt;År1,0,F81*(1-VLOOKUP($A82,[1]Hugst!$R$5:$W$9,MATCH(ROUNDUP((G$1)/10,0)*10,[1]Hugst!$R$4:$W$4,0))))</f>
        <v>7138.2659843538186</v>
      </c>
      <c r="H82" s="168">
        <f ca="1">IF($C82-H$1&lt;År1,0,G81*(1-VLOOKUP($A82,[1]Hugst!$R$5:$W$9,MATCH(ROUNDUP((H$1)/10,0)*10,[1]Hugst!$R$4:$W$4,0))))</f>
        <v>7137.4996951460107</v>
      </c>
      <c r="I82" s="168">
        <f ca="1">IF($C82-I$1&lt;År1,0,H81*(1-VLOOKUP($A82,[1]Hugst!$R$5:$W$9,MATCH(ROUNDUP((I$1)/10,0)*10,[1]Hugst!$R$4:$W$4,0))))</f>
        <v>7136.7512014346339</v>
      </c>
      <c r="J82" s="168">
        <f ca="1">IF($C82-J$1&lt;År1,0,I81*(1-VLOOKUP($A82,[1]Hugst!$R$5:$W$9,MATCH(ROUNDUP((J$1)/10,0)*10,[1]Hugst!$R$4:$W$4,0))))</f>
        <v>7136.0206257144364</v>
      </c>
      <c r="K82" s="168">
        <f ca="1">IF($C82-K$1&lt;År1,0,J81*(1-VLOOKUP($A82,[1]Hugst!$R$5:$W$9,MATCH(ROUNDUP((K$1)/10,0)*10,[1]Hugst!$R$4:$W$4,0))))</f>
        <v>7135.3080911461639</v>
      </c>
      <c r="L82" s="168">
        <f ca="1">IF($C82-L$1&lt;År1,0,K81*(1-VLOOKUP($A82,[1]Hugst!$R$5:$W$9,MATCH(ROUNDUP((L$1)/10,0)*10,[1]Hugst!$R$4:$W$4,0))))</f>
        <v>7134.6137215600229</v>
      </c>
      <c r="M82" s="168">
        <f ca="1">IF($C82-M$1&lt;År1,0,L81*(1-VLOOKUP($A82,[1]Hugst!$R$5:$W$9,MATCH(ROUNDUP((M$1)/10,0)*10,[1]Hugst!$R$4:$W$4,0))))</f>
        <v>7133.937641459217</v>
      </c>
      <c r="N82" s="168">
        <f ca="1">IF($C82-N$1&lt;År1,0,M81*(1-VLOOKUP($A82,[1]Hugst!$R$5:$W$9,MATCH(ROUNDUP((N$1)/10,0)*10,[1]Hugst!$R$4:$W$4,0))))</f>
        <v>7133.279976023452</v>
      </c>
      <c r="O82" s="168">
        <f ca="1">IF($C82-O$1&lt;År1,0,N81*(1-VLOOKUP($A82,[1]Hugst!$R$5:$W$9,MATCH(ROUNDUP((O$1)/10,0)*10,[1]Hugst!$R$4:$W$4,0))))</f>
        <v>7132.6408511118971</v>
      </c>
      <c r="P82" s="168">
        <f ca="1">IF($C82-P$1&lt;År1,0,O81*(1-VLOOKUP($A82,[1]Hugst!$R$5:$W$9,MATCH(ROUNDUP((P$1)/10,0)*10,[1]Hugst!$R$4:$W$4,0))))</f>
        <v>7132.1842378092333</v>
      </c>
      <c r="Q82" s="168">
        <f ca="1">IF($C82-Q$1&lt;År1,0,P81*(1-VLOOKUP($A82,[1]Hugst!$R$5:$W$9,MATCH(ROUNDUP((Q$1)/10,0)*10,[1]Hugst!$R$4:$W$4,0))))</f>
        <v>7131.764720927923</v>
      </c>
      <c r="R82" s="168">
        <f ca="1">IF($C82-R$1&lt;År1,0,Q81*(1-VLOOKUP($A82,[1]Hugst!$R$5:$W$9,MATCH(ROUNDUP((R$1)/10,0)*10,[1]Hugst!$R$4:$W$4,0))))</f>
        <v>7131.3823709898898</v>
      </c>
      <c r="S82" s="168">
        <f ca="1">IF($C82-S$1&lt;År1,0,R81*(1-VLOOKUP($A82,[1]Hugst!$R$5:$W$9,MATCH(ROUNDUP((S$1)/10,0)*10,[1]Hugst!$R$4:$W$4,0))))</f>
        <v>7131.0372588533737</v>
      </c>
      <c r="T82" s="168">
        <f ca="1">IF($C82-T$1&lt;År1,0,S81*(1-VLOOKUP($A82,[1]Hugst!$R$5:$W$9,MATCH(ROUNDUP((T$1)/10,0)*10,[1]Hugst!$R$4:$W$4,0))))</f>
        <v>7130.7294557141331</v>
      </c>
      <c r="U82" s="168">
        <f ca="1">IF($C82-U$1&lt;År1,0,T81*(1-VLOOKUP($A82,[1]Hugst!$R$5:$W$9,MATCH(ROUNDUP((U$1)/10,0)*10,[1]Hugst!$R$4:$W$4,0))))</f>
        <v>7130.4590331060126</v>
      </c>
      <c r="V82" s="168">
        <f ca="1">IF($C82-V$1&lt;År1,0,U81*(1-VLOOKUP($A82,[1]Hugst!$R$5:$W$9,MATCH(ROUNDUP((V$1)/10,0)*10,[1]Hugst!$R$4:$W$4,0))))</f>
        <v>7130.2260629026578</v>
      </c>
      <c r="W82" s="168">
        <f ca="1">IF($C82-W$1&lt;År1,0,V81*(1-VLOOKUP($A82,[1]Hugst!$R$5:$W$9,MATCH(ROUNDUP((W$1)/10,0)*10,[1]Hugst!$R$4:$W$4,0))))</f>
        <v>7130.0306173176359</v>
      </c>
      <c r="X82" s="168">
        <f ca="1">IF($C82-X$1&lt;År1,0,W81*(1-VLOOKUP($A82,[1]Hugst!$R$5:$W$9,MATCH(ROUNDUP((X$1)/10,0)*10,[1]Hugst!$R$4:$W$4,0))))</f>
        <v>7129.8727689065418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1975.9147611103253</v>
      </c>
      <c r="E83" s="168">
        <f t="shared" ca="1" si="1"/>
        <v>108.77846549128299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7139.8514625901207</v>
      </c>
      <c r="G83" s="168">
        <f ca="1">IF($C83-G$1&lt;År1,0,F82*(1-VLOOKUP($A83,[1]Hugst!$R$5:$W$9,MATCH(ROUNDUP((G$1)/10,0)*10,[1]Hugst!$R$4:$W$4,0))))</f>
        <v>7139.0499472261781</v>
      </c>
      <c r="H83" s="168">
        <f ca="1">IF($C83-H$1&lt;År1,0,G82*(1-VLOOKUP($A83,[1]Hugst!$R$5:$W$9,MATCH(ROUNDUP((H$1)/10,0)*10,[1]Hugst!$R$4:$W$4,0))))</f>
        <v>7138.2659843538186</v>
      </c>
      <c r="I83" s="168">
        <f ca="1">IF($C83-I$1&lt;År1,0,H82*(1-VLOOKUP($A83,[1]Hugst!$R$5:$W$9,MATCH(ROUNDUP((I$1)/10,0)*10,[1]Hugst!$R$4:$W$4,0))))</f>
        <v>7137.4996951460107</v>
      </c>
      <c r="J83" s="168">
        <f ca="1">IF($C83-J$1&lt;År1,0,I82*(1-VLOOKUP($A83,[1]Hugst!$R$5:$W$9,MATCH(ROUNDUP((J$1)/10,0)*10,[1]Hugst!$R$4:$W$4,0))))</f>
        <v>7136.7512014346339</v>
      </c>
      <c r="K83" s="168">
        <f ca="1">IF($C83-K$1&lt;År1,0,J82*(1-VLOOKUP($A83,[1]Hugst!$R$5:$W$9,MATCH(ROUNDUP((K$1)/10,0)*10,[1]Hugst!$R$4:$W$4,0))))</f>
        <v>7136.0206257144364</v>
      </c>
      <c r="L83" s="168">
        <f ca="1">IF($C83-L$1&lt;År1,0,K82*(1-VLOOKUP($A83,[1]Hugst!$R$5:$W$9,MATCH(ROUNDUP((L$1)/10,0)*10,[1]Hugst!$R$4:$W$4,0))))</f>
        <v>7135.3080911461639</v>
      </c>
      <c r="M83" s="168">
        <f ca="1">IF($C83-M$1&lt;År1,0,L82*(1-VLOOKUP($A83,[1]Hugst!$R$5:$W$9,MATCH(ROUNDUP((M$1)/10,0)*10,[1]Hugst!$R$4:$W$4,0))))</f>
        <v>7134.6137215600229</v>
      </c>
      <c r="N83" s="168">
        <f ca="1">IF($C83-N$1&lt;År1,0,M82*(1-VLOOKUP($A83,[1]Hugst!$R$5:$W$9,MATCH(ROUNDUP((N$1)/10,0)*10,[1]Hugst!$R$4:$W$4,0))))</f>
        <v>7133.937641459217</v>
      </c>
      <c r="O83" s="168">
        <f ca="1">IF($C83-O$1&lt;År1,0,N82*(1-VLOOKUP($A83,[1]Hugst!$R$5:$W$9,MATCH(ROUNDUP((O$1)/10,0)*10,[1]Hugst!$R$4:$W$4,0))))</f>
        <v>7133.279976023452</v>
      </c>
      <c r="P83" s="168">
        <f ca="1">IF($C83-P$1&lt;År1,0,O82*(1-VLOOKUP($A83,[1]Hugst!$R$5:$W$9,MATCH(ROUNDUP((P$1)/10,0)*10,[1]Hugst!$R$4:$W$4,0))))</f>
        <v>7121.7605515085061</v>
      </c>
      <c r="Q83" s="168">
        <f ca="1">IF($C83-Q$1&lt;År1,0,P82*(1-VLOOKUP($A83,[1]Hugst!$R$5:$W$9,MATCH(ROUNDUP((Q$1)/10,0)*10,[1]Hugst!$R$4:$W$4,0))))</f>
        <v>7121.304634734609</v>
      </c>
      <c r="R83" s="168">
        <f ca="1">IF($C83-R$1&lt;År1,0,Q82*(1-VLOOKUP($A83,[1]Hugst!$R$5:$W$9,MATCH(ROUNDUP((R$1)/10,0)*10,[1]Hugst!$R$4:$W$4,0))))</f>
        <v>7120.8857577943036</v>
      </c>
      <c r="S83" s="168">
        <f ca="1">IF($C83-S$1&lt;År1,0,R82*(1-VLOOKUP($A83,[1]Hugst!$R$5:$W$9,MATCH(ROUNDUP((S$1)/10,0)*10,[1]Hugst!$R$4:$W$4,0))))</f>
        <v>7120.5039911019385</v>
      </c>
      <c r="T83" s="168">
        <f ca="1">IF($C83-T$1&lt;År1,0,S82*(1-VLOOKUP($A83,[1]Hugst!$R$5:$W$9,MATCH(ROUNDUP((T$1)/10,0)*10,[1]Hugst!$R$4:$W$4,0))))</f>
        <v>7120.159405407665</v>
      </c>
      <c r="U83" s="168">
        <f ca="1">IF($C83-U$1&lt;År1,0,T82*(1-VLOOKUP($A83,[1]Hugst!$R$5:$W$9,MATCH(ROUNDUP((U$1)/10,0)*10,[1]Hugst!$R$4:$W$4,0))))</f>
        <v>7119.8520717986366</v>
      </c>
      <c r="V83" s="168">
        <f ca="1">IF($C83-V$1&lt;År1,0,U82*(1-VLOOKUP($A83,[1]Hugst!$R$5:$W$9,MATCH(ROUNDUP((V$1)/10,0)*10,[1]Hugst!$R$4:$W$4,0))))</f>
        <v>7119.5820616995798</v>
      </c>
      <c r="W83" s="168">
        <f ca="1">IF($C83-W$1&lt;År1,0,V82*(1-VLOOKUP($A83,[1]Hugst!$R$5:$W$9,MATCH(ROUNDUP((W$1)/10,0)*10,[1]Hugst!$R$4:$W$4,0))))</f>
        <v>7119.3494468745012</v>
      </c>
      <c r="X83" s="168">
        <f ca="1">IF($C83-X$1&lt;År1,0,W82*(1-VLOOKUP($A83,[1]Hugst!$R$5:$W$9,MATCH(ROUNDUP((X$1)/10,0)*10,[1]Hugst!$R$4:$W$4,0))))</f>
        <v>7119.154299426812</v>
      </c>
      <c r="Y83" s="168">
        <f ca="1">IF($C83-Y$1&lt;År1,0,X82*(1-VLOOKUP($A83,[1]Hugst!$R$5:$W$9,MATCH(ROUNDUP((Y$1)/10,0)*10,[1]Hugst!$R$4:$W$4,0))))</f>
        <v>7118.9966918014297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1966.0351873048348</v>
      </c>
      <c r="E84" s="168">
        <f t="shared" ca="1" si="1"/>
        <v>121.00206878958852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7142.1954920829357</v>
      </c>
      <c r="G84" s="168">
        <f ca="1">IF($C84-G$1&lt;År1,0,F83*(1-VLOOKUP($A84,[1]Hugst!$R$5:$W$9,MATCH(ROUNDUP((G$1)/10,0)*10,[1]Hugst!$R$4:$W$4,0))))</f>
        <v>7139.8514625901207</v>
      </c>
      <c r="H84" s="168">
        <f ca="1">IF($C84-H$1&lt;År1,0,G83*(1-VLOOKUP($A84,[1]Hugst!$R$5:$W$9,MATCH(ROUNDUP((H$1)/10,0)*10,[1]Hugst!$R$4:$W$4,0))))</f>
        <v>7139.0499472261781</v>
      </c>
      <c r="I84" s="168">
        <f ca="1">IF($C84-I$1&lt;År1,0,H83*(1-VLOOKUP($A84,[1]Hugst!$R$5:$W$9,MATCH(ROUNDUP((I$1)/10,0)*10,[1]Hugst!$R$4:$W$4,0))))</f>
        <v>7138.2659843538186</v>
      </c>
      <c r="J84" s="168">
        <f ca="1">IF($C84-J$1&lt;År1,0,I83*(1-VLOOKUP($A84,[1]Hugst!$R$5:$W$9,MATCH(ROUNDUP((J$1)/10,0)*10,[1]Hugst!$R$4:$W$4,0))))</f>
        <v>7137.4996951460107</v>
      </c>
      <c r="K84" s="168">
        <f ca="1">IF($C84-K$1&lt;År1,0,J83*(1-VLOOKUP($A84,[1]Hugst!$R$5:$W$9,MATCH(ROUNDUP((K$1)/10,0)*10,[1]Hugst!$R$4:$W$4,0))))</f>
        <v>7136.7512014346339</v>
      </c>
      <c r="L84" s="168">
        <f ca="1">IF($C84-L$1&lt;År1,0,K83*(1-VLOOKUP($A84,[1]Hugst!$R$5:$W$9,MATCH(ROUNDUP((L$1)/10,0)*10,[1]Hugst!$R$4:$W$4,0))))</f>
        <v>7136.0206257144364</v>
      </c>
      <c r="M84" s="168">
        <f ca="1">IF($C84-M$1&lt;År1,0,L83*(1-VLOOKUP($A84,[1]Hugst!$R$5:$W$9,MATCH(ROUNDUP((M$1)/10,0)*10,[1]Hugst!$R$4:$W$4,0))))</f>
        <v>7135.3080911461639</v>
      </c>
      <c r="N84" s="168">
        <f ca="1">IF($C84-N$1&lt;År1,0,M83*(1-VLOOKUP($A84,[1]Hugst!$R$5:$W$9,MATCH(ROUNDUP((N$1)/10,0)*10,[1]Hugst!$R$4:$W$4,0))))</f>
        <v>7134.6137215600229</v>
      </c>
      <c r="O84" s="168">
        <f ca="1">IF($C84-O$1&lt;År1,0,N83*(1-VLOOKUP($A84,[1]Hugst!$R$5:$W$9,MATCH(ROUNDUP((O$1)/10,0)*10,[1]Hugst!$R$4:$W$4,0))))</f>
        <v>7133.937641459217</v>
      </c>
      <c r="P84" s="168">
        <f ca="1">IF($C84-P$1&lt;År1,0,O83*(1-VLOOKUP($A84,[1]Hugst!$R$5:$W$9,MATCH(ROUNDUP((P$1)/10,0)*10,[1]Hugst!$R$4:$W$4,0))))</f>
        <v>7122.3987014837548</v>
      </c>
      <c r="Q84" s="168">
        <f ca="1">IF($C84-Q$1&lt;År1,0,P83*(1-VLOOKUP($A84,[1]Hugst!$R$5:$W$9,MATCH(ROUNDUP((Q$1)/10,0)*10,[1]Hugst!$R$4:$W$4,0))))</f>
        <v>7110.8968489723065</v>
      </c>
      <c r="R84" s="168">
        <f ca="1">IF($C84-R$1&lt;År1,0,Q83*(1-VLOOKUP($A84,[1]Hugst!$R$5:$W$9,MATCH(ROUNDUP((R$1)/10,0)*10,[1]Hugst!$R$4:$W$4,0))))</f>
        <v>7110.4416276646743</v>
      </c>
      <c r="S84" s="168">
        <f ca="1">IF($C84-S$1&lt;År1,0,R83*(1-VLOOKUP($A84,[1]Hugst!$R$5:$W$9,MATCH(ROUNDUP((S$1)/10,0)*10,[1]Hugst!$R$4:$W$4,0))))</f>
        <v>7110.0233896891932</v>
      </c>
      <c r="T84" s="168">
        <f ca="1">IF($C84-T$1&lt;År1,0,S83*(1-VLOOKUP($A84,[1]Hugst!$R$5:$W$9,MATCH(ROUNDUP((T$1)/10,0)*10,[1]Hugst!$R$4:$W$4,0))))</f>
        <v>7109.6422053527995</v>
      </c>
      <c r="U84" s="168">
        <f ca="1">IF($C84-U$1&lt;År1,0,T83*(1-VLOOKUP($A84,[1]Hugst!$R$5:$W$9,MATCH(ROUNDUP((U$1)/10,0)*10,[1]Hugst!$R$4:$W$4,0))))</f>
        <v>7109.298145297721</v>
      </c>
      <c r="V84" s="168">
        <f ca="1">IF($C84-V$1&lt;År1,0,U83*(1-VLOOKUP($A84,[1]Hugst!$R$5:$W$9,MATCH(ROUNDUP((V$1)/10,0)*10,[1]Hugst!$R$4:$W$4,0))))</f>
        <v>7108.9912805026725</v>
      </c>
      <c r="W84" s="168">
        <f ca="1">IF($C84-W$1&lt;År1,0,V83*(1-VLOOKUP($A84,[1]Hugst!$R$5:$W$9,MATCH(ROUNDUP((W$1)/10,0)*10,[1]Hugst!$R$4:$W$4,0))))</f>
        <v>7108.721682283428</v>
      </c>
      <c r="X84" s="168">
        <f ca="1">IF($C84-X$1&lt;År1,0,W83*(1-VLOOKUP($A84,[1]Hugst!$R$5:$W$9,MATCH(ROUNDUP((X$1)/10,0)*10,[1]Hugst!$R$4:$W$4,0))))</f>
        <v>7108.4894222945231</v>
      </c>
      <c r="Y84" s="168">
        <f ca="1">IF($C84-Y$1&lt;År1,0,X83*(1-VLOOKUP($A84,[1]Hugst!$R$5:$W$9,MATCH(ROUNDUP((Y$1)/10,0)*10,[1]Hugst!$R$4:$W$4,0))))</f>
        <v>7108.2945725293812</v>
      </c>
      <c r="Z84" s="168">
        <f ca="1">IF($C84-Z$1&lt;År1,0,Y83*(1-VLOOKUP($A84,[1]Hugst!$R$5:$W$9,MATCH(ROUNDUP((Z$1)/10,0)*10,[1]Hugst!$R$4:$W$4,0))))</f>
        <v>7106.6289433114353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1956.2050113683217</v>
      </c>
      <c r="E85" s="168">
        <f t="shared" ca="1" si="1"/>
        <v>133.20314144785516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7144.5663888046893</v>
      </c>
      <c r="G85" s="168">
        <f ca="1">IF($C85-G$1&lt;År1,0,F84*(1-VLOOKUP($A85,[1]Hugst!$R$5:$W$9,MATCH(ROUNDUP((G$1)/10,0)*10,[1]Hugst!$R$4:$W$4,0))))</f>
        <v>7142.1954920829357</v>
      </c>
      <c r="H85" s="168">
        <f ca="1">IF($C85-H$1&lt;År1,0,G84*(1-VLOOKUP($A85,[1]Hugst!$R$5:$W$9,MATCH(ROUNDUP((H$1)/10,0)*10,[1]Hugst!$R$4:$W$4,0))))</f>
        <v>7139.8514625901207</v>
      </c>
      <c r="I85" s="168">
        <f ca="1">IF($C85-I$1&lt;År1,0,H84*(1-VLOOKUP($A85,[1]Hugst!$R$5:$W$9,MATCH(ROUNDUP((I$1)/10,0)*10,[1]Hugst!$R$4:$W$4,0))))</f>
        <v>7139.0499472261781</v>
      </c>
      <c r="J85" s="168">
        <f ca="1">IF($C85-J$1&lt;År1,0,I84*(1-VLOOKUP($A85,[1]Hugst!$R$5:$W$9,MATCH(ROUNDUP((J$1)/10,0)*10,[1]Hugst!$R$4:$W$4,0))))</f>
        <v>7138.2659843538186</v>
      </c>
      <c r="K85" s="168">
        <f ca="1">IF($C85-K$1&lt;År1,0,J84*(1-VLOOKUP($A85,[1]Hugst!$R$5:$W$9,MATCH(ROUNDUP((K$1)/10,0)*10,[1]Hugst!$R$4:$W$4,0))))</f>
        <v>7137.4996951460107</v>
      </c>
      <c r="L85" s="168">
        <f ca="1">IF($C85-L$1&lt;År1,0,K84*(1-VLOOKUP($A85,[1]Hugst!$R$5:$W$9,MATCH(ROUNDUP((L$1)/10,0)*10,[1]Hugst!$R$4:$W$4,0))))</f>
        <v>7136.7512014346339</v>
      </c>
      <c r="M85" s="168">
        <f ca="1">IF($C85-M$1&lt;År1,0,L84*(1-VLOOKUP($A85,[1]Hugst!$R$5:$W$9,MATCH(ROUNDUP((M$1)/10,0)*10,[1]Hugst!$R$4:$W$4,0))))</f>
        <v>7136.0206257144364</v>
      </c>
      <c r="N85" s="168">
        <f ca="1">IF($C85-N$1&lt;År1,0,M84*(1-VLOOKUP($A85,[1]Hugst!$R$5:$W$9,MATCH(ROUNDUP((N$1)/10,0)*10,[1]Hugst!$R$4:$W$4,0))))</f>
        <v>7135.3080911461639</v>
      </c>
      <c r="O85" s="168">
        <f ca="1">IF($C85-O$1&lt;År1,0,N84*(1-VLOOKUP($A85,[1]Hugst!$R$5:$W$9,MATCH(ROUNDUP((O$1)/10,0)*10,[1]Hugst!$R$4:$W$4,0))))</f>
        <v>7134.6137215600229</v>
      </c>
      <c r="P85" s="168">
        <f ca="1">IF($C85-P$1&lt;År1,0,O84*(1-VLOOKUP($A85,[1]Hugst!$R$5:$W$9,MATCH(ROUNDUP((P$1)/10,0)*10,[1]Hugst!$R$4:$W$4,0))))</f>
        <v>7123.0553637010589</v>
      </c>
      <c r="Q85" s="168">
        <f ca="1">IF($C85-Q$1&lt;År1,0,P84*(1-VLOOKUP($A85,[1]Hugst!$R$5:$W$9,MATCH(ROUNDUP((Q$1)/10,0)*10,[1]Hugst!$R$4:$W$4,0))))</f>
        <v>7111.5340254984403</v>
      </c>
      <c r="R85" s="168">
        <f ca="1">IF($C85-R$1&lt;År1,0,Q84*(1-VLOOKUP($A85,[1]Hugst!$R$5:$W$9,MATCH(ROUNDUP((R$1)/10,0)*10,[1]Hugst!$R$4:$W$4,0))))</f>
        <v>7100.0497181857381</v>
      </c>
      <c r="S85" s="168">
        <f ca="1">IF($C85-S$1&lt;År1,0,R84*(1-VLOOKUP($A85,[1]Hugst!$R$5:$W$9,MATCH(ROUNDUP((S$1)/10,0)*10,[1]Hugst!$R$4:$W$4,0))))</f>
        <v>7099.5951912834907</v>
      </c>
      <c r="T85" s="168">
        <f ca="1">IF($C85-T$1&lt;År1,0,S84*(1-VLOOKUP($A85,[1]Hugst!$R$5:$W$9,MATCH(ROUNDUP((T$1)/10,0)*10,[1]Hugst!$R$4:$W$4,0))))</f>
        <v>7099.177591298142</v>
      </c>
      <c r="U85" s="168">
        <f ca="1">IF($C85-U$1&lt;År1,0,T84*(1-VLOOKUP($A85,[1]Hugst!$R$5:$W$9,MATCH(ROUNDUP((U$1)/10,0)*10,[1]Hugst!$R$4:$W$4,0))))</f>
        <v>7098.7969884293798</v>
      </c>
      <c r="V85" s="168">
        <f ca="1">IF($C85-V$1&lt;År1,0,U84*(1-VLOOKUP($A85,[1]Hugst!$R$5:$W$9,MATCH(ROUNDUP((V$1)/10,0)*10,[1]Hugst!$R$4:$W$4,0))))</f>
        <v>7098.4534532116731</v>
      </c>
      <c r="W85" s="168">
        <f ca="1">IF($C85-W$1&lt;År1,0,V84*(1-VLOOKUP($A85,[1]Hugst!$R$5:$W$9,MATCH(ROUNDUP((W$1)/10,0)*10,[1]Hugst!$R$4:$W$4,0))))</f>
        <v>7098.147056515465</v>
      </c>
      <c r="X85" s="168">
        <f ca="1">IF($C85-X$1&lt;År1,0,W84*(1-VLOOKUP($A85,[1]Hugst!$R$5:$W$9,MATCH(ROUNDUP((X$1)/10,0)*10,[1]Hugst!$R$4:$W$4,0))))</f>
        <v>7097.8778695477413</v>
      </c>
      <c r="Y85" s="168">
        <f ca="1">IF($C85-Y$1&lt;År1,0,X84*(1-VLOOKUP($A85,[1]Hugst!$R$5:$W$9,MATCH(ROUNDUP((Y$1)/10,0)*10,[1]Hugst!$R$4:$W$4,0))))</f>
        <v>7097.6459638537344</v>
      </c>
      <c r="Z85" s="168">
        <f ca="1">IF($C85-Z$1&lt;År1,0,Y84*(1-VLOOKUP($A85,[1]Hugst!$R$5:$W$9,MATCH(ROUNDUP((Z$1)/10,0)*10,[1]Hugst!$R$4:$W$4,0))))</f>
        <v>7095.945416704224</v>
      </c>
      <c r="AA85" s="168">
        <f ca="1">IF($C85-AA$1&lt;År1,0,Z84*(1-VLOOKUP($A85,[1]Hugst!$R$5:$W$9,MATCH(ROUNDUP((AA$1)/10,0)*10,[1]Hugst!$R$4:$W$4,0))))</f>
        <v>7094.2826811641562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1946.4239863115363</v>
      </c>
      <c r="E86" s="168">
        <f t="shared" ca="1" si="1"/>
        <v>145.38176575352554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7146.9639880535742</v>
      </c>
      <c r="G86" s="168">
        <f ca="1">IF($C86-G$1&lt;År1,0,F85*(1-VLOOKUP($A86,[1]Hugst!$R$5:$W$9,MATCH(ROUNDUP((G$1)/10,0)*10,[1]Hugst!$R$4:$W$4,0))))</f>
        <v>7144.5663888046893</v>
      </c>
      <c r="H86" s="168">
        <f ca="1">IF($C86-H$1&lt;År1,0,G85*(1-VLOOKUP($A86,[1]Hugst!$R$5:$W$9,MATCH(ROUNDUP((H$1)/10,0)*10,[1]Hugst!$R$4:$W$4,0))))</f>
        <v>7142.1954920829357</v>
      </c>
      <c r="I86" s="168">
        <f ca="1">IF($C86-I$1&lt;År1,0,H85*(1-VLOOKUP($A86,[1]Hugst!$R$5:$W$9,MATCH(ROUNDUP((I$1)/10,0)*10,[1]Hugst!$R$4:$W$4,0))))</f>
        <v>7139.8514625901207</v>
      </c>
      <c r="J86" s="168">
        <f ca="1">IF($C86-J$1&lt;År1,0,I85*(1-VLOOKUP($A86,[1]Hugst!$R$5:$W$9,MATCH(ROUNDUP((J$1)/10,0)*10,[1]Hugst!$R$4:$W$4,0))))</f>
        <v>7139.0499472261781</v>
      </c>
      <c r="K86" s="168">
        <f ca="1">IF($C86-K$1&lt;År1,0,J85*(1-VLOOKUP($A86,[1]Hugst!$R$5:$W$9,MATCH(ROUNDUP((K$1)/10,0)*10,[1]Hugst!$R$4:$W$4,0))))</f>
        <v>7138.2659843538186</v>
      </c>
      <c r="L86" s="168">
        <f ca="1">IF($C86-L$1&lt;År1,0,K85*(1-VLOOKUP($A86,[1]Hugst!$R$5:$W$9,MATCH(ROUNDUP((L$1)/10,0)*10,[1]Hugst!$R$4:$W$4,0))))</f>
        <v>7137.4996951460107</v>
      </c>
      <c r="M86" s="168">
        <f ca="1">IF($C86-M$1&lt;År1,0,L85*(1-VLOOKUP($A86,[1]Hugst!$R$5:$W$9,MATCH(ROUNDUP((M$1)/10,0)*10,[1]Hugst!$R$4:$W$4,0))))</f>
        <v>7136.7512014346339</v>
      </c>
      <c r="N86" s="168">
        <f ca="1">IF($C86-N$1&lt;År1,0,M85*(1-VLOOKUP($A86,[1]Hugst!$R$5:$W$9,MATCH(ROUNDUP((N$1)/10,0)*10,[1]Hugst!$R$4:$W$4,0))))</f>
        <v>7136.0206257144364</v>
      </c>
      <c r="O86" s="168">
        <f ca="1">IF($C86-O$1&lt;År1,0,N85*(1-VLOOKUP($A86,[1]Hugst!$R$5:$W$9,MATCH(ROUNDUP((O$1)/10,0)*10,[1]Hugst!$R$4:$W$4,0))))</f>
        <v>7135.3080911461639</v>
      </c>
      <c r="P86" s="168">
        <f ca="1">IF($C86-P$1&lt;År1,0,O85*(1-VLOOKUP($A86,[1]Hugst!$R$5:$W$9,MATCH(ROUNDUP((P$1)/10,0)*10,[1]Hugst!$R$4:$W$4,0))))</f>
        <v>7123.7304124932361</v>
      </c>
      <c r="Q86" s="168">
        <f ca="1">IF($C86-Q$1&lt;År1,0,P85*(1-VLOOKUP($A86,[1]Hugst!$R$5:$W$9,MATCH(ROUNDUP((Q$1)/10,0)*10,[1]Hugst!$R$4:$W$4,0))))</f>
        <v>7112.1896860276165</v>
      </c>
      <c r="R86" s="168">
        <f ca="1">IF($C86-R$1&lt;År1,0,Q85*(1-VLOOKUP($A86,[1]Hugst!$R$5:$W$9,MATCH(ROUNDUP((R$1)/10,0)*10,[1]Hugst!$R$4:$W$4,0))))</f>
        <v>7100.6859227476798</v>
      </c>
      <c r="S86" s="168">
        <f ca="1">IF($C86-S$1&lt;År1,0,R85*(1-VLOOKUP($A86,[1]Hugst!$R$5:$W$9,MATCH(ROUNDUP((S$1)/10,0)*10,[1]Hugst!$R$4:$W$4,0))))</f>
        <v>7089.2191338698613</v>
      </c>
      <c r="T86" s="168">
        <f ca="1">IF($C86-T$1&lt;År1,0,S85*(1-VLOOKUP($A86,[1]Hugst!$R$5:$W$9,MATCH(ROUNDUP((T$1)/10,0)*10,[1]Hugst!$R$4:$W$4,0))))</f>
        <v>7088.7653003137357</v>
      </c>
      <c r="U86" s="168">
        <f ca="1">IF($C86-U$1&lt;År1,0,T85*(1-VLOOKUP($A86,[1]Hugst!$R$5:$W$9,MATCH(ROUNDUP((U$1)/10,0)*10,[1]Hugst!$R$4:$W$4,0))))</f>
        <v>7088.3483373453146</v>
      </c>
      <c r="V86" s="168">
        <f ca="1">IF($C86-V$1&lt;År1,0,U85*(1-VLOOKUP($A86,[1]Hugst!$R$5:$W$9,MATCH(ROUNDUP((V$1)/10,0)*10,[1]Hugst!$R$4:$W$4,0))))</f>
        <v>7087.9683150571991</v>
      </c>
      <c r="W86" s="168">
        <f ca="1">IF($C86-W$1&lt;År1,0,V85*(1-VLOOKUP($A86,[1]Hugst!$R$5:$W$9,MATCH(ROUNDUP((W$1)/10,0)*10,[1]Hugst!$R$4:$W$4,0))))</f>
        <v>7087.6253038762652</v>
      </c>
      <c r="X86" s="168">
        <f ca="1">IF($C86-X$1&lt;År1,0,W85*(1-VLOOKUP($A86,[1]Hugst!$R$5:$W$9,MATCH(ROUNDUP((X$1)/10,0)*10,[1]Hugst!$R$4:$W$4,0))))</f>
        <v>7087.3193745648477</v>
      </c>
      <c r="Y86" s="168">
        <f ca="1">IF($C86-Y$1&lt;År1,0,X85*(1-VLOOKUP($A86,[1]Hugst!$R$5:$W$9,MATCH(ROUNDUP((Y$1)/10,0)*10,[1]Hugst!$R$4:$W$4,0))))</f>
        <v>7087.0505982213126</v>
      </c>
      <c r="Z86" s="168">
        <f ca="1">IF($C86-Z$1&lt;År1,0,Y85*(1-VLOOKUP($A86,[1]Hugst!$R$5:$W$9,MATCH(ROUNDUP((Z$1)/10,0)*10,[1]Hugst!$R$4:$W$4,0))))</f>
        <v>7085.3153077300904</v>
      </c>
      <c r="AA86" s="168">
        <f ca="1">IF($C86-AA$1&lt;År1,0,Z85*(1-VLOOKUP($A86,[1]Hugst!$R$5:$W$9,MATCH(ROUNDUP((AA$1)/10,0)*10,[1]Hugst!$R$4:$W$4,0))))</f>
        <v>7083.6177149209661</v>
      </c>
      <c r="AB86" s="168">
        <f ca="1">IF($C86-AB$1&lt;År1,0,AA85*(1-VLOOKUP($A86,[1]Hugst!$R$5:$W$9,MATCH(ROUNDUP((AB$1)/10,0)*10,[1]Hugst!$R$4:$W$4,0))))</f>
        <v>7081.9578680316254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1936.6918663798715</v>
      </c>
      <c r="E87" s="168">
        <f t="shared" ca="1" si="1"/>
        <v>157.53802358621033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7149.3881259545942</v>
      </c>
      <c r="G87" s="168">
        <f ca="1">IF($C87-G$1&lt;År1,0,F86*(1-VLOOKUP($A87,[1]Hugst!$R$5:$W$9,MATCH(ROUNDUP((G$1)/10,0)*10,[1]Hugst!$R$4:$W$4,0))))</f>
        <v>7146.9639880535742</v>
      </c>
      <c r="H87" s="168">
        <f ca="1">IF($C87-H$1&lt;År1,0,G86*(1-VLOOKUP($A87,[1]Hugst!$R$5:$W$9,MATCH(ROUNDUP((H$1)/10,0)*10,[1]Hugst!$R$4:$W$4,0))))</f>
        <v>7144.5663888046893</v>
      </c>
      <c r="I87" s="168">
        <f ca="1">IF($C87-I$1&lt;År1,0,H86*(1-VLOOKUP($A87,[1]Hugst!$R$5:$W$9,MATCH(ROUNDUP((I$1)/10,0)*10,[1]Hugst!$R$4:$W$4,0))))</f>
        <v>7142.1954920829357</v>
      </c>
      <c r="J87" s="168">
        <f ca="1">IF($C87-J$1&lt;År1,0,I86*(1-VLOOKUP($A87,[1]Hugst!$R$5:$W$9,MATCH(ROUNDUP((J$1)/10,0)*10,[1]Hugst!$R$4:$W$4,0))))</f>
        <v>7139.8514625901207</v>
      </c>
      <c r="K87" s="168">
        <f ca="1">IF($C87-K$1&lt;År1,0,J86*(1-VLOOKUP($A87,[1]Hugst!$R$5:$W$9,MATCH(ROUNDUP((K$1)/10,0)*10,[1]Hugst!$R$4:$W$4,0))))</f>
        <v>7139.0499472261781</v>
      </c>
      <c r="L87" s="168">
        <f ca="1">IF($C87-L$1&lt;År1,0,K86*(1-VLOOKUP($A87,[1]Hugst!$R$5:$W$9,MATCH(ROUNDUP((L$1)/10,0)*10,[1]Hugst!$R$4:$W$4,0))))</f>
        <v>7138.2659843538186</v>
      </c>
      <c r="M87" s="168">
        <f ca="1">IF($C87-M$1&lt;År1,0,L86*(1-VLOOKUP($A87,[1]Hugst!$R$5:$W$9,MATCH(ROUNDUP((M$1)/10,0)*10,[1]Hugst!$R$4:$W$4,0))))</f>
        <v>7137.4996951460107</v>
      </c>
      <c r="N87" s="168">
        <f ca="1">IF($C87-N$1&lt;År1,0,M86*(1-VLOOKUP($A87,[1]Hugst!$R$5:$W$9,MATCH(ROUNDUP((N$1)/10,0)*10,[1]Hugst!$R$4:$W$4,0))))</f>
        <v>7136.7512014346339</v>
      </c>
      <c r="O87" s="168">
        <f ca="1">IF($C87-O$1&lt;År1,0,N86*(1-VLOOKUP($A87,[1]Hugst!$R$5:$W$9,MATCH(ROUNDUP((O$1)/10,0)*10,[1]Hugst!$R$4:$W$4,0))))</f>
        <v>7136.0206257144364</v>
      </c>
      <c r="P87" s="168">
        <f ca="1">IF($C87-P$1&lt;År1,0,O86*(1-VLOOKUP($A87,[1]Hugst!$R$5:$W$9,MATCH(ROUNDUP((P$1)/10,0)*10,[1]Hugst!$R$4:$W$4,0))))</f>
        <v>7124.4237228715338</v>
      </c>
      <c r="Q87" s="168">
        <f ca="1">IF($C87-Q$1&lt;År1,0,P86*(1-VLOOKUP($A87,[1]Hugst!$R$5:$W$9,MATCH(ROUNDUP((Q$1)/10,0)*10,[1]Hugst!$R$4:$W$4,0))))</f>
        <v>7112.8637050843481</v>
      </c>
      <c r="R87" s="168">
        <f ca="1">IF($C87-R$1&lt;År1,0,Q86*(1-VLOOKUP($A87,[1]Hugst!$R$5:$W$9,MATCH(ROUNDUP((R$1)/10,0)*10,[1]Hugst!$R$4:$W$4,0))))</f>
        <v>7101.3405831167265</v>
      </c>
      <c r="S87" s="168">
        <f ca="1">IF($C87-S$1&lt;År1,0,R86*(1-VLOOKUP($A87,[1]Hugst!$R$5:$W$9,MATCH(ROUNDUP((S$1)/10,0)*10,[1]Hugst!$R$4:$W$4,0))))</f>
        <v>7089.8543679502682</v>
      </c>
      <c r="T87" s="168">
        <f ca="1">IF($C87-T$1&lt;År1,0,S86*(1-VLOOKUP($A87,[1]Hugst!$R$5:$W$9,MATCH(ROUNDUP((T$1)/10,0)*10,[1]Hugst!$R$4:$W$4,0))))</f>
        <v>7078.4050707842971</v>
      </c>
      <c r="U87" s="168">
        <f ca="1">IF($C87-U$1&lt;År1,0,T86*(1-VLOOKUP($A87,[1]Hugst!$R$5:$W$9,MATCH(ROUNDUP((U$1)/10,0)*10,[1]Hugst!$R$4:$W$4,0))))</f>
        <v>7077.9519295166465</v>
      </c>
      <c r="V87" s="168">
        <f ca="1">IF($C87-V$1&lt;År1,0,U86*(1-VLOOKUP($A87,[1]Hugst!$R$5:$W$9,MATCH(ROUNDUP((V$1)/10,0)*10,[1]Hugst!$R$4:$W$4,0))))</f>
        <v>7077.5356025934316</v>
      </c>
      <c r="W87" s="168">
        <f ca="1">IF($C87-W$1&lt;År1,0,V86*(1-VLOOKUP($A87,[1]Hugst!$R$5:$W$9,MATCH(ROUNDUP((W$1)/10,0)*10,[1]Hugst!$R$4:$W$4,0))))</f>
        <v>7077.1561600003324</v>
      </c>
      <c r="X87" s="168">
        <f ca="1">IF($C87-X$1&lt;År1,0,W86*(1-VLOOKUP($A87,[1]Hugst!$R$5:$W$9,MATCH(ROUNDUP((X$1)/10,0)*10,[1]Hugst!$R$4:$W$4,0))))</f>
        <v>7076.8136720567927</v>
      </c>
      <c r="Y87" s="168">
        <f ca="1">IF($C87-Y$1&lt;År1,0,X86*(1-VLOOKUP($A87,[1]Hugst!$R$5:$W$9,MATCH(ROUNDUP((Y$1)/10,0)*10,[1]Hugst!$R$4:$W$4,0))))</f>
        <v>7076.5082094172067</v>
      </c>
      <c r="Z87" s="168">
        <f ca="1">IF($C87-Z$1&lt;År1,0,Y86*(1-VLOOKUP($A87,[1]Hugst!$R$5:$W$9,MATCH(ROUNDUP((Z$1)/10,0)*10,[1]Hugst!$R$4:$W$4,0))))</f>
        <v>7074.7383493006737</v>
      </c>
      <c r="AA87" s="168">
        <f ca="1">IF($C87-AA$1&lt;År1,0,Z86*(1-VLOOKUP($A87,[1]Hugst!$R$5:$W$9,MATCH(ROUNDUP((AA$1)/10,0)*10,[1]Hugst!$R$4:$W$4,0))))</f>
        <v>7073.0060735090337</v>
      </c>
      <c r="AB87" s="168">
        <f ca="1">IF($C87-AB$1&lt;År1,0,AA86*(1-VLOOKUP($A87,[1]Hugst!$R$5:$W$9,MATCH(ROUNDUP((AB$1)/10,0)*10,[1]Hugst!$R$4:$W$4,0))))</f>
        <v>7071.3114299077561</v>
      </c>
      <c r="AC87" s="168">
        <f ca="1">IF($C87-AC$1&lt;År1,0,AB86*(1-VLOOKUP($A87,[1]Hugst!$R$5:$W$9,MATCH(ROUNDUP((AC$1)/10,0)*10,[1]Hugst!$R$4:$W$4,0))))</f>
        <v>7069.6544666507225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1927.0084070480079</v>
      </c>
      <c r="E88" s="168">
        <f t="shared" ca="1" si="1"/>
        <v>169.67199641987099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7151.8386394563913</v>
      </c>
      <c r="G88" s="168">
        <f ca="1">IF($C88-G$1&lt;År1,0,F87*(1-VLOOKUP($A88,[1]Hugst!$R$5:$W$9,MATCH(ROUNDUP((G$1)/10,0)*10,[1]Hugst!$R$4:$W$4,0))))</f>
        <v>7149.3881259545942</v>
      </c>
      <c r="H88" s="168">
        <f ca="1">IF($C88-H$1&lt;År1,0,G87*(1-VLOOKUP($A88,[1]Hugst!$R$5:$W$9,MATCH(ROUNDUP((H$1)/10,0)*10,[1]Hugst!$R$4:$W$4,0))))</f>
        <v>7146.9639880535742</v>
      </c>
      <c r="I88" s="168">
        <f ca="1">IF($C88-I$1&lt;År1,0,H87*(1-VLOOKUP($A88,[1]Hugst!$R$5:$W$9,MATCH(ROUNDUP((I$1)/10,0)*10,[1]Hugst!$R$4:$W$4,0))))</f>
        <v>7144.5663888046893</v>
      </c>
      <c r="J88" s="168">
        <f ca="1">IF($C88-J$1&lt;År1,0,I87*(1-VLOOKUP($A88,[1]Hugst!$R$5:$W$9,MATCH(ROUNDUP((J$1)/10,0)*10,[1]Hugst!$R$4:$W$4,0))))</f>
        <v>7142.1954920829357</v>
      </c>
      <c r="K88" s="168">
        <f ca="1">IF($C88-K$1&lt;År1,0,J87*(1-VLOOKUP($A88,[1]Hugst!$R$5:$W$9,MATCH(ROUNDUP((K$1)/10,0)*10,[1]Hugst!$R$4:$W$4,0))))</f>
        <v>7139.8514625901207</v>
      </c>
      <c r="L88" s="168">
        <f ca="1">IF($C88-L$1&lt;År1,0,K87*(1-VLOOKUP($A88,[1]Hugst!$R$5:$W$9,MATCH(ROUNDUP((L$1)/10,0)*10,[1]Hugst!$R$4:$W$4,0))))</f>
        <v>7139.0499472261781</v>
      </c>
      <c r="M88" s="168">
        <f ca="1">IF($C88-M$1&lt;År1,0,L87*(1-VLOOKUP($A88,[1]Hugst!$R$5:$W$9,MATCH(ROUNDUP((M$1)/10,0)*10,[1]Hugst!$R$4:$W$4,0))))</f>
        <v>7138.2659843538186</v>
      </c>
      <c r="N88" s="168">
        <f ca="1">IF($C88-N$1&lt;År1,0,M87*(1-VLOOKUP($A88,[1]Hugst!$R$5:$W$9,MATCH(ROUNDUP((N$1)/10,0)*10,[1]Hugst!$R$4:$W$4,0))))</f>
        <v>7137.4996951460107</v>
      </c>
      <c r="O88" s="168">
        <f ca="1">IF($C88-O$1&lt;År1,0,N87*(1-VLOOKUP($A88,[1]Hugst!$R$5:$W$9,MATCH(ROUNDUP((O$1)/10,0)*10,[1]Hugst!$R$4:$W$4,0))))</f>
        <v>7136.7512014346339</v>
      </c>
      <c r="P88" s="168">
        <f ca="1">IF($C88-P$1&lt;År1,0,O87*(1-VLOOKUP($A88,[1]Hugst!$R$5:$W$9,MATCH(ROUNDUP((P$1)/10,0)*10,[1]Hugst!$R$4:$W$4,0))))</f>
        <v>7125.135170522668</v>
      </c>
      <c r="Q88" s="168">
        <f ca="1">IF($C88-Q$1&lt;År1,0,P87*(1-VLOOKUP($A88,[1]Hugst!$R$5:$W$9,MATCH(ROUNDUP((Q$1)/10,0)*10,[1]Hugst!$R$4:$W$4,0))))</f>
        <v>7113.5559578705434</v>
      </c>
      <c r="R88" s="168">
        <f ca="1">IF($C88-R$1&lt;År1,0,Q87*(1-VLOOKUP($A88,[1]Hugst!$R$5:$W$9,MATCH(ROUNDUP((R$1)/10,0)*10,[1]Hugst!$R$4:$W$4,0))))</f>
        <v>7102.0135740087953</v>
      </c>
      <c r="S88" s="168">
        <f ca="1">IF($C88-S$1&lt;År1,0,R87*(1-VLOOKUP($A88,[1]Hugst!$R$5:$W$9,MATCH(ROUNDUP((S$1)/10,0)*10,[1]Hugst!$R$4:$W$4,0))))</f>
        <v>7090.5080296848537</v>
      </c>
      <c r="T88" s="168">
        <f ca="1">IF($C88-T$1&lt;År1,0,S87*(1-VLOOKUP($A88,[1]Hugst!$R$5:$W$9,MATCH(ROUNDUP((T$1)/10,0)*10,[1]Hugst!$R$4:$W$4,0))))</f>
        <v>7079.0393358635638</v>
      </c>
      <c r="U88" s="168">
        <f ca="1">IF($C88-U$1&lt;År1,0,T87*(1-VLOOKUP($A88,[1]Hugst!$R$5:$W$9,MATCH(ROUNDUP((U$1)/10,0)*10,[1]Hugst!$R$4:$W$4,0))))</f>
        <v>7067.6075037271685</v>
      </c>
      <c r="V88" s="168">
        <f ca="1">IF($C88-V$1&lt;År1,0,U87*(1-VLOOKUP($A88,[1]Hugst!$R$5:$W$9,MATCH(ROUNDUP((V$1)/10,0)*10,[1]Hugst!$R$4:$W$4,0))))</f>
        <v>7067.1550536919594</v>
      </c>
      <c r="W88" s="168">
        <f ca="1">IF($C88-W$1&lt;År1,0,V87*(1-VLOOKUP($A88,[1]Hugst!$R$5:$W$9,MATCH(ROUNDUP((W$1)/10,0)*10,[1]Hugst!$R$4:$W$4,0))))</f>
        <v>7066.7393618437127</v>
      </c>
      <c r="X88" s="168">
        <f ca="1">IF($C88-X$1&lt;År1,0,W87*(1-VLOOKUP($A88,[1]Hugst!$R$5:$W$9,MATCH(ROUNDUP((X$1)/10,0)*10,[1]Hugst!$R$4:$W$4,0))))</f>
        <v>7066.3604980613491</v>
      </c>
      <c r="Y88" s="168">
        <f ca="1">IF($C88-Y$1&lt;År1,0,X87*(1-VLOOKUP($A88,[1]Hugst!$R$5:$W$9,MATCH(ROUNDUP((Y$1)/10,0)*10,[1]Hugst!$R$4:$W$4,0))))</f>
        <v>7066.0185325570446</v>
      </c>
      <c r="Z88" s="168">
        <f ca="1">IF($C88-Z$1&lt;År1,0,Y87*(1-VLOOKUP($A88,[1]Hugst!$R$5:$W$9,MATCH(ROUNDUP((Z$1)/10,0)*10,[1]Hugst!$R$4:$W$4,0))))</f>
        <v>7064.2142756635576</v>
      </c>
      <c r="AA88" s="168">
        <f ca="1">IF($C88-AA$1&lt;År1,0,Z87*(1-VLOOKUP($A88,[1]Hugst!$R$5:$W$9,MATCH(ROUNDUP((AA$1)/10,0)*10,[1]Hugst!$R$4:$W$4,0))))</f>
        <v>7062.4474903040073</v>
      </c>
      <c r="AB88" s="168">
        <f ca="1">IF($C88-AB$1&lt;År1,0,AA87*(1-VLOOKUP($A88,[1]Hugst!$R$5:$W$9,MATCH(ROUNDUP((AB$1)/10,0)*10,[1]Hugst!$R$4:$W$4,0))))</f>
        <v>7060.7182239745471</v>
      </c>
      <c r="AC88" s="168">
        <f ca="1">IF($C88-AC$1&lt;År1,0,AB87*(1-VLOOKUP($A88,[1]Hugst!$R$5:$W$9,MATCH(ROUNDUP((AC$1)/10,0)*10,[1]Hugst!$R$4:$W$4,0))))</f>
        <v>7059.0265244574921</v>
      </c>
      <c r="AD88" s="168">
        <f ca="1">IF($C88-AD$1&lt;År1,0,AC87*(1-VLOOKUP($A88,[1]Hugst!$R$5:$W$9,MATCH(ROUNDUP((AD$1)/10,0)*10,[1]Hugst!$R$4:$W$4,0))))</f>
        <v>7057.3724398230661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1917.3733650127542</v>
      </c>
      <c r="E89" s="168">
        <f t="shared" ca="1" si="1"/>
        <v>181.78376532538095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7154.3153663266476</v>
      </c>
      <c r="G89" s="168">
        <f ca="1">IF($C89-G$1&lt;År1,0,F88*(1-VLOOKUP($A89,[1]Hugst!$R$5:$W$9,MATCH(ROUNDUP((G$1)/10,0)*10,[1]Hugst!$R$4:$W$4,0))))</f>
        <v>7151.8386394563913</v>
      </c>
      <c r="H89" s="168">
        <f ca="1">IF($C89-H$1&lt;År1,0,G88*(1-VLOOKUP($A89,[1]Hugst!$R$5:$W$9,MATCH(ROUNDUP((H$1)/10,0)*10,[1]Hugst!$R$4:$W$4,0))))</f>
        <v>7149.3881259545942</v>
      </c>
      <c r="I89" s="168">
        <f ca="1">IF($C89-I$1&lt;År1,0,H88*(1-VLOOKUP($A89,[1]Hugst!$R$5:$W$9,MATCH(ROUNDUP((I$1)/10,0)*10,[1]Hugst!$R$4:$W$4,0))))</f>
        <v>7146.9639880535742</v>
      </c>
      <c r="J89" s="168">
        <f ca="1">IF($C89-J$1&lt;År1,0,I88*(1-VLOOKUP($A89,[1]Hugst!$R$5:$W$9,MATCH(ROUNDUP((J$1)/10,0)*10,[1]Hugst!$R$4:$W$4,0))))</f>
        <v>7144.5663888046893</v>
      </c>
      <c r="K89" s="168">
        <f ca="1">IF($C89-K$1&lt;År1,0,J88*(1-VLOOKUP($A89,[1]Hugst!$R$5:$W$9,MATCH(ROUNDUP((K$1)/10,0)*10,[1]Hugst!$R$4:$W$4,0))))</f>
        <v>7142.1954920829357</v>
      </c>
      <c r="L89" s="168">
        <f ca="1">IF($C89-L$1&lt;År1,0,K88*(1-VLOOKUP($A89,[1]Hugst!$R$5:$W$9,MATCH(ROUNDUP((L$1)/10,0)*10,[1]Hugst!$R$4:$W$4,0))))</f>
        <v>7139.8514625901207</v>
      </c>
      <c r="M89" s="168">
        <f ca="1">IF($C89-M$1&lt;År1,0,L88*(1-VLOOKUP($A89,[1]Hugst!$R$5:$W$9,MATCH(ROUNDUP((M$1)/10,0)*10,[1]Hugst!$R$4:$W$4,0))))</f>
        <v>7139.0499472261781</v>
      </c>
      <c r="N89" s="168">
        <f ca="1">IF($C89-N$1&lt;År1,0,M88*(1-VLOOKUP($A89,[1]Hugst!$R$5:$W$9,MATCH(ROUNDUP((N$1)/10,0)*10,[1]Hugst!$R$4:$W$4,0))))</f>
        <v>7138.2659843538186</v>
      </c>
      <c r="O89" s="168">
        <f ca="1">IF($C89-O$1&lt;År1,0,N88*(1-VLOOKUP($A89,[1]Hugst!$R$5:$W$9,MATCH(ROUNDUP((O$1)/10,0)*10,[1]Hugst!$R$4:$W$4,0))))</f>
        <v>7137.4996951460107</v>
      </c>
      <c r="P89" s="168">
        <f ca="1">IF($C89-P$1&lt;År1,0,O88*(1-VLOOKUP($A89,[1]Hugst!$R$5:$W$9,MATCH(ROUNDUP((P$1)/10,0)*10,[1]Hugst!$R$4:$W$4,0))))</f>
        <v>7125.864631805327</v>
      </c>
      <c r="Q89" s="168">
        <f ca="1">IF($C89-Q$1&lt;År1,0,P88*(1-VLOOKUP($A89,[1]Hugst!$R$5:$W$9,MATCH(ROUNDUP((Q$1)/10,0)*10,[1]Hugst!$R$4:$W$4,0))))</f>
        <v>7114.2663202625481</v>
      </c>
      <c r="R89" s="168">
        <f ca="1">IF($C89-R$1&lt;År1,0,Q88*(1-VLOOKUP($A89,[1]Hugst!$R$5:$W$9,MATCH(ROUNDUP((R$1)/10,0)*10,[1]Hugst!$R$4:$W$4,0))))</f>
        <v>7102.7047708161645</v>
      </c>
      <c r="S89" s="168">
        <f ca="1">IF($C89-S$1&lt;År1,0,R88*(1-VLOOKUP($A89,[1]Hugst!$R$5:$W$9,MATCH(ROUNDUP((S$1)/10,0)*10,[1]Hugst!$R$4:$W$4,0))))</f>
        <v>7091.179993980646</v>
      </c>
      <c r="T89" s="168">
        <f ca="1">IF($C89-T$1&lt;År1,0,S88*(1-VLOOKUP($A89,[1]Hugst!$R$5:$W$9,MATCH(ROUNDUP((T$1)/10,0)*10,[1]Hugst!$R$4:$W$4,0))))</f>
        <v>7079.692000487029</v>
      </c>
      <c r="U89" s="168">
        <f ca="1">IF($C89-U$1&lt;År1,0,T88*(1-VLOOKUP($A89,[1]Hugst!$R$5:$W$9,MATCH(ROUNDUP((U$1)/10,0)*10,[1]Hugst!$R$4:$W$4,0))))</f>
        <v>7068.240801283433</v>
      </c>
      <c r="V89" s="168">
        <f ca="1">IF($C89-V$1&lt;År1,0,U88*(1-VLOOKUP($A89,[1]Hugst!$R$5:$W$9,MATCH(ROUNDUP((V$1)/10,0)*10,[1]Hugst!$R$4:$W$4,0))))</f>
        <v>7056.8264075350417</v>
      </c>
      <c r="W89" s="168">
        <f ca="1">IF($C89-W$1&lt;År1,0,V88*(1-VLOOKUP($A89,[1]Hugst!$R$5:$W$9,MATCH(ROUNDUP((W$1)/10,0)*10,[1]Hugst!$R$4:$W$4,0))))</f>
        <v>7056.3746476778524</v>
      </c>
      <c r="X89" s="168">
        <f ca="1">IF($C89-X$1&lt;År1,0,W88*(1-VLOOKUP($A89,[1]Hugst!$R$5:$W$9,MATCH(ROUNDUP((X$1)/10,0)*10,[1]Hugst!$R$4:$W$4,0))))</f>
        <v>7055.9595899358155</v>
      </c>
      <c r="Y89" s="168">
        <f ca="1">IF($C89-Y$1&lt;År1,0,X88*(1-VLOOKUP($A89,[1]Hugst!$R$5:$W$9,MATCH(ROUNDUP((Y$1)/10,0)*10,[1]Hugst!$R$4:$W$4,0))))</f>
        <v>7055.5813040812554</v>
      </c>
      <c r="Z89" s="168">
        <f ca="1">IF($C89-Z$1&lt;År1,0,Y88*(1-VLOOKUP($A89,[1]Hugst!$R$5:$W$9,MATCH(ROUNDUP((Z$1)/10,0)*10,[1]Hugst!$R$4:$W$4,0))))</f>
        <v>7053.7428223945508</v>
      </c>
      <c r="AA89" s="168">
        <f ca="1">IF($C89-AA$1&lt;År1,0,Z88*(1-VLOOKUP($A89,[1]Hugst!$R$5:$W$9,MATCH(ROUNDUP((AA$1)/10,0)*10,[1]Hugst!$R$4:$W$4,0))))</f>
        <v>7051.9417000151589</v>
      </c>
      <c r="AB89" s="168">
        <f ca="1">IF($C89-AB$1&lt;År1,0,AA88*(1-VLOOKUP($A89,[1]Hugst!$R$5:$W$9,MATCH(ROUNDUP((AB$1)/10,0)*10,[1]Hugst!$R$4:$W$4,0))))</f>
        <v>7050.1779840708514</v>
      </c>
      <c r="AC89" s="168">
        <f ca="1">IF($C89-AC$1&lt;År1,0,AB88*(1-VLOOKUP($A89,[1]Hugst!$R$5:$W$9,MATCH(ROUNDUP((AC$1)/10,0)*10,[1]Hugst!$R$4:$W$4,0))))</f>
        <v>7048.4517219752688</v>
      </c>
      <c r="AD89" s="168">
        <f ca="1">IF($C89-AD$1&lt;År1,0,AC88*(1-VLOOKUP($A89,[1]Hugst!$R$5:$W$9,MATCH(ROUNDUP((AD$1)/10,0)*10,[1]Hugst!$R$4:$W$4,0))))</f>
        <v>7046.7629614277139</v>
      </c>
      <c r="AE89" s="168">
        <f ca="1">IF($C89-AE$1&lt;År1,0,AD88*(1-VLOOKUP($A89,[1]Hugst!$R$5:$W$9,MATCH(ROUNDUP((AE$1)/10,0)*10,[1]Hugst!$R$4:$W$4,0))))</f>
        <v>7045.1117504148988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1907.7864981877501</v>
      </c>
      <c r="E90" s="168">
        <f t="shared" ca="1" si="1"/>
        <v>193.87341097200988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7156.8181451482724</v>
      </c>
      <c r="G90" s="168">
        <f ca="1">IF($C90-G$1&lt;År1,0,F89*(1-VLOOKUP($A90,[1]Hugst!$R$5:$W$9,MATCH(ROUNDUP((G$1)/10,0)*10,[1]Hugst!$R$4:$W$4,0))))</f>
        <v>7154.3153663266476</v>
      </c>
      <c r="H90" s="168">
        <f ca="1">IF($C90-H$1&lt;År1,0,G89*(1-VLOOKUP($A90,[1]Hugst!$R$5:$W$9,MATCH(ROUNDUP((H$1)/10,0)*10,[1]Hugst!$R$4:$W$4,0))))</f>
        <v>7151.8386394563913</v>
      </c>
      <c r="I90" s="168">
        <f ca="1">IF($C90-I$1&lt;År1,0,H89*(1-VLOOKUP($A90,[1]Hugst!$R$5:$W$9,MATCH(ROUNDUP((I$1)/10,0)*10,[1]Hugst!$R$4:$W$4,0))))</f>
        <v>7149.3881259545942</v>
      </c>
      <c r="J90" s="168">
        <f ca="1">IF($C90-J$1&lt;År1,0,I89*(1-VLOOKUP($A90,[1]Hugst!$R$5:$W$9,MATCH(ROUNDUP((J$1)/10,0)*10,[1]Hugst!$R$4:$W$4,0))))</f>
        <v>7146.9639880535742</v>
      </c>
      <c r="K90" s="168">
        <f ca="1">IF($C90-K$1&lt;År1,0,J89*(1-VLOOKUP($A90,[1]Hugst!$R$5:$W$9,MATCH(ROUNDUP((K$1)/10,0)*10,[1]Hugst!$R$4:$W$4,0))))</f>
        <v>7144.5663888046893</v>
      </c>
      <c r="L90" s="168">
        <f ca="1">IF($C90-L$1&lt;År1,0,K89*(1-VLOOKUP($A90,[1]Hugst!$R$5:$W$9,MATCH(ROUNDUP((L$1)/10,0)*10,[1]Hugst!$R$4:$W$4,0))))</f>
        <v>7142.1954920829357</v>
      </c>
      <c r="M90" s="168">
        <f ca="1">IF($C90-M$1&lt;År1,0,L89*(1-VLOOKUP($A90,[1]Hugst!$R$5:$W$9,MATCH(ROUNDUP((M$1)/10,0)*10,[1]Hugst!$R$4:$W$4,0))))</f>
        <v>7139.8514625901207</v>
      </c>
      <c r="N90" s="168">
        <f ca="1">IF($C90-N$1&lt;År1,0,M89*(1-VLOOKUP($A90,[1]Hugst!$R$5:$W$9,MATCH(ROUNDUP((N$1)/10,0)*10,[1]Hugst!$R$4:$W$4,0))))</f>
        <v>7139.0499472261781</v>
      </c>
      <c r="O90" s="168">
        <f ca="1">IF($C90-O$1&lt;År1,0,N89*(1-VLOOKUP($A90,[1]Hugst!$R$5:$W$9,MATCH(ROUNDUP((O$1)/10,0)*10,[1]Hugst!$R$4:$W$4,0))))</f>
        <v>7138.2659843538186</v>
      </c>
      <c r="P90" s="168">
        <f ca="1">IF($C90-P$1&lt;År1,0,O89*(1-VLOOKUP($A90,[1]Hugst!$R$5:$W$9,MATCH(ROUNDUP((P$1)/10,0)*10,[1]Hugst!$R$4:$W$4,0))))</f>
        <v>7126.6119837466349</v>
      </c>
      <c r="Q90" s="168">
        <f ca="1">IF($C90-Q$1&lt;År1,0,P89*(1-VLOOKUP($A90,[1]Hugst!$R$5:$W$9,MATCH(ROUNDUP((Q$1)/10,0)*10,[1]Hugst!$R$4:$W$4,0))))</f>
        <v>7114.9946688076579</v>
      </c>
      <c r="R90" s="168">
        <f ca="1">IF($C90-R$1&lt;År1,0,Q89*(1-VLOOKUP($A90,[1]Hugst!$R$5:$W$9,MATCH(ROUNDUP((R$1)/10,0)*10,[1]Hugst!$R$4:$W$4,0))))</f>
        <v>7103.4140496045202</v>
      </c>
      <c r="S90" s="168">
        <f ca="1">IF($C90-S$1&lt;År1,0,R89*(1-VLOOKUP($A90,[1]Hugst!$R$5:$W$9,MATCH(ROUNDUP((S$1)/10,0)*10,[1]Hugst!$R$4:$W$4,0))))</f>
        <v>7091.8701364200042</v>
      </c>
      <c r="T90" s="168">
        <f ca="1">IF($C90-T$1&lt;År1,0,S89*(1-VLOOKUP($A90,[1]Hugst!$R$5:$W$9,MATCH(ROUNDUP((T$1)/10,0)*10,[1]Hugst!$R$4:$W$4,0))))</f>
        <v>7080.3629397525401</v>
      </c>
      <c r="U90" s="168">
        <f ca="1">IF($C90-U$1&lt;År1,0,T89*(1-VLOOKUP($A90,[1]Hugst!$R$5:$W$9,MATCH(ROUNDUP((U$1)/10,0)*10,[1]Hugst!$R$4:$W$4,0))))</f>
        <v>7068.8924703167941</v>
      </c>
      <c r="V90" s="168">
        <f ca="1">IF($C90-V$1&lt;År1,0,U89*(1-VLOOKUP($A90,[1]Hugst!$R$5:$W$9,MATCH(ROUNDUP((V$1)/10,0)*10,[1]Hugst!$R$4:$W$4,0))))</f>
        <v>7057.4587390441866</v>
      </c>
      <c r="W90" s="168">
        <f ca="1">IF($C90-W$1&lt;År1,0,V89*(1-VLOOKUP($A90,[1]Hugst!$R$5:$W$9,MATCH(ROUNDUP((W$1)/10,0)*10,[1]Hugst!$R$4:$W$4,0))))</f>
        <v>7046.061757082869</v>
      </c>
      <c r="X90" s="168">
        <f ca="1">IF($C90-X$1&lt;År1,0,W89*(1-VLOOKUP($A90,[1]Hugst!$R$5:$W$9,MATCH(ROUNDUP((X$1)/10,0)*10,[1]Hugst!$R$4:$W$4,0))))</f>
        <v>7045.6106863508858</v>
      </c>
      <c r="Y90" s="168">
        <f ca="1">IF($C90-Y$1&lt;År1,0,X89*(1-VLOOKUP($A90,[1]Hugst!$R$5:$W$9,MATCH(ROUNDUP((Y$1)/10,0)*10,[1]Hugst!$R$4:$W$4,0))))</f>
        <v>7045.1962617477775</v>
      </c>
      <c r="Z90" s="168">
        <f ca="1">IF($C90-Z$1&lt;År1,0,Y89*(1-VLOOKUP($A90,[1]Hugst!$R$5:$W$9,MATCH(ROUNDUP((Z$1)/10,0)*10,[1]Hugst!$R$4:$W$4,0))))</f>
        <v>7043.3237263919618</v>
      </c>
      <c r="AA90" s="168">
        <f ca="1">IF($C90-AA$1&lt;År1,0,Z89*(1-VLOOKUP($A90,[1]Hugst!$R$5:$W$9,MATCH(ROUNDUP((AA$1)/10,0)*10,[1]Hugst!$R$4:$W$4,0))))</f>
        <v>7041.4884386776785</v>
      </c>
      <c r="AB90" s="168">
        <f ca="1">IF($C90-AB$1&lt;År1,0,AA89*(1-VLOOKUP($A90,[1]Hugst!$R$5:$W$9,MATCH(ROUNDUP((AB$1)/10,0)*10,[1]Hugst!$R$4:$W$4,0))))</f>
        <v>7039.6904453668276</v>
      </c>
      <c r="AC90" s="168">
        <f ca="1">IF($C90-AC$1&lt;År1,0,AB89*(1-VLOOKUP($A90,[1]Hugst!$R$5:$W$9,MATCH(ROUNDUP((AC$1)/10,0)*10,[1]Hugst!$R$4:$W$4,0))))</f>
        <v>7037.9297935053046</v>
      </c>
      <c r="AD90" s="168">
        <f ca="1">IF($C90-AD$1&lt;År1,0,AC89*(1-VLOOKUP($A90,[1]Hugst!$R$5:$W$9,MATCH(ROUNDUP((AD$1)/10,0)*10,[1]Hugst!$R$4:$W$4,0))))</f>
        <v>7036.2065304243797</v>
      </c>
      <c r="AE90" s="168">
        <f ca="1">IF($C90-AE$1&lt;År1,0,AD89*(1-VLOOKUP($A90,[1]Hugst!$R$5:$W$9,MATCH(ROUNDUP((AE$1)/10,0)*10,[1]Hugst!$R$4:$W$4,0))))</f>
        <v>7034.5207037404871</v>
      </c>
      <c r="AF90" s="168">
        <f ca="1">IF($C90-AF$1&lt;År1,0,AE89*(1-VLOOKUP($A90,[1]Hugst!$R$5:$W$9,MATCH(ROUNDUP((AF$1)/10,0)*10,[1]Hugst!$R$4:$W$4,0))))</f>
        <v>7032.8723613569746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1898.2475656967144</v>
      </c>
      <c r="E91" s="168">
        <f t="shared" ca="1" si="1"/>
        <v>205.94101362995571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7159.3468153151825</v>
      </c>
      <c r="G91" s="168">
        <f ca="1">IF($C91-G$1&lt;År1,0,F90*(1-VLOOKUP($A91,[1]Hugst!$R$5:$W$9,MATCH(ROUNDUP((G$1)/10,0)*10,[1]Hugst!$R$4:$W$4,0))))</f>
        <v>7156.8181451482724</v>
      </c>
      <c r="H91" s="168">
        <f ca="1">IF($C91-H$1&lt;År1,0,G90*(1-VLOOKUP($A91,[1]Hugst!$R$5:$W$9,MATCH(ROUNDUP((H$1)/10,0)*10,[1]Hugst!$R$4:$W$4,0))))</f>
        <v>7154.3153663266476</v>
      </c>
      <c r="I91" s="168">
        <f ca="1">IF($C91-I$1&lt;År1,0,H90*(1-VLOOKUP($A91,[1]Hugst!$R$5:$W$9,MATCH(ROUNDUP((I$1)/10,0)*10,[1]Hugst!$R$4:$W$4,0))))</f>
        <v>7151.8386394563913</v>
      </c>
      <c r="J91" s="168">
        <f ca="1">IF($C91-J$1&lt;År1,0,I90*(1-VLOOKUP($A91,[1]Hugst!$R$5:$W$9,MATCH(ROUNDUP((J$1)/10,0)*10,[1]Hugst!$R$4:$W$4,0))))</f>
        <v>7149.3881259545942</v>
      </c>
      <c r="K91" s="168">
        <f ca="1">IF($C91-K$1&lt;År1,0,J90*(1-VLOOKUP($A91,[1]Hugst!$R$5:$W$9,MATCH(ROUNDUP((K$1)/10,0)*10,[1]Hugst!$R$4:$W$4,0))))</f>
        <v>7146.9639880535742</v>
      </c>
      <c r="L91" s="168">
        <f ca="1">IF($C91-L$1&lt;År1,0,K90*(1-VLOOKUP($A91,[1]Hugst!$R$5:$W$9,MATCH(ROUNDUP((L$1)/10,0)*10,[1]Hugst!$R$4:$W$4,0))))</f>
        <v>7144.5663888046893</v>
      </c>
      <c r="M91" s="168">
        <f ca="1">IF($C91-M$1&lt;År1,0,L90*(1-VLOOKUP($A91,[1]Hugst!$R$5:$W$9,MATCH(ROUNDUP((M$1)/10,0)*10,[1]Hugst!$R$4:$W$4,0))))</f>
        <v>7142.1954920829357</v>
      </c>
      <c r="N91" s="168">
        <f ca="1">IF($C91-N$1&lt;År1,0,M90*(1-VLOOKUP($A91,[1]Hugst!$R$5:$W$9,MATCH(ROUNDUP((N$1)/10,0)*10,[1]Hugst!$R$4:$W$4,0))))</f>
        <v>7139.8514625901207</v>
      </c>
      <c r="O91" s="168">
        <f ca="1">IF($C91-O$1&lt;År1,0,N90*(1-VLOOKUP($A91,[1]Hugst!$R$5:$W$9,MATCH(ROUNDUP((O$1)/10,0)*10,[1]Hugst!$R$4:$W$4,0))))</f>
        <v>7139.0499472261781</v>
      </c>
      <c r="P91" s="168">
        <f ca="1">IF($C91-P$1&lt;År1,0,O90*(1-VLOOKUP($A91,[1]Hugst!$R$5:$W$9,MATCH(ROUNDUP((P$1)/10,0)*10,[1]Hugst!$R$4:$W$4,0))))</f>
        <v>7127.3771040387028</v>
      </c>
      <c r="Q91" s="168">
        <f ca="1">IF($C91-Q$1&lt;År1,0,P90*(1-VLOOKUP($A91,[1]Hugst!$R$5:$W$9,MATCH(ROUNDUP((Q$1)/10,0)*10,[1]Hugst!$R$4:$W$4,0))))</f>
        <v>7115.7408807205802</v>
      </c>
      <c r="R91" s="168">
        <f ca="1">IF($C91-R$1&lt;År1,0,Q90*(1-VLOOKUP($A91,[1]Hugst!$R$5:$W$9,MATCH(ROUNDUP((R$1)/10,0)*10,[1]Hugst!$R$4:$W$4,0))))</f>
        <v>7104.1412871094763</v>
      </c>
      <c r="S91" s="168">
        <f ca="1">IF($C91-S$1&lt;År1,0,R90*(1-VLOOKUP($A91,[1]Hugst!$R$5:$W$9,MATCH(ROUNDUP((S$1)/10,0)*10,[1]Hugst!$R$4:$W$4,0))))</f>
        <v>7092.5783332576657</v>
      </c>
      <c r="T91" s="168">
        <f ca="1">IF($C91-T$1&lt;År1,0,S90*(1-VLOOKUP($A91,[1]Hugst!$R$5:$W$9,MATCH(ROUNDUP((T$1)/10,0)*10,[1]Hugst!$R$4:$W$4,0))))</f>
        <v>7081.052029432245</v>
      </c>
      <c r="U91" s="168">
        <f ca="1">IF($C91-U$1&lt;År1,0,T90*(1-VLOOKUP($A91,[1]Hugst!$R$5:$W$9,MATCH(ROUNDUP((U$1)/10,0)*10,[1]Hugst!$R$4:$W$4,0))))</f>
        <v>7069.5623861156291</v>
      </c>
      <c r="V91" s="168">
        <f ca="1">IF($C91-V$1&lt;År1,0,U90*(1-VLOOKUP($A91,[1]Hugst!$R$5:$W$9,MATCH(ROUNDUP((V$1)/10,0)*10,[1]Hugst!$R$4:$W$4,0))))</f>
        <v>7058.1094140061414</v>
      </c>
      <c r="W91" s="168">
        <f ca="1">IF($C91-W$1&lt;År1,0,V90*(1-VLOOKUP($A91,[1]Hugst!$R$5:$W$9,MATCH(ROUNDUP((W$1)/10,0)*10,[1]Hugst!$R$4:$W$4,0))))</f>
        <v>7046.6931240185259</v>
      </c>
      <c r="X91" s="168">
        <f ca="1">IF($C91-X$1&lt;År1,0,W90*(1-VLOOKUP($A91,[1]Hugst!$R$5:$W$9,MATCH(ROUNDUP((X$1)/10,0)*10,[1]Hugst!$R$4:$W$4,0))))</f>
        <v>7035.313527283929</v>
      </c>
      <c r="Y91" s="168">
        <f ca="1">IF($C91-Y$1&lt;År1,0,X90*(1-VLOOKUP($A91,[1]Hugst!$R$5:$W$9,MATCH(ROUNDUP((Y$1)/10,0)*10,[1]Hugst!$R$4:$W$4,0))))</f>
        <v>7034.8631446259433</v>
      </c>
      <c r="Z91" s="168">
        <f ca="1">IF($C91-Z$1&lt;År1,0,Y90*(1-VLOOKUP($A91,[1]Hugst!$R$5:$W$9,MATCH(ROUNDUP((Z$1)/10,0)*10,[1]Hugst!$R$4:$W$4,0))))</f>
        <v>7032.9567258693169</v>
      </c>
      <c r="AA91" s="168">
        <f ca="1">IF($C91-AA$1&lt;År1,0,Z90*(1-VLOOKUP($A91,[1]Hugst!$R$5:$W$9,MATCH(ROUNDUP((AA$1)/10,0)*10,[1]Hugst!$R$4:$W$4,0))))</f>
        <v>7031.0874436469585</v>
      </c>
      <c r="AB91" s="168">
        <f ca="1">IF($C91-AB$1&lt;År1,0,AA90*(1-VLOOKUP($A91,[1]Hugst!$R$5:$W$9,MATCH(ROUNDUP((AB$1)/10,0)*10,[1]Hugst!$R$4:$W$4,0))))</f>
        <v>7029.2553443562465</v>
      </c>
      <c r="AC91" s="168">
        <f ca="1">IF($C91-AC$1&lt;År1,0,AB90*(1-VLOOKUP($A91,[1]Hugst!$R$5:$W$9,MATCH(ROUNDUP((AC$1)/10,0)*10,[1]Hugst!$R$4:$W$4,0))))</f>
        <v>7027.4604746778423</v>
      </c>
      <c r="AD91" s="168">
        <f ca="1">IF($C91-AD$1&lt;År1,0,AC90*(1-VLOOKUP($A91,[1]Hugst!$R$5:$W$9,MATCH(ROUNDUP((AD$1)/10,0)*10,[1]Hugst!$R$4:$W$4,0))))</f>
        <v>7025.7028815759095</v>
      </c>
      <c r="AE91" s="168">
        <f ca="1">IF($C91-AE$1&lt;År1,0,AD90*(1-VLOOKUP($A91,[1]Hugst!$R$5:$W$9,MATCH(ROUNDUP((AE$1)/10,0)*10,[1]Hugst!$R$4:$W$4,0))))</f>
        <v>7023.98261229949</v>
      </c>
      <c r="AF91" s="168">
        <f ca="1">IF($C91-AF$1&lt;År1,0,AE90*(1-VLOOKUP($A91,[1]Hugst!$R$5:$W$9,MATCH(ROUNDUP((AF$1)/10,0)*10,[1]Hugst!$R$4:$W$4,0))))</f>
        <v>7022.2997143822931</v>
      </c>
      <c r="AG91" s="168">
        <f ca="1">IF($C91-AG$1&lt;År1,0,AF90*(1-VLOOKUP($A91,[1]Hugst!$R$5:$W$9,MATCH(ROUNDUP((AG$1)/10,0)*10,[1]Hugst!$R$4:$W$4,0))))</f>
        <v>7020.654235644447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1888.7563278682646</v>
      </c>
      <c r="E92" s="168">
        <f t="shared" ca="1" si="1"/>
        <v>217.98665317188716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7161.9012170286642</v>
      </c>
      <c r="G92" s="168">
        <f ca="1">IF($C92-G$1&lt;År1,0,F91*(1-VLOOKUP($A92,[1]Hugst!$R$5:$W$9,MATCH(ROUNDUP((G$1)/10,0)*10,[1]Hugst!$R$4:$W$4,0))))</f>
        <v>7159.3468153151825</v>
      </c>
      <c r="H92" s="168">
        <f ca="1">IF($C92-H$1&lt;År1,0,G91*(1-VLOOKUP($A92,[1]Hugst!$R$5:$W$9,MATCH(ROUNDUP((H$1)/10,0)*10,[1]Hugst!$R$4:$W$4,0))))</f>
        <v>7156.8181451482724</v>
      </c>
      <c r="I92" s="168">
        <f ca="1">IF($C92-I$1&lt;År1,0,H91*(1-VLOOKUP($A92,[1]Hugst!$R$5:$W$9,MATCH(ROUNDUP((I$1)/10,0)*10,[1]Hugst!$R$4:$W$4,0))))</f>
        <v>7154.3153663266476</v>
      </c>
      <c r="J92" s="168">
        <f ca="1">IF($C92-J$1&lt;År1,0,I91*(1-VLOOKUP($A92,[1]Hugst!$R$5:$W$9,MATCH(ROUNDUP((J$1)/10,0)*10,[1]Hugst!$R$4:$W$4,0))))</f>
        <v>7151.8386394563913</v>
      </c>
      <c r="K92" s="168">
        <f ca="1">IF($C92-K$1&lt;År1,0,J91*(1-VLOOKUP($A92,[1]Hugst!$R$5:$W$9,MATCH(ROUNDUP((K$1)/10,0)*10,[1]Hugst!$R$4:$W$4,0))))</f>
        <v>7149.3881259545942</v>
      </c>
      <c r="L92" s="168">
        <f ca="1">IF($C92-L$1&lt;År1,0,K91*(1-VLOOKUP($A92,[1]Hugst!$R$5:$W$9,MATCH(ROUNDUP((L$1)/10,0)*10,[1]Hugst!$R$4:$W$4,0))))</f>
        <v>7146.9639880535742</v>
      </c>
      <c r="M92" s="168">
        <f ca="1">IF($C92-M$1&lt;År1,0,L91*(1-VLOOKUP($A92,[1]Hugst!$R$5:$W$9,MATCH(ROUNDUP((M$1)/10,0)*10,[1]Hugst!$R$4:$W$4,0))))</f>
        <v>7144.5663888046893</v>
      </c>
      <c r="N92" s="168">
        <f ca="1">IF($C92-N$1&lt;År1,0,M91*(1-VLOOKUP($A92,[1]Hugst!$R$5:$W$9,MATCH(ROUNDUP((N$1)/10,0)*10,[1]Hugst!$R$4:$W$4,0))))</f>
        <v>7142.1954920829357</v>
      </c>
      <c r="O92" s="168">
        <f ca="1">IF($C92-O$1&lt;År1,0,N91*(1-VLOOKUP($A92,[1]Hugst!$R$5:$W$9,MATCH(ROUNDUP((O$1)/10,0)*10,[1]Hugst!$R$4:$W$4,0))))</f>
        <v>7139.8514625901207</v>
      </c>
      <c r="P92" s="168">
        <f ca="1">IF($C92-P$1&lt;År1,0,O91*(1-VLOOKUP($A92,[1]Hugst!$R$5:$W$9,MATCH(ROUNDUP((P$1)/10,0)*10,[1]Hugst!$R$4:$W$4,0))))</f>
        <v>7128.1598710354938</v>
      </c>
      <c r="Q92" s="168">
        <f ca="1">IF($C92-Q$1&lt;År1,0,P91*(1-VLOOKUP($A92,[1]Hugst!$R$5:$W$9,MATCH(ROUNDUP((Q$1)/10,0)*10,[1]Hugst!$R$4:$W$4,0))))</f>
        <v>7116.5048338799998</v>
      </c>
      <c r="R92" s="168">
        <f ca="1">IF($C92-R$1&lt;År1,0,Q91*(1-VLOOKUP($A92,[1]Hugst!$R$5:$W$9,MATCH(ROUNDUP((R$1)/10,0)*10,[1]Hugst!$R$4:$W$4,0))))</f>
        <v>7104.8863607330404</v>
      </c>
      <c r="S92" s="168">
        <f ca="1">IF($C92-S$1&lt;År1,0,R91*(1-VLOOKUP($A92,[1]Hugst!$R$5:$W$9,MATCH(ROUNDUP((S$1)/10,0)*10,[1]Hugst!$R$4:$W$4,0))))</f>
        <v>7093.304461417275</v>
      </c>
      <c r="T92" s="168">
        <f ca="1">IF($C92-T$1&lt;År1,0,S91*(1-VLOOKUP($A92,[1]Hugst!$R$5:$W$9,MATCH(ROUNDUP((T$1)/10,0)*10,[1]Hugst!$R$4:$W$4,0))))</f>
        <v>7081.759145969645</v>
      </c>
      <c r="U92" s="168">
        <f ca="1">IF($C92-U$1&lt;År1,0,T91*(1-VLOOKUP($A92,[1]Hugst!$R$5:$W$9,MATCH(ROUNDUP((U$1)/10,0)*10,[1]Hugst!$R$4:$W$4,0))))</f>
        <v>7070.2504246415856</v>
      </c>
      <c r="V92" s="168">
        <f ca="1">IF($C92-V$1&lt;År1,0,U91*(1-VLOOKUP($A92,[1]Hugst!$R$5:$W$9,MATCH(ROUNDUP((V$1)/10,0)*10,[1]Hugst!$R$4:$W$4,0))))</f>
        <v>7058.7783078995208</v>
      </c>
      <c r="W92" s="168">
        <f ca="1">IF($C92-W$1&lt;År1,0,V91*(1-VLOOKUP($A92,[1]Hugst!$R$5:$W$9,MATCH(ROUNDUP((W$1)/10,0)*10,[1]Hugst!$R$4:$W$4,0))))</f>
        <v>7047.342806425454</v>
      </c>
      <c r="X92" s="168">
        <f ca="1">IF($C92-X$1&lt;År1,0,W91*(1-VLOOKUP($A92,[1]Hugst!$R$5:$W$9,MATCH(ROUNDUP((X$1)/10,0)*10,[1]Hugst!$R$4:$W$4,0))))</f>
        <v>7035.9439311174801</v>
      </c>
      <c r="Y92" s="168">
        <f ca="1">IF($C92-Y$1&lt;År1,0,X91*(1-VLOOKUP($A92,[1]Hugst!$R$5:$W$9,MATCH(ROUNDUP((Y$1)/10,0)*10,[1]Hugst!$R$4:$W$4,0))))</f>
        <v>7024.5816930897672</v>
      </c>
      <c r="Z92" s="168">
        <f ca="1">IF($C92-Z$1&lt;År1,0,Y91*(1-VLOOKUP($A92,[1]Hugst!$R$5:$W$9,MATCH(ROUNDUP((Z$1)/10,0)*10,[1]Hugst!$R$4:$W$4,0))))</f>
        <v>7022.6415603492624</v>
      </c>
      <c r="AA92" s="168">
        <f ca="1">IF($C92-AA$1&lt;År1,0,Z91*(1-VLOOKUP($A92,[1]Hugst!$R$5:$W$9,MATCH(ROUNDUP((AA$1)/10,0)*10,[1]Hugst!$R$4:$W$4,0))))</f>
        <v>7020.7384535913234</v>
      </c>
      <c r="AB92" s="168">
        <f ca="1">IF($C92-AB$1&lt;År1,0,AA91*(1-VLOOKUP($A92,[1]Hugst!$R$5:$W$9,MATCH(ROUNDUP((AB$1)/10,0)*10,[1]Hugst!$R$4:$W$4,0))))</f>
        <v>7018.8724188507922</v>
      </c>
      <c r="AC92" s="168">
        <f ca="1">IF($C92-AC$1&lt;År1,0,AB91*(1-VLOOKUP($A92,[1]Hugst!$R$5:$W$9,MATCH(ROUNDUP((AC$1)/10,0)*10,[1]Hugst!$R$4:$W$4,0))))</f>
        <v>7017.0435024444405</v>
      </c>
      <c r="AD92" s="168">
        <f ca="1">IF($C92-AD$1&lt;År1,0,AC91*(1-VLOOKUP($A92,[1]Hugst!$R$5:$W$9,MATCH(ROUNDUP((AD$1)/10,0)*10,[1]Hugst!$R$4:$W$4,0))))</f>
        <v>7015.2517509718336</v>
      </c>
      <c r="AE92" s="168">
        <f ca="1">IF($C92-AE$1&lt;År1,0,AD91*(1-VLOOKUP($A92,[1]Hugst!$R$5:$W$9,MATCH(ROUNDUP((AE$1)/10,0)*10,[1]Hugst!$R$4:$W$4,0))))</f>
        <v>7013.4972113155445</v>
      </c>
      <c r="AF92" s="168">
        <f ca="1">IF($C92-AF$1&lt;År1,0,AE91*(1-VLOOKUP($A92,[1]Hugst!$R$5:$W$9,MATCH(ROUNDUP((AF$1)/10,0)*10,[1]Hugst!$R$4:$W$4,0))))</f>
        <v>7011.7799306425286</v>
      </c>
      <c r="AG92" s="168">
        <f ca="1">IF($C92-AG$1&lt;År1,0,AF91*(1-VLOOKUP($A92,[1]Hugst!$R$5:$W$9,MATCH(ROUNDUP((AG$1)/10,0)*10,[1]Hugst!$R$4:$W$4,0))))</f>
        <v>7010.0999564039166</v>
      </c>
      <c r="AH92" s="168">
        <f ca="1">IF($C92-AH$1&lt;År1,0,AG91*(1-VLOOKUP($A92,[1]Hugst!$R$5:$W$9,MATCH(ROUNDUP((AH$1)/10,0)*10,[1]Hugst!$R$4:$W$4,0))))</f>
        <v>7008.457336336759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1879.31254622899</v>
      </c>
      <c r="E93" s="168">
        <f t="shared" ca="1" si="1"/>
        <v>230.01040907541756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7164.4811912929199</v>
      </c>
      <c r="G93" s="168">
        <f ca="1">IF($C93-G$1&lt;År1,0,F92*(1-VLOOKUP($A93,[1]Hugst!$R$5:$W$9,MATCH(ROUNDUP((G$1)/10,0)*10,[1]Hugst!$R$4:$W$4,0))))</f>
        <v>7161.9012170286642</v>
      </c>
      <c r="H93" s="168">
        <f ca="1">IF($C93-H$1&lt;År1,0,G92*(1-VLOOKUP($A93,[1]Hugst!$R$5:$W$9,MATCH(ROUNDUP((H$1)/10,0)*10,[1]Hugst!$R$4:$W$4,0))))</f>
        <v>7159.3468153151825</v>
      </c>
      <c r="I93" s="168">
        <f ca="1">IF($C93-I$1&lt;År1,0,H92*(1-VLOOKUP($A93,[1]Hugst!$R$5:$W$9,MATCH(ROUNDUP((I$1)/10,0)*10,[1]Hugst!$R$4:$W$4,0))))</f>
        <v>7156.8181451482724</v>
      </c>
      <c r="J93" s="168">
        <f ca="1">IF($C93-J$1&lt;År1,0,I92*(1-VLOOKUP($A93,[1]Hugst!$R$5:$W$9,MATCH(ROUNDUP((J$1)/10,0)*10,[1]Hugst!$R$4:$W$4,0))))</f>
        <v>7154.3153663266476</v>
      </c>
      <c r="K93" s="168">
        <f ca="1">IF($C93-K$1&lt;År1,0,J92*(1-VLOOKUP($A93,[1]Hugst!$R$5:$W$9,MATCH(ROUNDUP((K$1)/10,0)*10,[1]Hugst!$R$4:$W$4,0))))</f>
        <v>7151.8386394563913</v>
      </c>
      <c r="L93" s="168">
        <f ca="1">IF($C93-L$1&lt;År1,0,K92*(1-VLOOKUP($A93,[1]Hugst!$R$5:$W$9,MATCH(ROUNDUP((L$1)/10,0)*10,[1]Hugst!$R$4:$W$4,0))))</f>
        <v>7149.3881259545942</v>
      </c>
      <c r="M93" s="168">
        <f ca="1">IF($C93-M$1&lt;År1,0,L92*(1-VLOOKUP($A93,[1]Hugst!$R$5:$W$9,MATCH(ROUNDUP((M$1)/10,0)*10,[1]Hugst!$R$4:$W$4,0))))</f>
        <v>7146.9639880535742</v>
      </c>
      <c r="N93" s="168">
        <f ca="1">IF($C93-N$1&lt;År1,0,M92*(1-VLOOKUP($A93,[1]Hugst!$R$5:$W$9,MATCH(ROUNDUP((N$1)/10,0)*10,[1]Hugst!$R$4:$W$4,0))))</f>
        <v>7144.5663888046893</v>
      </c>
      <c r="O93" s="168">
        <f ca="1">IF($C93-O$1&lt;År1,0,N92*(1-VLOOKUP($A93,[1]Hugst!$R$5:$W$9,MATCH(ROUNDUP((O$1)/10,0)*10,[1]Hugst!$R$4:$W$4,0))))</f>
        <v>7142.1954920829357</v>
      </c>
      <c r="P93" s="168">
        <f ca="1">IF($C93-P$1&lt;År1,0,O92*(1-VLOOKUP($A93,[1]Hugst!$R$5:$W$9,MATCH(ROUNDUP((P$1)/10,0)*10,[1]Hugst!$R$4:$W$4,0))))</f>
        <v>7128.9601637488813</v>
      </c>
      <c r="Q93" s="168">
        <f ca="1">IF($C93-Q$1&lt;År1,0,P92*(1-VLOOKUP($A93,[1]Hugst!$R$5:$W$9,MATCH(ROUNDUP((Q$1)/10,0)*10,[1]Hugst!$R$4:$W$4,0))))</f>
        <v>7117.2864068254394</v>
      </c>
      <c r="R93" s="168">
        <f ca="1">IF($C93-R$1&lt;År1,0,Q92*(1-VLOOKUP($A93,[1]Hugst!$R$5:$W$9,MATCH(ROUNDUP((R$1)/10,0)*10,[1]Hugst!$R$4:$W$4,0))))</f>
        <v>7105.649148540183</v>
      </c>
      <c r="S93" s="168">
        <f ca="1">IF($C93-S$1&lt;År1,0,R92*(1-VLOOKUP($A93,[1]Hugst!$R$5:$W$9,MATCH(ROUNDUP((S$1)/10,0)*10,[1]Hugst!$R$4:$W$4,0))))</f>
        <v>7094.0483984878538</v>
      </c>
      <c r="T93" s="168">
        <f ca="1">IF($C93-T$1&lt;År1,0,S92*(1-VLOOKUP($A93,[1]Hugst!$R$5:$W$9,MATCH(ROUNDUP((T$1)/10,0)*10,[1]Hugst!$R$4:$W$4,0))))</f>
        <v>7082.4841664761298</v>
      </c>
      <c r="U93" s="168">
        <f ca="1">IF($C93-U$1&lt;År1,0,T92*(1-VLOOKUP($A93,[1]Hugst!$R$5:$W$9,MATCH(ROUNDUP((U$1)/10,0)*10,[1]Hugst!$R$4:$W$4,0))))</f>
        <v>7070.9564625266403</v>
      </c>
      <c r="V93" s="168">
        <f ca="1">IF($C93-V$1&lt;År1,0,U92*(1-VLOOKUP($A93,[1]Hugst!$R$5:$W$9,MATCH(ROUNDUP((V$1)/10,0)*10,[1]Hugst!$R$4:$W$4,0))))</f>
        <v>7059.4652968751825</v>
      </c>
      <c r="W93" s="168">
        <f ca="1">IF($C93-W$1&lt;År1,0,V92*(1-VLOOKUP($A93,[1]Hugst!$R$5:$W$9,MATCH(ROUNDUP((W$1)/10,0)*10,[1]Hugst!$R$4:$W$4,0))))</f>
        <v>7048.0106799722162</v>
      </c>
      <c r="X93" s="168">
        <f ca="1">IF($C93-X$1&lt;År1,0,W92*(1-VLOOKUP($A93,[1]Hugst!$R$5:$W$9,MATCH(ROUNDUP((X$1)/10,0)*10,[1]Hugst!$R$4:$W$4,0))))</f>
        <v>7036.5926224834484</v>
      </c>
      <c r="Y93" s="168">
        <f ca="1">IF($C93-Y$1&lt;År1,0,X92*(1-VLOOKUP($A93,[1]Hugst!$R$5:$W$9,MATCH(ROUNDUP((Y$1)/10,0)*10,[1]Hugst!$R$4:$W$4,0))))</f>
        <v>7025.2111352903512</v>
      </c>
      <c r="Z93" s="168">
        <f ca="1">IF($C93-Z$1&lt;År1,0,Y92*(1-VLOOKUP($A93,[1]Hugst!$R$5:$W$9,MATCH(ROUNDUP((Z$1)/10,0)*10,[1]Hugst!$R$4:$W$4,0))))</f>
        <v>7012.3779706568566</v>
      </c>
      <c r="AA93" s="168">
        <f ca="1">IF($C93-AA$1&lt;År1,0,Z92*(1-VLOOKUP($A93,[1]Hugst!$R$5:$W$9,MATCH(ROUNDUP((AA$1)/10,0)*10,[1]Hugst!$R$4:$W$4,0))))</f>
        <v>7010.4412084859432</v>
      </c>
      <c r="AB93" s="168">
        <f ca="1">IF($C93-AB$1&lt;År1,0,AA92*(1-VLOOKUP($A93,[1]Hugst!$R$5:$W$9,MATCH(ROUNDUP((AB$1)/10,0)*10,[1]Hugst!$R$4:$W$4,0))))</f>
        <v>7008.5414079727962</v>
      </c>
      <c r="AC93" s="168">
        <f ca="1">IF($C93-AC$1&lt;År1,0,AB92*(1-VLOOKUP($A93,[1]Hugst!$R$5:$W$9,MATCH(ROUNDUP((AC$1)/10,0)*10,[1]Hugst!$R$4:$W$4,0))))</f>
        <v>7006.6786150722801</v>
      </c>
      <c r="AD93" s="168">
        <f ca="1">IF($C93-AD$1&lt;År1,0,AC92*(1-VLOOKUP($A93,[1]Hugst!$R$5:$W$9,MATCH(ROUNDUP((AD$1)/10,0)*10,[1]Hugst!$R$4:$W$4,0))))</f>
        <v>7004.8528760207018</v>
      </c>
      <c r="AE93" s="168">
        <f ca="1">IF($C93-AE$1&lt;År1,0,AD92*(1-VLOOKUP($A93,[1]Hugst!$R$5:$W$9,MATCH(ROUNDUP((AE$1)/10,0)*10,[1]Hugst!$R$4:$W$4,0))))</f>
        <v>7003.06423733667</v>
      </c>
      <c r="AF93" s="168">
        <f ca="1">IF($C93-AF$1&lt;År1,0,AE92*(1-VLOOKUP($A93,[1]Hugst!$R$5:$W$9,MATCH(ROUNDUP((AF$1)/10,0)*10,[1]Hugst!$R$4:$W$4,0))))</f>
        <v>7001.3127458213094</v>
      </c>
      <c r="AG93" s="168">
        <f ca="1">IF($C93-AG$1&lt;År1,0,AF92*(1-VLOOKUP($A93,[1]Hugst!$R$5:$W$9,MATCH(ROUNDUP((AG$1)/10,0)*10,[1]Hugst!$R$4:$W$4,0))))</f>
        <v>6999.5984485596327</v>
      </c>
      <c r="AH93" s="168">
        <f ca="1">IF($C93-AH$1&lt;År1,0,AG92*(1-VLOOKUP($A93,[1]Hugst!$R$5:$W$9,MATCH(ROUNDUP((AH$1)/10,0)*10,[1]Hugst!$R$4:$W$4,0))))</f>
        <v>6997.9213929203333</v>
      </c>
      <c r="AI93" s="168">
        <f ca="1">IF($C93-AI$1&lt;År1,0,AH92*(1-VLOOKUP($A93,[1]Hugst!$R$5:$W$9,MATCH(ROUNDUP((AI$1)/10,0)*10,[1]Hugst!$R$4:$W$4,0))))</f>
        <v>6996.2816265575293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1869.9159834978054</v>
      </c>
      <c r="E94" s="168">
        <f t="shared" ca="1" si="1"/>
        <v>236.08793533436256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7161.1621548206804</v>
      </c>
      <c r="G94" s="168">
        <f ca="1">IF($C94-G$1&lt;År1,0,F93*(1-VLOOKUP($A94,[1]Hugst!$R$5:$W$9,MATCH(ROUNDUP((G$1)/10,0)*10,[1]Hugst!$R$4:$W$4,0))))</f>
        <v>7164.4811912929199</v>
      </c>
      <c r="H94" s="168">
        <f ca="1">IF($C94-H$1&lt;År1,0,G93*(1-VLOOKUP($A94,[1]Hugst!$R$5:$W$9,MATCH(ROUNDUP((H$1)/10,0)*10,[1]Hugst!$R$4:$W$4,0))))</f>
        <v>7161.9012170286642</v>
      </c>
      <c r="I94" s="168">
        <f ca="1">IF($C94-I$1&lt;År1,0,H93*(1-VLOOKUP($A94,[1]Hugst!$R$5:$W$9,MATCH(ROUNDUP((I$1)/10,0)*10,[1]Hugst!$R$4:$W$4,0))))</f>
        <v>7159.3468153151825</v>
      </c>
      <c r="J94" s="168">
        <f ca="1">IF($C94-J$1&lt;År1,0,I93*(1-VLOOKUP($A94,[1]Hugst!$R$5:$W$9,MATCH(ROUNDUP((J$1)/10,0)*10,[1]Hugst!$R$4:$W$4,0))))</f>
        <v>7156.8181451482724</v>
      </c>
      <c r="K94" s="168">
        <f ca="1">IF($C94-K$1&lt;År1,0,J93*(1-VLOOKUP($A94,[1]Hugst!$R$5:$W$9,MATCH(ROUNDUP((K$1)/10,0)*10,[1]Hugst!$R$4:$W$4,0))))</f>
        <v>7154.3153663266476</v>
      </c>
      <c r="L94" s="168">
        <f ca="1">IF($C94-L$1&lt;År1,0,K93*(1-VLOOKUP($A94,[1]Hugst!$R$5:$W$9,MATCH(ROUNDUP((L$1)/10,0)*10,[1]Hugst!$R$4:$W$4,0))))</f>
        <v>7151.8386394563913</v>
      </c>
      <c r="M94" s="168">
        <f ca="1">IF($C94-M$1&lt;År1,0,L93*(1-VLOOKUP($A94,[1]Hugst!$R$5:$W$9,MATCH(ROUNDUP((M$1)/10,0)*10,[1]Hugst!$R$4:$W$4,0))))</f>
        <v>7149.3881259545942</v>
      </c>
      <c r="N94" s="168">
        <f ca="1">IF($C94-N$1&lt;År1,0,M93*(1-VLOOKUP($A94,[1]Hugst!$R$5:$W$9,MATCH(ROUNDUP((N$1)/10,0)*10,[1]Hugst!$R$4:$W$4,0))))</f>
        <v>7146.9639880535742</v>
      </c>
      <c r="O94" s="168">
        <f ca="1">IF($C94-O$1&lt;År1,0,N93*(1-VLOOKUP($A94,[1]Hugst!$R$5:$W$9,MATCH(ROUNDUP((O$1)/10,0)*10,[1]Hugst!$R$4:$W$4,0))))</f>
        <v>7144.5663888046893</v>
      </c>
      <c r="P94" s="168">
        <f ca="1">IF($C94-P$1&lt;År1,0,O93*(1-VLOOKUP($A94,[1]Hugst!$R$5:$W$9,MATCH(ROUNDUP((P$1)/10,0)*10,[1]Hugst!$R$4:$W$4,0))))</f>
        <v>7131.3006176034869</v>
      </c>
      <c r="Q94" s="168">
        <f ca="1">IF($C94-Q$1&lt;År1,0,P93*(1-VLOOKUP($A94,[1]Hugst!$R$5:$W$9,MATCH(ROUNDUP((Q$1)/10,0)*10,[1]Hugst!$R$4:$W$4,0))))</f>
        <v>7118.0854787533317</v>
      </c>
      <c r="R94" s="168">
        <f ca="1">IF($C94-R$1&lt;År1,0,Q93*(1-VLOOKUP($A94,[1]Hugst!$R$5:$W$9,MATCH(ROUNDUP((R$1)/10,0)*10,[1]Hugst!$R$4:$W$4,0))))</f>
        <v>7106.4295292557053</v>
      </c>
      <c r="S94" s="168">
        <f ca="1">IF($C94-S$1&lt;År1,0,R93*(1-VLOOKUP($A94,[1]Hugst!$R$5:$W$9,MATCH(ROUNDUP((S$1)/10,0)*10,[1]Hugst!$R$4:$W$4,0))))</f>
        <v>7094.8100227203759</v>
      </c>
      <c r="T94" s="168">
        <f ca="1">IF($C94-T$1&lt;År1,0,S93*(1-VLOOKUP($A94,[1]Hugst!$R$5:$W$9,MATCH(ROUNDUP((T$1)/10,0)*10,[1]Hugst!$R$4:$W$4,0))))</f>
        <v>7083.2269687274484</v>
      </c>
      <c r="U94" s="168">
        <f ca="1">IF($C94-U$1&lt;År1,0,T93*(1-VLOOKUP($A94,[1]Hugst!$R$5:$W$9,MATCH(ROUNDUP((U$1)/10,0)*10,[1]Hugst!$R$4:$W$4,0))))</f>
        <v>7071.6803770696406</v>
      </c>
      <c r="V94" s="168">
        <f ca="1">IF($C94-V$1&lt;År1,0,U93*(1-VLOOKUP($A94,[1]Hugst!$R$5:$W$9,MATCH(ROUNDUP((V$1)/10,0)*10,[1]Hugst!$R$4:$W$4,0))))</f>
        <v>7060.1702577532942</v>
      </c>
      <c r="W94" s="168">
        <f ca="1">IF($C94-W$1&lt;År1,0,V93*(1-VLOOKUP($A94,[1]Hugst!$R$5:$W$9,MATCH(ROUNDUP((W$1)/10,0)*10,[1]Hugst!$R$4:$W$4,0))))</f>
        <v>7048.6966209985931</v>
      </c>
      <c r="X94" s="168">
        <f ca="1">IF($C94-X$1&lt;År1,0,W93*(1-VLOOKUP($A94,[1]Hugst!$R$5:$W$9,MATCH(ROUNDUP((X$1)/10,0)*10,[1]Hugst!$R$4:$W$4,0))))</f>
        <v>7037.2594772400553</v>
      </c>
      <c r="Y94" s="168">
        <f ca="1">IF($C94-Y$1&lt;År1,0,X93*(1-VLOOKUP($A94,[1]Hugst!$R$5:$W$9,MATCH(ROUNDUP((Y$1)/10,0)*10,[1]Hugst!$R$4:$W$4,0))))</f>
        <v>7025.8588371271171</v>
      </c>
      <c r="Z94" s="168">
        <f ca="1">IF($C94-Z$1&lt;År1,0,Y93*(1-VLOOKUP($A94,[1]Hugst!$R$5:$W$9,MATCH(ROUNDUP((Z$1)/10,0)*10,[1]Hugst!$R$4:$W$4,0))))</f>
        <v>7013.0063193349733</v>
      </c>
      <c r="AA94" s="168">
        <f ca="1">IF($C94-AA$1&lt;År1,0,Z93*(1-VLOOKUP($A94,[1]Hugst!$R$5:$W$9,MATCH(ROUNDUP((AA$1)/10,0)*10,[1]Hugst!$R$4:$W$4,0))))</f>
        <v>7000.1954496061389</v>
      </c>
      <c r="AB94" s="168">
        <f ca="1">IF($C94-AB$1&lt;År1,0,AA93*(1-VLOOKUP($A94,[1]Hugst!$R$5:$W$9,MATCH(ROUNDUP((AB$1)/10,0)*10,[1]Hugst!$R$4:$W$4,0))))</f>
        <v>6998.2620521491663</v>
      </c>
      <c r="AC94" s="168">
        <f ca="1">IF($C94-AC$1&lt;År1,0,AB93*(1-VLOOKUP($A94,[1]Hugst!$R$5:$W$9,MATCH(ROUNDUP((AC$1)/10,0)*10,[1]Hugst!$R$4:$W$4,0))))</f>
        <v>6996.365552136911</v>
      </c>
      <c r="AD94" s="168">
        <f ca="1">IF($C94-AD$1&lt;År1,0,AC93*(1-VLOOKUP($A94,[1]Hugst!$R$5:$W$9,MATCH(ROUNDUP((AD$1)/10,0)*10,[1]Hugst!$R$4:$W$4,0))))</f>
        <v>6994.5059954443996</v>
      </c>
      <c r="AE94" s="168">
        <f ca="1">IF($C94-AE$1&lt;År1,0,AD93*(1-VLOOKUP($A94,[1]Hugst!$R$5:$W$9,MATCH(ROUNDUP((AE$1)/10,0)*10,[1]Hugst!$R$4:$W$4,0))))</f>
        <v>6992.683428227615</v>
      </c>
      <c r="AF94" s="168">
        <f ca="1">IF($C94-AF$1&lt;År1,0,AE93*(1-VLOOKUP($A94,[1]Hugst!$R$5:$W$9,MATCH(ROUNDUP((AF$1)/10,0)*10,[1]Hugst!$R$4:$W$4,0))))</f>
        <v>6990.8978969243472</v>
      </c>
      <c r="AG94" s="168">
        <f ca="1">IF($C94-AG$1&lt;År1,0,AF93*(1-VLOOKUP($A94,[1]Hugst!$R$5:$W$9,MATCH(ROUNDUP((AG$1)/10,0)*10,[1]Hugst!$R$4:$W$4,0))))</f>
        <v>6989.1494482544158</v>
      </c>
      <c r="AH94" s="168">
        <f ca="1">IF($C94-AH$1&lt;År1,0,AG93*(1-VLOOKUP($A94,[1]Hugst!$R$5:$W$9,MATCH(ROUNDUP((AH$1)/10,0)*10,[1]Hugst!$R$4:$W$4,0))))</f>
        <v>6987.4381292210328</v>
      </c>
      <c r="AI94" s="168">
        <f ca="1">IF($C94-AI$1&lt;År1,0,AH93*(1-VLOOKUP($A94,[1]Hugst!$R$5:$W$9,MATCH(ROUNDUP((AI$1)/10,0)*10,[1]Hugst!$R$4:$W$4,0))))</f>
        <v>6985.7639871105985</v>
      </c>
      <c r="AJ94" s="168">
        <f ca="1">IF($C94-AJ$1&lt;År1,0,AI93*(1-VLOOKUP($A94,[1]Hugst!$R$5:$W$9,MATCH(ROUNDUP((AJ$1)/10,0)*10,[1]Hugst!$R$4:$W$4,0))))</f>
        <v>6990.0561217203385</v>
      </c>
      <c r="AK94" s="168"/>
      <c r="AL94" s="168">
        <f ca="1">SUM(F94:AJ94)</f>
        <v>219266.62459958059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636.14999999999418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1180.9917640114807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632.96924999999464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1177.8110140114811</v>
      </c>
      <c r="G96" s="168">
        <f ca="1">IF($C96-G$1&lt;År1,0,F95*(1-VLOOKUP($A96,[1]Hugst!$R$5:$W$9,MATCH(ROUNDUP((G$1)/10,0)*10,[1]Hugst!$R$4:$W$4,0))))</f>
        <v>1180.9917640114807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629.80440375000762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1174.6461677614941</v>
      </c>
      <c r="G97" s="168">
        <f ca="1">IF($C97-G$1&lt;År1,0,F96*(1-VLOOKUP($A97,[1]Hugst!$R$5:$W$9,MATCH(ROUNDUP((G$1)/10,0)*10,[1]Hugst!$R$4:$W$4,0))))</f>
        <v>1177.8110140114811</v>
      </c>
      <c r="H97" s="168">
        <f ca="1">IF($C97-H$1&lt;År1,0,G96*(1-VLOOKUP($A97,[1]Hugst!$R$5:$W$9,MATCH(ROUNDUP((H$1)/10,0)*10,[1]Hugst!$R$4:$W$4,0))))</f>
        <v>1180.9917640114807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626.65538173125242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1171.4971457427389</v>
      </c>
      <c r="G98" s="168">
        <f ca="1">IF($C98-G$1&lt;År1,0,F97*(1-VLOOKUP($A98,[1]Hugst!$R$5:$W$9,MATCH(ROUNDUP((G$1)/10,0)*10,[1]Hugst!$R$4:$W$4,0))))</f>
        <v>1174.6461677614941</v>
      </c>
      <c r="H98" s="168">
        <f ca="1">IF($C98-H$1&lt;År1,0,G97*(1-VLOOKUP($A98,[1]Hugst!$R$5:$W$9,MATCH(ROUNDUP((H$1)/10,0)*10,[1]Hugst!$R$4:$W$4,0))))</f>
        <v>1177.8110140114811</v>
      </c>
      <c r="I98" s="168">
        <f ca="1">IF($C98-I$1&lt;År1,0,H97*(1-VLOOKUP($A98,[1]Hugst!$R$5:$W$9,MATCH(ROUNDUP((I$1)/10,0)*10,[1]Hugst!$R$4:$W$4,0))))</f>
        <v>1180.9917640114807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623.52210482257942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1168.3638688340659</v>
      </c>
      <c r="G99" s="168">
        <f ca="1">IF($C99-G$1&lt;År1,0,F98*(1-VLOOKUP($A99,[1]Hugst!$R$5:$W$9,MATCH(ROUNDUP((G$1)/10,0)*10,[1]Hugst!$R$4:$W$4,0))))</f>
        <v>1171.4971457427389</v>
      </c>
      <c r="H99" s="168">
        <f ca="1">IF($C99-H$1&lt;År1,0,G98*(1-VLOOKUP($A99,[1]Hugst!$R$5:$W$9,MATCH(ROUNDUP((H$1)/10,0)*10,[1]Hugst!$R$4:$W$4,0))))</f>
        <v>1174.6461677614941</v>
      </c>
      <c r="I99" s="168">
        <f ca="1">IF($C99-I$1&lt;År1,0,H98*(1-VLOOKUP($A99,[1]Hugst!$R$5:$W$9,MATCH(ROUNDUP((I$1)/10,0)*10,[1]Hugst!$R$4:$W$4,0))))</f>
        <v>1177.8110140114811</v>
      </c>
      <c r="J99" s="168">
        <f ca="1">IF($C99-J$1&lt;År1,0,I98*(1-VLOOKUP($A99,[1]Hugst!$R$5:$W$9,MATCH(ROUNDUP((J$1)/10,0)*10,[1]Hugst!$R$4:$W$4,0))))</f>
        <v>1180.9917640114807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620.40449429847649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1165.246258309963</v>
      </c>
      <c r="G100" s="168">
        <f ca="1">IF($C100-G$1&lt;År1,0,F99*(1-VLOOKUP($A100,[1]Hugst!$R$5:$W$9,MATCH(ROUNDUP((G$1)/10,0)*10,[1]Hugst!$R$4:$W$4,0))))</f>
        <v>1168.3638688340659</v>
      </c>
      <c r="H100" s="168">
        <f ca="1">IF($C100-H$1&lt;År1,0,G99*(1-VLOOKUP($A100,[1]Hugst!$R$5:$W$9,MATCH(ROUNDUP((H$1)/10,0)*10,[1]Hugst!$R$4:$W$4,0))))</f>
        <v>1171.4971457427389</v>
      </c>
      <c r="I100" s="168">
        <f ca="1">IF($C100-I$1&lt;År1,0,H99*(1-VLOOKUP($A100,[1]Hugst!$R$5:$W$9,MATCH(ROUNDUP((I$1)/10,0)*10,[1]Hugst!$R$4:$W$4,0))))</f>
        <v>1174.6461677614941</v>
      </c>
      <c r="J100" s="168">
        <f ca="1">IF($C100-J$1&lt;År1,0,I99*(1-VLOOKUP($A100,[1]Hugst!$R$5:$W$9,MATCH(ROUNDUP((J$1)/10,0)*10,[1]Hugst!$R$4:$W$4,0))))</f>
        <v>1177.8110140114811</v>
      </c>
      <c r="K100" s="168">
        <f ca="1">IF($C100-K$1&lt;År1,0,J99*(1-VLOOKUP($A100,[1]Hugst!$R$5:$W$9,MATCH(ROUNDUP((K$1)/10,0)*10,[1]Hugst!$R$4:$W$4,0))))</f>
        <v>1180.9917640114807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617.30247182700259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1162.1442358384891</v>
      </c>
      <c r="G101" s="168">
        <f ca="1">IF($C101-G$1&lt;År1,0,F100*(1-VLOOKUP($A101,[1]Hugst!$R$5:$W$9,MATCH(ROUNDUP((G$1)/10,0)*10,[1]Hugst!$R$4:$W$4,0))))</f>
        <v>1165.246258309963</v>
      </c>
      <c r="H101" s="168">
        <f ca="1">IF($C101-H$1&lt;År1,0,G100*(1-VLOOKUP($A101,[1]Hugst!$R$5:$W$9,MATCH(ROUNDUP((H$1)/10,0)*10,[1]Hugst!$R$4:$W$4,0))))</f>
        <v>1168.3638688340659</v>
      </c>
      <c r="I101" s="168">
        <f ca="1">IF($C101-I$1&lt;År1,0,H100*(1-VLOOKUP($A101,[1]Hugst!$R$5:$W$9,MATCH(ROUNDUP((I$1)/10,0)*10,[1]Hugst!$R$4:$W$4,0))))</f>
        <v>1171.4971457427389</v>
      </c>
      <c r="J101" s="168">
        <f ca="1">IF($C101-J$1&lt;År1,0,I100*(1-VLOOKUP($A101,[1]Hugst!$R$5:$W$9,MATCH(ROUNDUP((J$1)/10,0)*10,[1]Hugst!$R$4:$W$4,0))))</f>
        <v>1174.6461677614941</v>
      </c>
      <c r="K101" s="168">
        <f ca="1">IF($C101-K$1&lt;År1,0,J100*(1-VLOOKUP($A101,[1]Hugst!$R$5:$W$9,MATCH(ROUNDUP((K$1)/10,0)*10,[1]Hugst!$R$4:$W$4,0))))</f>
        <v>1177.8110140114811</v>
      </c>
      <c r="L101" s="168">
        <f ca="1">IF($C101-L$1&lt;År1,0,K100*(1-VLOOKUP($A101,[1]Hugst!$R$5:$W$9,MATCH(ROUNDUP((L$1)/10,0)*10,[1]Hugst!$R$4:$W$4,0))))</f>
        <v>1180.9917640114807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614.21595946785237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1159.0577234793388</v>
      </c>
      <c r="G102" s="168">
        <f ca="1">IF($C102-G$1&lt;År1,0,F101*(1-VLOOKUP($A102,[1]Hugst!$R$5:$W$9,MATCH(ROUNDUP((G$1)/10,0)*10,[1]Hugst!$R$4:$W$4,0))))</f>
        <v>1162.1442358384891</v>
      </c>
      <c r="H102" s="168">
        <f ca="1">IF($C102-H$1&lt;År1,0,G101*(1-VLOOKUP($A102,[1]Hugst!$R$5:$W$9,MATCH(ROUNDUP((H$1)/10,0)*10,[1]Hugst!$R$4:$W$4,0))))</f>
        <v>1165.246258309963</v>
      </c>
      <c r="I102" s="168">
        <f ca="1">IF($C102-I$1&lt;År1,0,H101*(1-VLOOKUP($A102,[1]Hugst!$R$5:$W$9,MATCH(ROUNDUP((I$1)/10,0)*10,[1]Hugst!$R$4:$W$4,0))))</f>
        <v>1168.3638688340659</v>
      </c>
      <c r="J102" s="168">
        <f ca="1">IF($C102-J$1&lt;År1,0,I101*(1-VLOOKUP($A102,[1]Hugst!$R$5:$W$9,MATCH(ROUNDUP((J$1)/10,0)*10,[1]Hugst!$R$4:$W$4,0))))</f>
        <v>1171.4971457427389</v>
      </c>
      <c r="K102" s="168">
        <f ca="1">IF($C102-K$1&lt;År1,0,J101*(1-VLOOKUP($A102,[1]Hugst!$R$5:$W$9,MATCH(ROUNDUP((K$1)/10,0)*10,[1]Hugst!$R$4:$W$4,0))))</f>
        <v>1174.6461677614941</v>
      </c>
      <c r="L102" s="168">
        <f ca="1">IF($C102-L$1&lt;År1,0,K101*(1-VLOOKUP($A102,[1]Hugst!$R$5:$W$9,MATCH(ROUNDUP((L$1)/10,0)*10,[1]Hugst!$R$4:$W$4,0))))</f>
        <v>1177.8110140114811</v>
      </c>
      <c r="M102" s="168">
        <f ca="1">IF($C102-M$1&lt;År1,0,L101*(1-VLOOKUP($A102,[1]Hugst!$R$5:$W$9,MATCH(ROUNDUP((M$1)/10,0)*10,[1]Hugst!$R$4:$W$4,0))))</f>
        <v>1180.9917640114807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611.14487967052264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1155.9866436820091</v>
      </c>
      <c r="G103" s="168">
        <f ca="1">IF($C103-G$1&lt;År1,0,F102*(1-VLOOKUP($A103,[1]Hugst!$R$5:$W$9,MATCH(ROUNDUP((G$1)/10,0)*10,[1]Hugst!$R$4:$W$4,0))))</f>
        <v>1159.0577234793388</v>
      </c>
      <c r="H103" s="168">
        <f ca="1">IF($C103-H$1&lt;År1,0,G102*(1-VLOOKUP($A103,[1]Hugst!$R$5:$W$9,MATCH(ROUNDUP((H$1)/10,0)*10,[1]Hugst!$R$4:$W$4,0))))</f>
        <v>1162.1442358384891</v>
      </c>
      <c r="I103" s="168">
        <f ca="1">IF($C103-I$1&lt;År1,0,H102*(1-VLOOKUP($A103,[1]Hugst!$R$5:$W$9,MATCH(ROUNDUP((I$1)/10,0)*10,[1]Hugst!$R$4:$W$4,0))))</f>
        <v>1165.246258309963</v>
      </c>
      <c r="J103" s="168">
        <f ca="1">IF($C103-J$1&lt;År1,0,I102*(1-VLOOKUP($A103,[1]Hugst!$R$5:$W$9,MATCH(ROUNDUP((J$1)/10,0)*10,[1]Hugst!$R$4:$W$4,0))))</f>
        <v>1168.3638688340659</v>
      </c>
      <c r="K103" s="168">
        <f ca="1">IF($C103-K$1&lt;År1,0,J102*(1-VLOOKUP($A103,[1]Hugst!$R$5:$W$9,MATCH(ROUNDUP((K$1)/10,0)*10,[1]Hugst!$R$4:$W$4,0))))</f>
        <v>1171.4971457427389</v>
      </c>
      <c r="L103" s="168">
        <f ca="1">IF($C103-L$1&lt;År1,0,K102*(1-VLOOKUP($A103,[1]Hugst!$R$5:$W$9,MATCH(ROUNDUP((L$1)/10,0)*10,[1]Hugst!$R$4:$W$4,0))))</f>
        <v>1174.6461677614941</v>
      </c>
      <c r="M103" s="168">
        <f ca="1">IF($C103-M$1&lt;År1,0,L102*(1-VLOOKUP($A103,[1]Hugst!$R$5:$W$9,MATCH(ROUNDUP((M$1)/10,0)*10,[1]Hugst!$R$4:$W$4,0))))</f>
        <v>1177.8110140114811</v>
      </c>
      <c r="N103" s="168">
        <f ca="1">IF($C103-N$1&lt;År1,0,M102*(1-VLOOKUP($A103,[1]Hugst!$R$5:$W$9,MATCH(ROUNDUP((N$1)/10,0)*10,[1]Hugst!$R$4:$W$4,0))))</f>
        <v>1180.9917640114807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608.08915527214413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1152.9309192836306</v>
      </c>
      <c r="G104" s="168">
        <f ca="1">IF($C104-G$1&lt;År1,0,F103*(1-VLOOKUP($A104,[1]Hugst!$R$5:$W$9,MATCH(ROUNDUP((G$1)/10,0)*10,[1]Hugst!$R$4:$W$4,0))))</f>
        <v>1155.9866436820091</v>
      </c>
      <c r="H104" s="168">
        <f ca="1">IF($C104-H$1&lt;År1,0,G103*(1-VLOOKUP($A104,[1]Hugst!$R$5:$W$9,MATCH(ROUNDUP((H$1)/10,0)*10,[1]Hugst!$R$4:$W$4,0))))</f>
        <v>1159.0577234793388</v>
      </c>
      <c r="I104" s="168">
        <f ca="1">IF($C104-I$1&lt;År1,0,H103*(1-VLOOKUP($A104,[1]Hugst!$R$5:$W$9,MATCH(ROUNDUP((I$1)/10,0)*10,[1]Hugst!$R$4:$W$4,0))))</f>
        <v>1162.1442358384891</v>
      </c>
      <c r="J104" s="168">
        <f ca="1">IF($C104-J$1&lt;År1,0,I103*(1-VLOOKUP($A104,[1]Hugst!$R$5:$W$9,MATCH(ROUNDUP((J$1)/10,0)*10,[1]Hugst!$R$4:$W$4,0))))</f>
        <v>1165.246258309963</v>
      </c>
      <c r="K104" s="168">
        <f ca="1">IF($C104-K$1&lt;År1,0,J103*(1-VLOOKUP($A104,[1]Hugst!$R$5:$W$9,MATCH(ROUNDUP((K$1)/10,0)*10,[1]Hugst!$R$4:$W$4,0))))</f>
        <v>1168.3638688340659</v>
      </c>
      <c r="L104" s="168">
        <f ca="1">IF($C104-L$1&lt;År1,0,K103*(1-VLOOKUP($A104,[1]Hugst!$R$5:$W$9,MATCH(ROUNDUP((L$1)/10,0)*10,[1]Hugst!$R$4:$W$4,0))))</f>
        <v>1171.4971457427389</v>
      </c>
      <c r="M104" s="168">
        <f ca="1">IF($C104-M$1&lt;År1,0,L103*(1-VLOOKUP($A104,[1]Hugst!$R$5:$W$9,MATCH(ROUNDUP((M$1)/10,0)*10,[1]Hugst!$R$4:$W$4,0))))</f>
        <v>1174.6461677614941</v>
      </c>
      <c r="N104" s="168">
        <f ca="1">IF($C104-N$1&lt;År1,0,M103*(1-VLOOKUP($A104,[1]Hugst!$R$5:$W$9,MATCH(ROUNDUP((N$1)/10,0)*10,[1]Hugst!$R$4:$W$4,0))))</f>
        <v>1177.8110140114811</v>
      </c>
      <c r="O104" s="168">
        <f ca="1">IF($C104-O$1&lt;År1,0,N103*(1-VLOOKUP($A104,[1]Hugst!$R$5:$W$9,MATCH(ROUNDUP((O$1)/10,0)*10,[1]Hugst!$R$4:$W$4,0))))</f>
        <v>1180.9917640114807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605.048709495808</v>
      </c>
      <c r="E105" s="168">
        <f t="shared" ca="1" si="2"/>
        <v>1.8015128603565245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1151.691986367651</v>
      </c>
      <c r="G105" s="168">
        <f ca="1">IF($C105-G$1&lt;År1,0,F104*(1-VLOOKUP($A105,[1]Hugst!$R$5:$W$9,MATCH(ROUNDUP((G$1)/10,0)*10,[1]Hugst!$R$4:$W$4,0))))</f>
        <v>1152.9309192836306</v>
      </c>
      <c r="H105" s="168">
        <f ca="1">IF($C105-H$1&lt;År1,0,G104*(1-VLOOKUP($A105,[1]Hugst!$R$5:$W$9,MATCH(ROUNDUP((H$1)/10,0)*10,[1]Hugst!$R$4:$W$4,0))))</f>
        <v>1155.9866436820091</v>
      </c>
      <c r="I105" s="168">
        <f ca="1">IF($C105-I$1&lt;År1,0,H104*(1-VLOOKUP($A105,[1]Hugst!$R$5:$W$9,MATCH(ROUNDUP((I$1)/10,0)*10,[1]Hugst!$R$4:$W$4,0))))</f>
        <v>1159.0577234793388</v>
      </c>
      <c r="J105" s="168">
        <f ca="1">IF($C105-J$1&lt;År1,0,I104*(1-VLOOKUP($A105,[1]Hugst!$R$5:$W$9,MATCH(ROUNDUP((J$1)/10,0)*10,[1]Hugst!$R$4:$W$4,0))))</f>
        <v>1162.1442358384891</v>
      </c>
      <c r="K105" s="168">
        <f ca="1">IF($C105-K$1&lt;År1,0,J104*(1-VLOOKUP($A105,[1]Hugst!$R$5:$W$9,MATCH(ROUNDUP((K$1)/10,0)*10,[1]Hugst!$R$4:$W$4,0))))</f>
        <v>1165.246258309963</v>
      </c>
      <c r="L105" s="168">
        <f ca="1">IF($C105-L$1&lt;År1,0,K104*(1-VLOOKUP($A105,[1]Hugst!$R$5:$W$9,MATCH(ROUNDUP((L$1)/10,0)*10,[1]Hugst!$R$4:$W$4,0))))</f>
        <v>1168.3638688340659</v>
      </c>
      <c r="M105" s="168">
        <f ca="1">IF($C105-M$1&lt;År1,0,L104*(1-VLOOKUP($A105,[1]Hugst!$R$5:$W$9,MATCH(ROUNDUP((M$1)/10,0)*10,[1]Hugst!$R$4:$W$4,0))))</f>
        <v>1171.4971457427389</v>
      </c>
      <c r="N105" s="168">
        <f ca="1">IF($C105-N$1&lt;År1,0,M104*(1-VLOOKUP($A105,[1]Hugst!$R$5:$W$9,MATCH(ROUNDUP((N$1)/10,0)*10,[1]Hugst!$R$4:$W$4,0))))</f>
        <v>1174.6461677614941</v>
      </c>
      <c r="O105" s="168">
        <f ca="1">IF($C105-O$1&lt;År1,0,N104*(1-VLOOKUP($A105,[1]Hugst!$R$5:$W$9,MATCH(ROUNDUP((O$1)/10,0)*10,[1]Hugst!$R$4:$W$4,0))))</f>
        <v>1177.8110140114811</v>
      </c>
      <c r="P105" s="168">
        <f ca="1">IF($C105-P$1&lt;År1,0,O104*(1-VLOOKUP($A105,[1]Hugst!$R$5:$W$9,MATCH(ROUNDUP((P$1)/10,0)*10,[1]Hugst!$R$4:$W$4,0))))</f>
        <v>1179.1902511511241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602.02346594831033</v>
      </c>
      <c r="E106" s="168">
        <f t="shared" ca="1" si="2"/>
        <v>3.5954256587228883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1150.460655618522</v>
      </c>
      <c r="G106" s="168">
        <f ca="1">IF($C106-G$1&lt;År1,0,F105*(1-VLOOKUP($A106,[1]Hugst!$R$5:$W$9,MATCH(ROUNDUP((G$1)/10,0)*10,[1]Hugst!$R$4:$W$4,0))))</f>
        <v>1151.691986367651</v>
      </c>
      <c r="H106" s="168">
        <f ca="1">IF($C106-H$1&lt;År1,0,G105*(1-VLOOKUP($A106,[1]Hugst!$R$5:$W$9,MATCH(ROUNDUP((H$1)/10,0)*10,[1]Hugst!$R$4:$W$4,0))))</f>
        <v>1152.9309192836306</v>
      </c>
      <c r="I106" s="168">
        <f ca="1">IF($C106-I$1&lt;År1,0,H105*(1-VLOOKUP($A106,[1]Hugst!$R$5:$W$9,MATCH(ROUNDUP((I$1)/10,0)*10,[1]Hugst!$R$4:$W$4,0))))</f>
        <v>1155.9866436820091</v>
      </c>
      <c r="J106" s="168">
        <f ca="1">IF($C106-J$1&lt;År1,0,I105*(1-VLOOKUP($A106,[1]Hugst!$R$5:$W$9,MATCH(ROUNDUP((J$1)/10,0)*10,[1]Hugst!$R$4:$W$4,0))))</f>
        <v>1159.0577234793388</v>
      </c>
      <c r="K106" s="168">
        <f ca="1">IF($C106-K$1&lt;År1,0,J105*(1-VLOOKUP($A106,[1]Hugst!$R$5:$W$9,MATCH(ROUNDUP((K$1)/10,0)*10,[1]Hugst!$R$4:$W$4,0))))</f>
        <v>1162.1442358384891</v>
      </c>
      <c r="L106" s="168">
        <f ca="1">IF($C106-L$1&lt;År1,0,K105*(1-VLOOKUP($A106,[1]Hugst!$R$5:$W$9,MATCH(ROUNDUP((L$1)/10,0)*10,[1]Hugst!$R$4:$W$4,0))))</f>
        <v>1165.246258309963</v>
      </c>
      <c r="M106" s="168">
        <f ca="1">IF($C106-M$1&lt;År1,0,L105*(1-VLOOKUP($A106,[1]Hugst!$R$5:$W$9,MATCH(ROUNDUP((M$1)/10,0)*10,[1]Hugst!$R$4:$W$4,0))))</f>
        <v>1168.3638688340659</v>
      </c>
      <c r="N106" s="168">
        <f ca="1">IF($C106-N$1&lt;År1,0,M105*(1-VLOOKUP($A106,[1]Hugst!$R$5:$W$9,MATCH(ROUNDUP((N$1)/10,0)*10,[1]Hugst!$R$4:$W$4,0))))</f>
        <v>1171.4971457427389</v>
      </c>
      <c r="O106" s="168">
        <f ca="1">IF($C106-O$1&lt;År1,0,N105*(1-VLOOKUP($A106,[1]Hugst!$R$5:$W$9,MATCH(ROUNDUP((O$1)/10,0)*10,[1]Hugst!$R$4:$W$4,0))))</f>
        <v>1174.6461677614941</v>
      </c>
      <c r="P106" s="168">
        <f ca="1">IF($C106-P$1&lt;År1,0,O105*(1-VLOOKUP($A106,[1]Hugst!$R$5:$W$9,MATCH(ROUNDUP((P$1)/10,0)*10,[1]Hugst!$R$4:$W$4,0))))</f>
        <v>1176.01435314265</v>
      </c>
      <c r="Q106" s="168">
        <f ca="1">IF($C106-Q$1&lt;År1,0,P105*(1-VLOOKUP($A106,[1]Hugst!$R$5:$W$9,MATCH(ROUNDUP((Q$1)/10,0)*10,[1]Hugst!$R$4:$W$4,0))))</f>
        <v>1177.3914863612326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599.01334861858049</v>
      </c>
      <c r="E107" s="168">
        <f t="shared" ca="1" si="2"/>
        <v>5.3817742483697657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1149.236886878439</v>
      </c>
      <c r="G107" s="168">
        <f ca="1">IF($C107-G$1&lt;År1,0,F106*(1-VLOOKUP($A107,[1]Hugst!$R$5:$W$9,MATCH(ROUNDUP((G$1)/10,0)*10,[1]Hugst!$R$4:$W$4,0))))</f>
        <v>1150.460655618522</v>
      </c>
      <c r="H107" s="168">
        <f ca="1">IF($C107-H$1&lt;År1,0,G106*(1-VLOOKUP($A107,[1]Hugst!$R$5:$W$9,MATCH(ROUNDUP((H$1)/10,0)*10,[1]Hugst!$R$4:$W$4,0))))</f>
        <v>1151.691986367651</v>
      </c>
      <c r="I107" s="168">
        <f ca="1">IF($C107-I$1&lt;År1,0,H106*(1-VLOOKUP($A107,[1]Hugst!$R$5:$W$9,MATCH(ROUNDUP((I$1)/10,0)*10,[1]Hugst!$R$4:$W$4,0))))</f>
        <v>1152.9309192836306</v>
      </c>
      <c r="J107" s="168">
        <f ca="1">IF($C107-J$1&lt;År1,0,I106*(1-VLOOKUP($A107,[1]Hugst!$R$5:$W$9,MATCH(ROUNDUP((J$1)/10,0)*10,[1]Hugst!$R$4:$W$4,0))))</f>
        <v>1155.9866436820091</v>
      </c>
      <c r="K107" s="168">
        <f ca="1">IF($C107-K$1&lt;År1,0,J106*(1-VLOOKUP($A107,[1]Hugst!$R$5:$W$9,MATCH(ROUNDUP((K$1)/10,0)*10,[1]Hugst!$R$4:$W$4,0))))</f>
        <v>1159.0577234793388</v>
      </c>
      <c r="L107" s="168">
        <f ca="1">IF($C107-L$1&lt;År1,0,K106*(1-VLOOKUP($A107,[1]Hugst!$R$5:$W$9,MATCH(ROUNDUP((L$1)/10,0)*10,[1]Hugst!$R$4:$W$4,0))))</f>
        <v>1162.1442358384891</v>
      </c>
      <c r="M107" s="168">
        <f ca="1">IF($C107-M$1&lt;År1,0,L106*(1-VLOOKUP($A107,[1]Hugst!$R$5:$W$9,MATCH(ROUNDUP((M$1)/10,0)*10,[1]Hugst!$R$4:$W$4,0))))</f>
        <v>1165.246258309963</v>
      </c>
      <c r="N107" s="168">
        <f ca="1">IF($C107-N$1&lt;År1,0,M106*(1-VLOOKUP($A107,[1]Hugst!$R$5:$W$9,MATCH(ROUNDUP((N$1)/10,0)*10,[1]Hugst!$R$4:$W$4,0))))</f>
        <v>1168.3638688340659</v>
      </c>
      <c r="O107" s="168">
        <f ca="1">IF($C107-O$1&lt;År1,0,N106*(1-VLOOKUP($A107,[1]Hugst!$R$5:$W$9,MATCH(ROUNDUP((O$1)/10,0)*10,[1]Hugst!$R$4:$W$4,0))))</f>
        <v>1171.4971457427389</v>
      </c>
      <c r="P107" s="168">
        <f ca="1">IF($C107-P$1&lt;År1,0,O106*(1-VLOOKUP($A107,[1]Hugst!$R$5:$W$9,MATCH(ROUNDUP((P$1)/10,0)*10,[1]Hugst!$R$4:$W$4,0))))</f>
        <v>1172.8543346242307</v>
      </c>
      <c r="Q107" s="168">
        <f ca="1">IF($C107-Q$1&lt;År1,0,P106*(1-VLOOKUP($A107,[1]Hugst!$R$5:$W$9,MATCH(ROUNDUP((Q$1)/10,0)*10,[1]Hugst!$R$4:$W$4,0))))</f>
        <v>1174.2204329429408</v>
      </c>
      <c r="R107" s="168">
        <f ca="1">IF($C107-R$1&lt;År1,0,Q106*(1-VLOOKUP($A107,[1]Hugst!$R$5:$W$9,MATCH(ROUNDUP((R$1)/10,0)*10,[1]Hugst!$R$4:$W$4,0))))</f>
        <v>1175.5954654498341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596.01828187548381</v>
      </c>
      <c r="E108" s="168">
        <f t="shared" ca="1" si="2"/>
        <v>7.1605943065842439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1148.0206401935568</v>
      </c>
      <c r="G108" s="168">
        <f ca="1">IF($C108-G$1&lt;År1,0,F107*(1-VLOOKUP($A108,[1]Hugst!$R$5:$W$9,MATCH(ROUNDUP((G$1)/10,0)*10,[1]Hugst!$R$4:$W$4,0))))</f>
        <v>1149.236886878439</v>
      </c>
      <c r="H108" s="168">
        <f ca="1">IF($C108-H$1&lt;År1,0,G107*(1-VLOOKUP($A108,[1]Hugst!$R$5:$W$9,MATCH(ROUNDUP((H$1)/10,0)*10,[1]Hugst!$R$4:$W$4,0))))</f>
        <v>1150.460655618522</v>
      </c>
      <c r="I108" s="168">
        <f ca="1">IF($C108-I$1&lt;År1,0,H107*(1-VLOOKUP($A108,[1]Hugst!$R$5:$W$9,MATCH(ROUNDUP((I$1)/10,0)*10,[1]Hugst!$R$4:$W$4,0))))</f>
        <v>1151.691986367651</v>
      </c>
      <c r="J108" s="168">
        <f ca="1">IF($C108-J$1&lt;År1,0,I107*(1-VLOOKUP($A108,[1]Hugst!$R$5:$W$9,MATCH(ROUNDUP((J$1)/10,0)*10,[1]Hugst!$R$4:$W$4,0))))</f>
        <v>1152.9309192836306</v>
      </c>
      <c r="K108" s="168">
        <f ca="1">IF($C108-K$1&lt;År1,0,J107*(1-VLOOKUP($A108,[1]Hugst!$R$5:$W$9,MATCH(ROUNDUP((K$1)/10,0)*10,[1]Hugst!$R$4:$W$4,0))))</f>
        <v>1155.9866436820091</v>
      </c>
      <c r="L108" s="168">
        <f ca="1">IF($C108-L$1&lt;År1,0,K107*(1-VLOOKUP($A108,[1]Hugst!$R$5:$W$9,MATCH(ROUNDUP((L$1)/10,0)*10,[1]Hugst!$R$4:$W$4,0))))</f>
        <v>1159.0577234793388</v>
      </c>
      <c r="M108" s="168">
        <f ca="1">IF($C108-M$1&lt;År1,0,L107*(1-VLOOKUP($A108,[1]Hugst!$R$5:$W$9,MATCH(ROUNDUP((M$1)/10,0)*10,[1]Hugst!$R$4:$W$4,0))))</f>
        <v>1162.1442358384891</v>
      </c>
      <c r="N108" s="168">
        <f ca="1">IF($C108-N$1&lt;År1,0,M107*(1-VLOOKUP($A108,[1]Hugst!$R$5:$W$9,MATCH(ROUNDUP((N$1)/10,0)*10,[1]Hugst!$R$4:$W$4,0))))</f>
        <v>1165.246258309963</v>
      </c>
      <c r="O108" s="168">
        <f ca="1">IF($C108-O$1&lt;År1,0,N107*(1-VLOOKUP($A108,[1]Hugst!$R$5:$W$9,MATCH(ROUNDUP((O$1)/10,0)*10,[1]Hugst!$R$4:$W$4,0))))</f>
        <v>1168.3638688340659</v>
      </c>
      <c r="P108" s="168">
        <f ca="1">IF($C108-P$1&lt;År1,0,O107*(1-VLOOKUP($A108,[1]Hugst!$R$5:$W$9,MATCH(ROUNDUP((P$1)/10,0)*10,[1]Hugst!$R$4:$W$4,0))))</f>
        <v>1169.7101161983855</v>
      </c>
      <c r="Q108" s="168">
        <f ca="1">IF($C108-Q$1&lt;År1,0,P107*(1-VLOOKUP($A108,[1]Hugst!$R$5:$W$9,MATCH(ROUNDUP((Q$1)/10,0)*10,[1]Hugst!$R$4:$W$4,0))))</f>
        <v>1171.065234791753</v>
      </c>
      <c r="R108" s="168">
        <f ca="1">IF($C108-R$1&lt;År1,0,Q107*(1-VLOOKUP($A108,[1]Hugst!$R$5:$W$9,MATCH(ROUNDUP((R$1)/10,0)*10,[1]Hugst!$R$4:$W$4,0))))</f>
        <v>1172.4292492316717</v>
      </c>
      <c r="S108" s="168">
        <f ca="1">IF($C108-S$1&lt;År1,0,R107*(1-VLOOKUP($A108,[1]Hugst!$R$5:$W$9,MATCH(ROUNDUP((S$1)/10,0)*10,[1]Hugst!$R$4:$W$4,0))))</f>
        <v>1173.8021842313512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593.03819046610442</v>
      </c>
      <c r="E109" s="168">
        <f t="shared" ca="1" si="2"/>
        <v>8.9319213355229294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1146.8118758131161</v>
      </c>
      <c r="G109" s="168">
        <f ca="1">IF($C109-G$1&lt;År1,0,F108*(1-VLOOKUP($A109,[1]Hugst!$R$5:$W$9,MATCH(ROUNDUP((G$1)/10,0)*10,[1]Hugst!$R$4:$W$4,0))))</f>
        <v>1148.0206401935568</v>
      </c>
      <c r="H109" s="168">
        <f ca="1">IF($C109-H$1&lt;År1,0,G108*(1-VLOOKUP($A109,[1]Hugst!$R$5:$W$9,MATCH(ROUNDUP((H$1)/10,0)*10,[1]Hugst!$R$4:$W$4,0))))</f>
        <v>1149.236886878439</v>
      </c>
      <c r="I109" s="168">
        <f ca="1">IF($C109-I$1&lt;År1,0,H108*(1-VLOOKUP($A109,[1]Hugst!$R$5:$W$9,MATCH(ROUNDUP((I$1)/10,0)*10,[1]Hugst!$R$4:$W$4,0))))</f>
        <v>1150.460655618522</v>
      </c>
      <c r="J109" s="168">
        <f ca="1">IF($C109-J$1&lt;År1,0,I108*(1-VLOOKUP($A109,[1]Hugst!$R$5:$W$9,MATCH(ROUNDUP((J$1)/10,0)*10,[1]Hugst!$R$4:$W$4,0))))</f>
        <v>1151.691986367651</v>
      </c>
      <c r="K109" s="168">
        <f ca="1">IF($C109-K$1&lt;År1,0,J108*(1-VLOOKUP($A109,[1]Hugst!$R$5:$W$9,MATCH(ROUNDUP((K$1)/10,0)*10,[1]Hugst!$R$4:$W$4,0))))</f>
        <v>1152.9309192836306</v>
      </c>
      <c r="L109" s="168">
        <f ca="1">IF($C109-L$1&lt;År1,0,K108*(1-VLOOKUP($A109,[1]Hugst!$R$5:$W$9,MATCH(ROUNDUP((L$1)/10,0)*10,[1]Hugst!$R$4:$W$4,0))))</f>
        <v>1155.9866436820091</v>
      </c>
      <c r="M109" s="168">
        <f ca="1">IF($C109-M$1&lt;År1,0,L108*(1-VLOOKUP($A109,[1]Hugst!$R$5:$W$9,MATCH(ROUNDUP((M$1)/10,0)*10,[1]Hugst!$R$4:$W$4,0))))</f>
        <v>1159.0577234793388</v>
      </c>
      <c r="N109" s="168">
        <f ca="1">IF($C109-N$1&lt;År1,0,M108*(1-VLOOKUP($A109,[1]Hugst!$R$5:$W$9,MATCH(ROUNDUP((N$1)/10,0)*10,[1]Hugst!$R$4:$W$4,0))))</f>
        <v>1162.1442358384891</v>
      </c>
      <c r="O109" s="168">
        <f ca="1">IF($C109-O$1&lt;År1,0,N108*(1-VLOOKUP($A109,[1]Hugst!$R$5:$W$9,MATCH(ROUNDUP((O$1)/10,0)*10,[1]Hugst!$R$4:$W$4,0))))</f>
        <v>1165.246258309963</v>
      </c>
      <c r="P109" s="168">
        <f ca="1">IF($C109-P$1&lt;År1,0,O108*(1-VLOOKUP($A109,[1]Hugst!$R$5:$W$9,MATCH(ROUNDUP((P$1)/10,0)*10,[1]Hugst!$R$4:$W$4,0))))</f>
        <v>1166.5816188646579</v>
      </c>
      <c r="Q109" s="168">
        <f ca="1">IF($C109-Q$1&lt;År1,0,P108*(1-VLOOKUP($A109,[1]Hugst!$R$5:$W$9,MATCH(ROUNDUP((Q$1)/10,0)*10,[1]Hugst!$R$4:$W$4,0))))</f>
        <v>1167.9258126313032</v>
      </c>
      <c r="R109" s="168">
        <f ca="1">IF($C109-R$1&lt;År1,0,Q108*(1-VLOOKUP($A109,[1]Hugst!$R$5:$W$9,MATCH(ROUNDUP((R$1)/10,0)*10,[1]Hugst!$R$4:$W$4,0))))</f>
        <v>1169.278864094613</v>
      </c>
      <c r="S109" s="168">
        <f ca="1">IF($C109-S$1&lt;År1,0,R108*(1-VLOOKUP($A109,[1]Hugst!$R$5:$W$9,MATCH(ROUNDUP((S$1)/10,0)*10,[1]Hugst!$R$4:$W$4,0))))</f>
        <v>1170.6407978345387</v>
      </c>
      <c r="T109" s="168">
        <f ca="1">IF($C109-T$1&lt;År1,0,S108*(1-VLOOKUP($A109,[1]Hugst!$R$5:$W$9,MATCH(ROUNDUP((T$1)/10,0)*10,[1]Hugst!$R$4:$W$4,0))))</f>
        <v>1172.0116385265915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590.07299951379537</v>
      </c>
      <c r="E110" s="168">
        <f t="shared" ca="1" si="2"/>
        <v>10.695790663110529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1145.6105541883946</v>
      </c>
      <c r="G110" s="168">
        <f ca="1">IF($C110-G$1&lt;År1,0,F109*(1-VLOOKUP($A110,[1]Hugst!$R$5:$W$9,MATCH(ROUNDUP((G$1)/10,0)*10,[1]Hugst!$R$4:$W$4,0))))</f>
        <v>1146.8118758131161</v>
      </c>
      <c r="H110" s="168">
        <f ca="1">IF($C110-H$1&lt;År1,0,G109*(1-VLOOKUP($A110,[1]Hugst!$R$5:$W$9,MATCH(ROUNDUP((H$1)/10,0)*10,[1]Hugst!$R$4:$W$4,0))))</f>
        <v>1148.0206401935568</v>
      </c>
      <c r="I110" s="168">
        <f ca="1">IF($C110-I$1&lt;År1,0,H109*(1-VLOOKUP($A110,[1]Hugst!$R$5:$W$9,MATCH(ROUNDUP((I$1)/10,0)*10,[1]Hugst!$R$4:$W$4,0))))</f>
        <v>1149.236886878439</v>
      </c>
      <c r="J110" s="168">
        <f ca="1">IF($C110-J$1&lt;År1,0,I109*(1-VLOOKUP($A110,[1]Hugst!$R$5:$W$9,MATCH(ROUNDUP((J$1)/10,0)*10,[1]Hugst!$R$4:$W$4,0))))</f>
        <v>1150.460655618522</v>
      </c>
      <c r="K110" s="168">
        <f ca="1">IF($C110-K$1&lt;År1,0,J109*(1-VLOOKUP($A110,[1]Hugst!$R$5:$W$9,MATCH(ROUNDUP((K$1)/10,0)*10,[1]Hugst!$R$4:$W$4,0))))</f>
        <v>1151.691986367651</v>
      </c>
      <c r="L110" s="168">
        <f ca="1">IF($C110-L$1&lt;År1,0,K109*(1-VLOOKUP($A110,[1]Hugst!$R$5:$W$9,MATCH(ROUNDUP((L$1)/10,0)*10,[1]Hugst!$R$4:$W$4,0))))</f>
        <v>1152.9309192836306</v>
      </c>
      <c r="M110" s="168">
        <f ca="1">IF($C110-M$1&lt;År1,0,L109*(1-VLOOKUP($A110,[1]Hugst!$R$5:$W$9,MATCH(ROUNDUP((M$1)/10,0)*10,[1]Hugst!$R$4:$W$4,0))))</f>
        <v>1155.9866436820091</v>
      </c>
      <c r="N110" s="168">
        <f ca="1">IF($C110-N$1&lt;År1,0,M109*(1-VLOOKUP($A110,[1]Hugst!$R$5:$W$9,MATCH(ROUNDUP((N$1)/10,0)*10,[1]Hugst!$R$4:$W$4,0))))</f>
        <v>1159.0577234793388</v>
      </c>
      <c r="O110" s="168">
        <f ca="1">IF($C110-O$1&lt;År1,0,N109*(1-VLOOKUP($A110,[1]Hugst!$R$5:$W$9,MATCH(ROUNDUP((O$1)/10,0)*10,[1]Hugst!$R$4:$W$4,0))))</f>
        <v>1162.1442358384891</v>
      </c>
      <c r="P110" s="168">
        <f ca="1">IF($C110-P$1&lt;År1,0,O109*(1-VLOOKUP($A110,[1]Hugst!$R$5:$W$9,MATCH(ROUNDUP((P$1)/10,0)*10,[1]Hugst!$R$4:$W$4,0))))</f>
        <v>1163.4687640176257</v>
      </c>
      <c r="Q110" s="168">
        <f ca="1">IF($C110-Q$1&lt;År1,0,P109*(1-VLOOKUP($A110,[1]Hugst!$R$5:$W$9,MATCH(ROUNDUP((Q$1)/10,0)*10,[1]Hugst!$R$4:$W$4,0))))</f>
        <v>1164.8020875816439</v>
      </c>
      <c r="R110" s="168">
        <f ca="1">IF($C110-R$1&lt;År1,0,Q109*(1-VLOOKUP($A110,[1]Hugst!$R$5:$W$9,MATCH(ROUNDUP((R$1)/10,0)*10,[1]Hugst!$R$4:$W$4,0))))</f>
        <v>1166.1442308832216</v>
      </c>
      <c r="S110" s="168">
        <f ca="1">IF($C110-S$1&lt;År1,0,R109*(1-VLOOKUP($A110,[1]Hugst!$R$5:$W$9,MATCH(ROUNDUP((S$1)/10,0)*10,[1]Hugst!$R$4:$W$4,0))))</f>
        <v>1167.4952183697228</v>
      </c>
      <c r="T110" s="168">
        <f ca="1">IF($C110-T$1&lt;År1,0,S109*(1-VLOOKUP($A110,[1]Hugst!$R$5:$W$9,MATCH(ROUNDUP((T$1)/10,0)*10,[1]Hugst!$R$4:$W$4,0))))</f>
        <v>1168.8550745836046</v>
      </c>
      <c r="U110" s="168">
        <f ca="1">IF($C110-U$1&lt;År1,0,T109*(1-VLOOKUP($A110,[1]Hugst!$R$5:$W$9,MATCH(ROUNDUP((U$1)/10,0)*10,[1]Hugst!$R$4:$W$4,0))))</f>
        <v>1170.2238241627374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587.12263451619947</v>
      </c>
      <c r="E111" s="168">
        <f t="shared" ca="1" si="2"/>
        <v>12.452237443885679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1144.4166359715739</v>
      </c>
      <c r="G111" s="168">
        <f ca="1">IF($C111-G$1&lt;År1,0,F110*(1-VLOOKUP($A111,[1]Hugst!$R$5:$W$9,MATCH(ROUNDUP((G$1)/10,0)*10,[1]Hugst!$R$4:$W$4,0))))</f>
        <v>1145.6105541883946</v>
      </c>
      <c r="H111" s="168">
        <f ca="1">IF($C111-H$1&lt;År1,0,G110*(1-VLOOKUP($A111,[1]Hugst!$R$5:$W$9,MATCH(ROUNDUP((H$1)/10,0)*10,[1]Hugst!$R$4:$W$4,0))))</f>
        <v>1146.8118758131161</v>
      </c>
      <c r="I111" s="168">
        <f ca="1">IF($C111-I$1&lt;År1,0,H110*(1-VLOOKUP($A111,[1]Hugst!$R$5:$W$9,MATCH(ROUNDUP((I$1)/10,0)*10,[1]Hugst!$R$4:$W$4,0))))</f>
        <v>1148.0206401935568</v>
      </c>
      <c r="J111" s="168">
        <f ca="1">IF($C111-J$1&lt;År1,0,I110*(1-VLOOKUP($A111,[1]Hugst!$R$5:$W$9,MATCH(ROUNDUP((J$1)/10,0)*10,[1]Hugst!$R$4:$W$4,0))))</f>
        <v>1149.236886878439</v>
      </c>
      <c r="K111" s="168">
        <f ca="1">IF($C111-K$1&lt;År1,0,J110*(1-VLOOKUP($A111,[1]Hugst!$R$5:$W$9,MATCH(ROUNDUP((K$1)/10,0)*10,[1]Hugst!$R$4:$W$4,0))))</f>
        <v>1150.460655618522</v>
      </c>
      <c r="L111" s="168">
        <f ca="1">IF($C111-L$1&lt;År1,0,K110*(1-VLOOKUP($A111,[1]Hugst!$R$5:$W$9,MATCH(ROUNDUP((L$1)/10,0)*10,[1]Hugst!$R$4:$W$4,0))))</f>
        <v>1151.691986367651</v>
      </c>
      <c r="M111" s="168">
        <f ca="1">IF($C111-M$1&lt;År1,0,L110*(1-VLOOKUP($A111,[1]Hugst!$R$5:$W$9,MATCH(ROUNDUP((M$1)/10,0)*10,[1]Hugst!$R$4:$W$4,0))))</f>
        <v>1152.9309192836306</v>
      </c>
      <c r="N111" s="168">
        <f ca="1">IF($C111-N$1&lt;År1,0,M110*(1-VLOOKUP($A111,[1]Hugst!$R$5:$W$9,MATCH(ROUNDUP((N$1)/10,0)*10,[1]Hugst!$R$4:$W$4,0))))</f>
        <v>1155.9866436820091</v>
      </c>
      <c r="O111" s="168">
        <f ca="1">IF($C111-O$1&lt;År1,0,N110*(1-VLOOKUP($A111,[1]Hugst!$R$5:$W$9,MATCH(ROUNDUP((O$1)/10,0)*10,[1]Hugst!$R$4:$W$4,0))))</f>
        <v>1159.0577234793388</v>
      </c>
      <c r="P111" s="168">
        <f ca="1">IF($C111-P$1&lt;År1,0,O110*(1-VLOOKUP($A111,[1]Hugst!$R$5:$W$9,MATCH(ROUNDUP((P$1)/10,0)*10,[1]Hugst!$R$4:$W$4,0))))</f>
        <v>1160.3714734448372</v>
      </c>
      <c r="Q111" s="168">
        <f ca="1">IF($C111-Q$1&lt;År1,0,P110*(1-VLOOKUP($A111,[1]Hugst!$R$5:$W$9,MATCH(ROUNDUP((Q$1)/10,0)*10,[1]Hugst!$R$4:$W$4,0))))</f>
        <v>1161.6939811572599</v>
      </c>
      <c r="R111" s="168">
        <f ca="1">IF($C111-R$1&lt;År1,0,Q110*(1-VLOOKUP($A111,[1]Hugst!$R$5:$W$9,MATCH(ROUNDUP((R$1)/10,0)*10,[1]Hugst!$R$4:$W$4,0))))</f>
        <v>1163.0252708378753</v>
      </c>
      <c r="S111" s="168">
        <f ca="1">IF($C111-S$1&lt;År1,0,R110*(1-VLOOKUP($A111,[1]Hugst!$R$5:$W$9,MATCH(ROUNDUP((S$1)/10,0)*10,[1]Hugst!$R$4:$W$4,0))))</f>
        <v>1164.3653668022132</v>
      </c>
      <c r="T111" s="168">
        <f ca="1">IF($C111-T$1&lt;År1,0,S110*(1-VLOOKUP($A111,[1]Hugst!$R$5:$W$9,MATCH(ROUNDUP((T$1)/10,0)*10,[1]Hugst!$R$4:$W$4,0))))</f>
        <v>1165.7142934603453</v>
      </c>
      <c r="U111" s="168">
        <f ca="1">IF($C111-U$1&lt;År1,0,T110*(1-VLOOKUP($A111,[1]Hugst!$R$5:$W$9,MATCH(ROUNDUP((U$1)/10,0)*10,[1]Hugst!$R$4:$W$4,0))))</f>
        <v>1167.0720753172907</v>
      </c>
      <c r="V111" s="168">
        <f ca="1">IF($C111-V$1&lt;År1,0,U110*(1-VLOOKUP($A111,[1]Hugst!$R$5:$W$9,MATCH(ROUNDUP((V$1)/10,0)*10,[1]Hugst!$R$4:$W$4,0))))</f>
        <v>1168.4387369733365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584.18702134363411</v>
      </c>
      <c r="E112" s="168">
        <f t="shared" ca="1" si="2"/>
        <v>14.201296659870422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1143.2300820149933</v>
      </c>
      <c r="G112" s="168">
        <f ca="1">IF($C112-G$1&lt;År1,0,F111*(1-VLOOKUP($A112,[1]Hugst!$R$5:$W$9,MATCH(ROUNDUP((G$1)/10,0)*10,[1]Hugst!$R$4:$W$4,0))))</f>
        <v>1144.4166359715739</v>
      </c>
      <c r="H112" s="168">
        <f ca="1">IF($C112-H$1&lt;År1,0,G111*(1-VLOOKUP($A112,[1]Hugst!$R$5:$W$9,MATCH(ROUNDUP((H$1)/10,0)*10,[1]Hugst!$R$4:$W$4,0))))</f>
        <v>1145.6105541883946</v>
      </c>
      <c r="I112" s="168">
        <f ca="1">IF($C112-I$1&lt;År1,0,H111*(1-VLOOKUP($A112,[1]Hugst!$R$5:$W$9,MATCH(ROUNDUP((I$1)/10,0)*10,[1]Hugst!$R$4:$W$4,0))))</f>
        <v>1146.8118758131161</v>
      </c>
      <c r="J112" s="168">
        <f ca="1">IF($C112-J$1&lt;År1,0,I111*(1-VLOOKUP($A112,[1]Hugst!$R$5:$W$9,MATCH(ROUNDUP((J$1)/10,0)*10,[1]Hugst!$R$4:$W$4,0))))</f>
        <v>1148.0206401935568</v>
      </c>
      <c r="K112" s="168">
        <f ca="1">IF($C112-K$1&lt;År1,0,J111*(1-VLOOKUP($A112,[1]Hugst!$R$5:$W$9,MATCH(ROUNDUP((K$1)/10,0)*10,[1]Hugst!$R$4:$W$4,0))))</f>
        <v>1149.236886878439</v>
      </c>
      <c r="L112" s="168">
        <f ca="1">IF($C112-L$1&lt;År1,0,K111*(1-VLOOKUP($A112,[1]Hugst!$R$5:$W$9,MATCH(ROUNDUP((L$1)/10,0)*10,[1]Hugst!$R$4:$W$4,0))))</f>
        <v>1150.460655618522</v>
      </c>
      <c r="M112" s="168">
        <f ca="1">IF($C112-M$1&lt;År1,0,L111*(1-VLOOKUP($A112,[1]Hugst!$R$5:$W$9,MATCH(ROUNDUP((M$1)/10,0)*10,[1]Hugst!$R$4:$W$4,0))))</f>
        <v>1151.691986367651</v>
      </c>
      <c r="N112" s="168">
        <f ca="1">IF($C112-N$1&lt;År1,0,M111*(1-VLOOKUP($A112,[1]Hugst!$R$5:$W$9,MATCH(ROUNDUP((N$1)/10,0)*10,[1]Hugst!$R$4:$W$4,0))))</f>
        <v>1152.9309192836306</v>
      </c>
      <c r="O112" s="168">
        <f ca="1">IF($C112-O$1&lt;År1,0,N111*(1-VLOOKUP($A112,[1]Hugst!$R$5:$W$9,MATCH(ROUNDUP((O$1)/10,0)*10,[1]Hugst!$R$4:$W$4,0))))</f>
        <v>1155.9866436820091</v>
      </c>
      <c r="P112" s="168">
        <f ca="1">IF($C112-P$1&lt;År1,0,O111*(1-VLOOKUP($A112,[1]Hugst!$R$5:$W$9,MATCH(ROUNDUP((P$1)/10,0)*10,[1]Hugst!$R$4:$W$4,0))))</f>
        <v>1157.2896693248788</v>
      </c>
      <c r="Q112" s="168">
        <f ca="1">IF($C112-Q$1&lt;År1,0,P111*(1-VLOOKUP($A112,[1]Hugst!$R$5:$W$9,MATCH(ROUNDUP((Q$1)/10,0)*10,[1]Hugst!$R$4:$W$4,0))))</f>
        <v>1158.6014152650062</v>
      </c>
      <c r="R112" s="168">
        <f ca="1">IF($C112-R$1&lt;År1,0,Q111*(1-VLOOKUP($A112,[1]Hugst!$R$5:$W$9,MATCH(ROUNDUP((R$1)/10,0)*10,[1]Hugst!$R$4:$W$4,0))))</f>
        <v>1159.9219055927827</v>
      </c>
      <c r="S112" s="168">
        <f ca="1">IF($C112-S$1&lt;År1,0,R111*(1-VLOOKUP($A112,[1]Hugst!$R$5:$W$9,MATCH(ROUNDUP((S$1)/10,0)*10,[1]Hugst!$R$4:$W$4,0))))</f>
        <v>1161.2511644925294</v>
      </c>
      <c r="T112" s="168">
        <f ca="1">IF($C112-T$1&lt;År1,0,S111*(1-VLOOKUP($A112,[1]Hugst!$R$5:$W$9,MATCH(ROUNDUP((T$1)/10,0)*10,[1]Hugst!$R$4:$W$4,0))))</f>
        <v>1162.5892162426844</v>
      </c>
      <c r="U112" s="168">
        <f ca="1">IF($C112-U$1&lt;År1,0,T111*(1-VLOOKUP($A112,[1]Hugst!$R$5:$W$9,MATCH(ROUNDUP((U$1)/10,0)*10,[1]Hugst!$R$4:$W$4,0))))</f>
        <v>1163.9360852160837</v>
      </c>
      <c r="V112" s="168">
        <f ca="1">IF($C112-V$1&lt;År1,0,U111*(1-VLOOKUP($A112,[1]Hugst!$R$5:$W$9,MATCH(ROUNDUP((V$1)/10,0)*10,[1]Hugst!$R$4:$W$4,0))))</f>
        <v>1165.291795880366</v>
      </c>
      <c r="W112" s="168">
        <f ca="1">IF($C112-W$1&lt;År1,0,V111*(1-VLOOKUP($A112,[1]Hugst!$R$5:$W$9,MATCH(ROUNDUP((W$1)/10,0)*10,[1]Hugst!$R$4:$W$4,0))))</f>
        <v>1166.6563727982923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581.266086236923</v>
      </c>
      <c r="E113" s="168">
        <f t="shared" ca="1" si="2"/>
        <v>15.943003121428774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1142.0508533698405</v>
      </c>
      <c r="G113" s="168">
        <f ca="1">IF($C113-G$1&lt;År1,0,F112*(1-VLOOKUP($A113,[1]Hugst!$R$5:$W$9,MATCH(ROUNDUP((G$1)/10,0)*10,[1]Hugst!$R$4:$W$4,0))))</f>
        <v>1143.2300820149933</v>
      </c>
      <c r="H113" s="168">
        <f ca="1">IF($C113-H$1&lt;År1,0,G112*(1-VLOOKUP($A113,[1]Hugst!$R$5:$W$9,MATCH(ROUNDUP((H$1)/10,0)*10,[1]Hugst!$R$4:$W$4,0))))</f>
        <v>1144.4166359715739</v>
      </c>
      <c r="I113" s="168">
        <f ca="1">IF($C113-I$1&lt;År1,0,H112*(1-VLOOKUP($A113,[1]Hugst!$R$5:$W$9,MATCH(ROUNDUP((I$1)/10,0)*10,[1]Hugst!$R$4:$W$4,0))))</f>
        <v>1145.6105541883946</v>
      </c>
      <c r="J113" s="168">
        <f ca="1">IF($C113-J$1&lt;År1,0,I112*(1-VLOOKUP($A113,[1]Hugst!$R$5:$W$9,MATCH(ROUNDUP((J$1)/10,0)*10,[1]Hugst!$R$4:$W$4,0))))</f>
        <v>1146.8118758131161</v>
      </c>
      <c r="K113" s="168">
        <f ca="1">IF($C113-K$1&lt;År1,0,J112*(1-VLOOKUP($A113,[1]Hugst!$R$5:$W$9,MATCH(ROUNDUP((K$1)/10,0)*10,[1]Hugst!$R$4:$W$4,0))))</f>
        <v>1148.0206401935568</v>
      </c>
      <c r="L113" s="168">
        <f ca="1">IF($C113-L$1&lt;År1,0,K112*(1-VLOOKUP($A113,[1]Hugst!$R$5:$W$9,MATCH(ROUNDUP((L$1)/10,0)*10,[1]Hugst!$R$4:$W$4,0))))</f>
        <v>1149.236886878439</v>
      </c>
      <c r="M113" s="168">
        <f ca="1">IF($C113-M$1&lt;År1,0,L112*(1-VLOOKUP($A113,[1]Hugst!$R$5:$W$9,MATCH(ROUNDUP((M$1)/10,0)*10,[1]Hugst!$R$4:$W$4,0))))</f>
        <v>1150.460655618522</v>
      </c>
      <c r="N113" s="168">
        <f ca="1">IF($C113-N$1&lt;År1,0,M112*(1-VLOOKUP($A113,[1]Hugst!$R$5:$W$9,MATCH(ROUNDUP((N$1)/10,0)*10,[1]Hugst!$R$4:$W$4,0))))</f>
        <v>1151.691986367651</v>
      </c>
      <c r="O113" s="168">
        <f ca="1">IF($C113-O$1&lt;År1,0,N112*(1-VLOOKUP($A113,[1]Hugst!$R$5:$W$9,MATCH(ROUNDUP((O$1)/10,0)*10,[1]Hugst!$R$4:$W$4,0))))</f>
        <v>1152.9309192836306</v>
      </c>
      <c r="P113" s="168">
        <f ca="1">IF($C113-P$1&lt;År1,0,O112*(1-VLOOKUP($A113,[1]Hugst!$R$5:$W$9,MATCH(ROUNDUP((P$1)/10,0)*10,[1]Hugst!$R$4:$W$4,0))))</f>
        <v>1154.2232742255451</v>
      </c>
      <c r="Q113" s="168">
        <f ca="1">IF($C113-Q$1&lt;År1,0,P112*(1-VLOOKUP($A113,[1]Hugst!$R$5:$W$9,MATCH(ROUNDUP((Q$1)/10,0)*10,[1]Hugst!$R$4:$W$4,0))))</f>
        <v>1155.5243122021798</v>
      </c>
      <c r="R113" s="168">
        <f ca="1">IF($C113-R$1&lt;År1,0,Q112*(1-VLOOKUP($A113,[1]Hugst!$R$5:$W$9,MATCH(ROUNDUP((R$1)/10,0)*10,[1]Hugst!$R$4:$W$4,0))))</f>
        <v>1156.8340571739238</v>
      </c>
      <c r="S113" s="168">
        <f ca="1">IF($C113-S$1&lt;År1,0,R112*(1-VLOOKUP($A113,[1]Hugst!$R$5:$W$9,MATCH(ROUNDUP((S$1)/10,0)*10,[1]Hugst!$R$4:$W$4,0))))</f>
        <v>1158.1525331944208</v>
      </c>
      <c r="T113" s="168">
        <f ca="1">IF($C113-T$1&lt;År1,0,S112*(1-VLOOKUP($A113,[1]Hugst!$R$5:$W$9,MATCH(ROUNDUP((T$1)/10,0)*10,[1]Hugst!$R$4:$W$4,0))))</f>
        <v>1159.4797644110999</v>
      </c>
      <c r="U113" s="168">
        <f ca="1">IF($C113-U$1&lt;År1,0,T112*(1-VLOOKUP($A113,[1]Hugst!$R$5:$W$9,MATCH(ROUNDUP((U$1)/10,0)*10,[1]Hugst!$R$4:$W$4,0))))</f>
        <v>1160.815775065365</v>
      </c>
      <c r="V113" s="168">
        <f ca="1">IF($C113-V$1&lt;År1,0,U112*(1-VLOOKUP($A113,[1]Hugst!$R$5:$W$9,MATCH(ROUNDUP((V$1)/10,0)*10,[1]Hugst!$R$4:$W$4,0))))</f>
        <v>1162.1605894928728</v>
      </c>
      <c r="W113" s="168">
        <f ca="1">IF($C113-W$1&lt;År1,0,V112*(1-VLOOKUP($A113,[1]Hugst!$R$5:$W$9,MATCH(ROUNDUP((W$1)/10,0)*10,[1]Hugst!$R$4:$W$4,0))))</f>
        <v>1163.5142321239382</v>
      </c>
      <c r="X113" s="168">
        <f ca="1">IF($C113-X$1&lt;År1,0,W112*(1-VLOOKUP($A113,[1]Hugst!$R$5:$W$9,MATCH(ROUNDUP((X$1)/10,0)*10,[1]Hugst!$R$4:$W$4,0))))</f>
        <v>1164.8767274838542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578.35975580572267</v>
      </c>
      <c r="E114" s="168">
        <f t="shared" ca="1" si="2"/>
        <v>17.677391468121641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1140.8789112853331</v>
      </c>
      <c r="G114" s="168">
        <f ca="1">IF($C114-G$1&lt;År1,0,F113*(1-VLOOKUP($A114,[1]Hugst!$R$5:$W$9,MATCH(ROUNDUP((G$1)/10,0)*10,[1]Hugst!$R$4:$W$4,0))))</f>
        <v>1142.0508533698405</v>
      </c>
      <c r="H114" s="168">
        <f ca="1">IF($C114-H$1&lt;År1,0,G113*(1-VLOOKUP($A114,[1]Hugst!$R$5:$W$9,MATCH(ROUNDUP((H$1)/10,0)*10,[1]Hugst!$R$4:$W$4,0))))</f>
        <v>1143.2300820149933</v>
      </c>
      <c r="I114" s="168">
        <f ca="1">IF($C114-I$1&lt;År1,0,H113*(1-VLOOKUP($A114,[1]Hugst!$R$5:$W$9,MATCH(ROUNDUP((I$1)/10,0)*10,[1]Hugst!$R$4:$W$4,0))))</f>
        <v>1144.4166359715739</v>
      </c>
      <c r="J114" s="168">
        <f ca="1">IF($C114-J$1&lt;År1,0,I113*(1-VLOOKUP($A114,[1]Hugst!$R$5:$W$9,MATCH(ROUNDUP((J$1)/10,0)*10,[1]Hugst!$R$4:$W$4,0))))</f>
        <v>1145.6105541883946</v>
      </c>
      <c r="K114" s="168">
        <f ca="1">IF($C114-K$1&lt;År1,0,J113*(1-VLOOKUP($A114,[1]Hugst!$R$5:$W$9,MATCH(ROUNDUP((K$1)/10,0)*10,[1]Hugst!$R$4:$W$4,0))))</f>
        <v>1146.8118758131161</v>
      </c>
      <c r="L114" s="168">
        <f ca="1">IF($C114-L$1&lt;År1,0,K113*(1-VLOOKUP($A114,[1]Hugst!$R$5:$W$9,MATCH(ROUNDUP((L$1)/10,0)*10,[1]Hugst!$R$4:$W$4,0))))</f>
        <v>1148.0206401935568</v>
      </c>
      <c r="M114" s="168">
        <f ca="1">IF($C114-M$1&lt;År1,0,L113*(1-VLOOKUP($A114,[1]Hugst!$R$5:$W$9,MATCH(ROUNDUP((M$1)/10,0)*10,[1]Hugst!$R$4:$W$4,0))))</f>
        <v>1149.236886878439</v>
      </c>
      <c r="N114" s="168">
        <f ca="1">IF($C114-N$1&lt;År1,0,M113*(1-VLOOKUP($A114,[1]Hugst!$R$5:$W$9,MATCH(ROUNDUP((N$1)/10,0)*10,[1]Hugst!$R$4:$W$4,0))))</f>
        <v>1150.460655618522</v>
      </c>
      <c r="O114" s="168">
        <f ca="1">IF($C114-O$1&lt;År1,0,N113*(1-VLOOKUP($A114,[1]Hugst!$R$5:$W$9,MATCH(ROUNDUP((O$1)/10,0)*10,[1]Hugst!$R$4:$W$4,0))))</f>
        <v>1151.691986367651</v>
      </c>
      <c r="P114" s="168">
        <f ca="1">IF($C114-P$1&lt;År1,0,O113*(1-VLOOKUP($A114,[1]Hugst!$R$5:$W$9,MATCH(ROUNDUP((P$1)/10,0)*10,[1]Hugst!$R$4:$W$4,0))))</f>
        <v>1151.1722111016725</v>
      </c>
      <c r="Q114" s="168">
        <f ca="1">IF($C114-Q$1&lt;År1,0,P113*(1-VLOOKUP($A114,[1]Hugst!$R$5:$W$9,MATCH(ROUNDUP((Q$1)/10,0)*10,[1]Hugst!$R$4:$W$4,0))))</f>
        <v>1152.4625946546926</v>
      </c>
      <c r="R114" s="168">
        <f ca="1">IF($C114-R$1&lt;År1,0,Q113*(1-VLOOKUP($A114,[1]Hugst!$R$5:$W$9,MATCH(ROUNDUP((R$1)/10,0)*10,[1]Hugst!$R$4:$W$4,0))))</f>
        <v>1153.7616479971255</v>
      </c>
      <c r="S114" s="168">
        <f ca="1">IF($C114-S$1&lt;År1,0,R113*(1-VLOOKUP($A114,[1]Hugst!$R$5:$W$9,MATCH(ROUNDUP((S$1)/10,0)*10,[1]Hugst!$R$4:$W$4,0))))</f>
        <v>1155.0693950528109</v>
      </c>
      <c r="T114" s="168">
        <f ca="1">IF($C114-T$1&lt;År1,0,S113*(1-VLOOKUP($A114,[1]Hugst!$R$5:$W$9,MATCH(ROUNDUP((T$1)/10,0)*10,[1]Hugst!$R$4:$W$4,0))))</f>
        <v>1156.3858598387005</v>
      </c>
      <c r="U114" s="168">
        <f ca="1">IF($C114-U$1&lt;År1,0,T113*(1-VLOOKUP($A114,[1]Hugst!$R$5:$W$9,MATCH(ROUNDUP((U$1)/10,0)*10,[1]Hugst!$R$4:$W$4,0))))</f>
        <v>1157.7110664653881</v>
      </c>
      <c r="V114" s="168">
        <f ca="1">IF($C114-V$1&lt;År1,0,U113*(1-VLOOKUP($A114,[1]Hugst!$R$5:$W$9,MATCH(ROUNDUP((V$1)/10,0)*10,[1]Hugst!$R$4:$W$4,0))))</f>
        <v>1159.045039137299</v>
      </c>
      <c r="W114" s="168">
        <f ca="1">IF($C114-W$1&lt;År1,0,V113*(1-VLOOKUP($A114,[1]Hugst!$R$5:$W$9,MATCH(ROUNDUP((W$1)/10,0)*10,[1]Hugst!$R$4:$W$4,0))))</f>
        <v>1160.3878021529683</v>
      </c>
      <c r="X114" s="168">
        <f ca="1">IF($C114-X$1&lt;År1,0,W113*(1-VLOOKUP($A114,[1]Hugst!$R$5:$W$9,MATCH(ROUNDUP((X$1)/10,0)*10,[1]Hugst!$R$4:$W$4,0))))</f>
        <v>1161.7393799054439</v>
      </c>
      <c r="Y114" s="168">
        <f ca="1">IF($C114-Y$1&lt;År1,0,X113*(1-VLOOKUP($A114,[1]Hugst!$R$5:$W$9,MATCH(ROUNDUP((Y$1)/10,0)*10,[1]Hugst!$R$4:$W$4,0))))</f>
        <v>1163.0997968826075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575.46795702668896</v>
      </c>
      <c r="E115" s="168">
        <f t="shared" ca="1" si="2"/>
        <v>19.653663688495726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1139.9633847266734</v>
      </c>
      <c r="G115" s="168">
        <f ca="1">IF($C115-G$1&lt;År1,0,F114*(1-VLOOKUP($A115,[1]Hugst!$R$5:$W$9,MATCH(ROUNDUP((G$1)/10,0)*10,[1]Hugst!$R$4:$W$4,0))))</f>
        <v>1140.8789112853331</v>
      </c>
      <c r="H115" s="168">
        <f ca="1">IF($C115-H$1&lt;År1,0,G114*(1-VLOOKUP($A115,[1]Hugst!$R$5:$W$9,MATCH(ROUNDUP((H$1)/10,0)*10,[1]Hugst!$R$4:$W$4,0))))</f>
        <v>1142.0508533698405</v>
      </c>
      <c r="I115" s="168">
        <f ca="1">IF($C115-I$1&lt;År1,0,H114*(1-VLOOKUP($A115,[1]Hugst!$R$5:$W$9,MATCH(ROUNDUP((I$1)/10,0)*10,[1]Hugst!$R$4:$W$4,0))))</f>
        <v>1143.2300820149933</v>
      </c>
      <c r="J115" s="168">
        <f ca="1">IF($C115-J$1&lt;År1,0,I114*(1-VLOOKUP($A115,[1]Hugst!$R$5:$W$9,MATCH(ROUNDUP((J$1)/10,0)*10,[1]Hugst!$R$4:$W$4,0))))</f>
        <v>1144.4166359715739</v>
      </c>
      <c r="K115" s="168">
        <f ca="1">IF($C115-K$1&lt;År1,0,J114*(1-VLOOKUP($A115,[1]Hugst!$R$5:$W$9,MATCH(ROUNDUP((K$1)/10,0)*10,[1]Hugst!$R$4:$W$4,0))))</f>
        <v>1145.6105541883946</v>
      </c>
      <c r="L115" s="168">
        <f ca="1">IF($C115-L$1&lt;År1,0,K114*(1-VLOOKUP($A115,[1]Hugst!$R$5:$W$9,MATCH(ROUNDUP((L$1)/10,0)*10,[1]Hugst!$R$4:$W$4,0))))</f>
        <v>1146.8118758131161</v>
      </c>
      <c r="M115" s="168">
        <f ca="1">IF($C115-M$1&lt;År1,0,L114*(1-VLOOKUP($A115,[1]Hugst!$R$5:$W$9,MATCH(ROUNDUP((M$1)/10,0)*10,[1]Hugst!$R$4:$W$4,0))))</f>
        <v>1148.0206401935568</v>
      </c>
      <c r="N115" s="168">
        <f ca="1">IF($C115-N$1&lt;År1,0,M114*(1-VLOOKUP($A115,[1]Hugst!$R$5:$W$9,MATCH(ROUNDUP((N$1)/10,0)*10,[1]Hugst!$R$4:$W$4,0))))</f>
        <v>1149.236886878439</v>
      </c>
      <c r="O115" s="168">
        <f ca="1">IF($C115-O$1&lt;År1,0,N114*(1-VLOOKUP($A115,[1]Hugst!$R$5:$W$9,MATCH(ROUNDUP((O$1)/10,0)*10,[1]Hugst!$R$4:$W$4,0))))</f>
        <v>1150.460655618522</v>
      </c>
      <c r="P115" s="168">
        <f ca="1">IF($C115-P$1&lt;År1,0,O114*(1-VLOOKUP($A115,[1]Hugst!$R$5:$W$9,MATCH(ROUNDUP((P$1)/10,0)*10,[1]Hugst!$R$4:$W$4,0))))</f>
        <v>1149.9351680833613</v>
      </c>
      <c r="Q115" s="168">
        <f ca="1">IF($C115-Q$1&lt;År1,0,P114*(1-VLOOKUP($A115,[1]Hugst!$R$5:$W$9,MATCH(ROUNDUP((Q$1)/10,0)*10,[1]Hugst!$R$4:$W$4,0))))</f>
        <v>1149.4161856949072</v>
      </c>
      <c r="R115" s="168">
        <f ca="1">IF($C115-R$1&lt;År1,0,Q114*(1-VLOOKUP($A115,[1]Hugst!$R$5:$W$9,MATCH(ROUNDUP((R$1)/10,0)*10,[1]Hugst!$R$4:$W$4,0))))</f>
        <v>1150.7046008662362</v>
      </c>
      <c r="S115" s="168">
        <f ca="1">IF($C115-S$1&lt;År1,0,R114*(1-VLOOKUP($A115,[1]Hugst!$R$5:$W$9,MATCH(ROUNDUP((S$1)/10,0)*10,[1]Hugst!$R$4:$W$4,0))))</f>
        <v>1152.0016726018755</v>
      </c>
      <c r="T115" s="168">
        <f ca="1">IF($C115-T$1&lt;År1,0,S114*(1-VLOOKUP($A115,[1]Hugst!$R$5:$W$9,MATCH(ROUNDUP((T$1)/10,0)*10,[1]Hugst!$R$4:$W$4,0))))</f>
        <v>1153.3074247891709</v>
      </c>
      <c r="U115" s="168">
        <f ca="1">IF($C115-U$1&lt;År1,0,T114*(1-VLOOKUP($A115,[1]Hugst!$R$5:$W$9,MATCH(ROUNDUP((U$1)/10,0)*10,[1]Hugst!$R$4:$W$4,0))))</f>
        <v>1154.621881408438</v>
      </c>
      <c r="V115" s="168">
        <f ca="1">IF($C115-V$1&lt;År1,0,U114*(1-VLOOKUP($A115,[1]Hugst!$R$5:$W$9,MATCH(ROUNDUP((V$1)/10,0)*10,[1]Hugst!$R$4:$W$4,0))))</f>
        <v>1155.9450665334916</v>
      </c>
      <c r="W115" s="168">
        <f ca="1">IF($C115-W$1&lt;År1,0,V114*(1-VLOOKUP($A115,[1]Hugst!$R$5:$W$9,MATCH(ROUNDUP((W$1)/10,0)*10,[1]Hugst!$R$4:$W$4,0))))</f>
        <v>1157.2770043318353</v>
      </c>
      <c r="X115" s="168">
        <f ca="1">IF($C115-X$1&lt;År1,0,W114*(1-VLOOKUP($A115,[1]Hugst!$R$5:$W$9,MATCH(ROUNDUP((X$1)/10,0)*10,[1]Hugst!$R$4:$W$4,0))))</f>
        <v>1158.6177190649385</v>
      </c>
      <c r="Y115" s="168">
        <f ca="1">IF($C115-Y$1&lt;År1,0,X114*(1-VLOOKUP($A115,[1]Hugst!$R$5:$W$9,MATCH(ROUNDUP((Y$1)/10,0)*10,[1]Hugst!$R$4:$W$4,0))))</f>
        <v>1159.967235088639</v>
      </c>
      <c r="Z115" s="168">
        <f ca="1">IF($C115-Z$1&lt;År1,0,Y114*(1-VLOOKUP($A115,[1]Hugst!$R$5:$W$9,MATCH(ROUNDUP((Z$1)/10,0)*10,[1]Hugst!$R$4:$W$4,0))))</f>
        <v>1161.0791574049724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572.59061724155617</v>
      </c>
      <c r="E116" s="168">
        <f t="shared" ca="1" si="2"/>
        <v>21.623951175253751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1139.0563324282987</v>
      </c>
      <c r="G116" s="168">
        <f ca="1">IF($C116-G$1&lt;År1,0,F115*(1-VLOOKUP($A116,[1]Hugst!$R$5:$W$9,MATCH(ROUNDUP((G$1)/10,0)*10,[1]Hugst!$R$4:$W$4,0))))</f>
        <v>1139.9633847266734</v>
      </c>
      <c r="H116" s="168">
        <f ca="1">IF($C116-H$1&lt;År1,0,G115*(1-VLOOKUP($A116,[1]Hugst!$R$5:$W$9,MATCH(ROUNDUP((H$1)/10,0)*10,[1]Hugst!$R$4:$W$4,0))))</f>
        <v>1140.8789112853331</v>
      </c>
      <c r="I116" s="168">
        <f ca="1">IF($C116-I$1&lt;År1,0,H115*(1-VLOOKUP($A116,[1]Hugst!$R$5:$W$9,MATCH(ROUNDUP((I$1)/10,0)*10,[1]Hugst!$R$4:$W$4,0))))</f>
        <v>1142.0508533698405</v>
      </c>
      <c r="J116" s="168">
        <f ca="1">IF($C116-J$1&lt;År1,0,I115*(1-VLOOKUP($A116,[1]Hugst!$R$5:$W$9,MATCH(ROUNDUP((J$1)/10,0)*10,[1]Hugst!$R$4:$W$4,0))))</f>
        <v>1143.2300820149933</v>
      </c>
      <c r="K116" s="168">
        <f ca="1">IF($C116-K$1&lt;År1,0,J115*(1-VLOOKUP($A116,[1]Hugst!$R$5:$W$9,MATCH(ROUNDUP((K$1)/10,0)*10,[1]Hugst!$R$4:$W$4,0))))</f>
        <v>1144.4166359715739</v>
      </c>
      <c r="L116" s="168">
        <f ca="1">IF($C116-L$1&lt;År1,0,K115*(1-VLOOKUP($A116,[1]Hugst!$R$5:$W$9,MATCH(ROUNDUP((L$1)/10,0)*10,[1]Hugst!$R$4:$W$4,0))))</f>
        <v>1145.6105541883946</v>
      </c>
      <c r="M116" s="168">
        <f ca="1">IF($C116-M$1&lt;År1,0,L115*(1-VLOOKUP($A116,[1]Hugst!$R$5:$W$9,MATCH(ROUNDUP((M$1)/10,0)*10,[1]Hugst!$R$4:$W$4,0))))</f>
        <v>1146.8118758131161</v>
      </c>
      <c r="N116" s="168">
        <f ca="1">IF($C116-N$1&lt;År1,0,M115*(1-VLOOKUP($A116,[1]Hugst!$R$5:$W$9,MATCH(ROUNDUP((N$1)/10,0)*10,[1]Hugst!$R$4:$W$4,0))))</f>
        <v>1148.0206401935568</v>
      </c>
      <c r="O116" s="168">
        <f ca="1">IF($C116-O$1&lt;År1,0,N115*(1-VLOOKUP($A116,[1]Hugst!$R$5:$W$9,MATCH(ROUNDUP((O$1)/10,0)*10,[1]Hugst!$R$4:$W$4,0))))</f>
        <v>1149.236886878439</v>
      </c>
      <c r="P116" s="168">
        <f ca="1">IF($C116-P$1&lt;År1,0,O115*(1-VLOOKUP($A116,[1]Hugst!$R$5:$W$9,MATCH(ROUNDUP((P$1)/10,0)*10,[1]Hugst!$R$4:$W$4,0))))</f>
        <v>1148.7057156353751</v>
      </c>
      <c r="Q116" s="168">
        <f ca="1">IF($C116-Q$1&lt;År1,0,P115*(1-VLOOKUP($A116,[1]Hugst!$R$5:$W$9,MATCH(ROUNDUP((Q$1)/10,0)*10,[1]Hugst!$R$4:$W$4,0))))</f>
        <v>1148.1810296913698</v>
      </c>
      <c r="R116" s="168">
        <f ca="1">IF($C116-R$1&lt;År1,0,Q115*(1-VLOOKUP($A116,[1]Hugst!$R$5:$W$9,MATCH(ROUNDUP((R$1)/10,0)*10,[1]Hugst!$R$4:$W$4,0))))</f>
        <v>1147.6628389709658</v>
      </c>
      <c r="S116" s="168">
        <f ca="1">IF($C116-S$1&lt;År1,0,R115*(1-VLOOKUP($A116,[1]Hugst!$R$5:$W$9,MATCH(ROUNDUP((S$1)/10,0)*10,[1]Hugst!$R$4:$W$4,0))))</f>
        <v>1148.9492887632198</v>
      </c>
      <c r="T116" s="168">
        <f ca="1">IF($C116-T$1&lt;År1,0,S115*(1-VLOOKUP($A116,[1]Hugst!$R$5:$W$9,MATCH(ROUNDUP((T$1)/10,0)*10,[1]Hugst!$R$4:$W$4,0))))</f>
        <v>1150.2443819148557</v>
      </c>
      <c r="U116" s="168">
        <f ca="1">IF($C116-U$1&lt;År1,0,T115*(1-VLOOKUP($A116,[1]Hugst!$R$5:$W$9,MATCH(ROUNDUP((U$1)/10,0)*10,[1]Hugst!$R$4:$W$4,0))))</f>
        <v>1151.5481422767807</v>
      </c>
      <c r="V116" s="168">
        <f ca="1">IF($C116-V$1&lt;År1,0,U115*(1-VLOOKUP($A116,[1]Hugst!$R$5:$W$9,MATCH(ROUNDUP((V$1)/10,0)*10,[1]Hugst!$R$4:$W$4,0))))</f>
        <v>1152.8605937927302</v>
      </c>
      <c r="W116" s="168">
        <f ca="1">IF($C116-W$1&lt;År1,0,V115*(1-VLOOKUP($A116,[1]Hugst!$R$5:$W$9,MATCH(ROUNDUP((W$1)/10,0)*10,[1]Hugst!$R$4:$W$4,0))))</f>
        <v>1154.1817604997964</v>
      </c>
      <c r="X116" s="168">
        <f ca="1">IF($C116-X$1&lt;År1,0,W115*(1-VLOOKUP($A116,[1]Hugst!$R$5:$W$9,MATCH(ROUNDUP((X$1)/10,0)*10,[1]Hugst!$R$4:$W$4,0))))</f>
        <v>1155.5116665286173</v>
      </c>
      <c r="Y116" s="168">
        <f ca="1">IF($C116-Y$1&lt;År1,0,X115*(1-VLOOKUP($A116,[1]Hugst!$R$5:$W$9,MATCH(ROUNDUP((Y$1)/10,0)*10,[1]Hugst!$R$4:$W$4,0))))</f>
        <v>1156.8503361036528</v>
      </c>
      <c r="Z116" s="168">
        <f ca="1">IF($C116-Z$1&lt;År1,0,Y115*(1-VLOOKUP($A116,[1]Hugst!$R$5:$W$9,MATCH(ROUNDUP((Z$1)/10,0)*10,[1]Hugst!$R$4:$W$4,0))))</f>
        <v>1157.9520377734425</v>
      </c>
      <c r="AA116" s="168">
        <f ca="1">IF($C116-AA$1&lt;År1,0,Z115*(1-VLOOKUP($A116,[1]Hugst!$R$5:$W$9,MATCH(ROUNDUP((AA$1)/10,0)*10,[1]Hugst!$R$4:$W$4,0))))</f>
        <v>1159.0620283603282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569.72766415537626</v>
      </c>
      <c r="E117" s="168">
        <f t="shared" ca="1" si="2"/>
        <v>23.588279808049265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1138.1577079749143</v>
      </c>
      <c r="G117" s="168">
        <f ca="1">IF($C117-G$1&lt;År1,0,F116*(1-VLOOKUP($A117,[1]Hugst!$R$5:$W$9,MATCH(ROUNDUP((G$1)/10,0)*10,[1]Hugst!$R$4:$W$4,0))))</f>
        <v>1139.0563324282987</v>
      </c>
      <c r="H117" s="168">
        <f ca="1">IF($C117-H$1&lt;År1,0,G116*(1-VLOOKUP($A117,[1]Hugst!$R$5:$W$9,MATCH(ROUNDUP((H$1)/10,0)*10,[1]Hugst!$R$4:$W$4,0))))</f>
        <v>1139.9633847266734</v>
      </c>
      <c r="I117" s="168">
        <f ca="1">IF($C117-I$1&lt;År1,0,H116*(1-VLOOKUP($A117,[1]Hugst!$R$5:$W$9,MATCH(ROUNDUP((I$1)/10,0)*10,[1]Hugst!$R$4:$W$4,0))))</f>
        <v>1140.8789112853331</v>
      </c>
      <c r="J117" s="168">
        <f ca="1">IF($C117-J$1&lt;År1,0,I116*(1-VLOOKUP($A117,[1]Hugst!$R$5:$W$9,MATCH(ROUNDUP((J$1)/10,0)*10,[1]Hugst!$R$4:$W$4,0))))</f>
        <v>1142.0508533698405</v>
      </c>
      <c r="K117" s="168">
        <f ca="1">IF($C117-K$1&lt;År1,0,J116*(1-VLOOKUP($A117,[1]Hugst!$R$5:$W$9,MATCH(ROUNDUP((K$1)/10,0)*10,[1]Hugst!$R$4:$W$4,0))))</f>
        <v>1143.2300820149933</v>
      </c>
      <c r="L117" s="168">
        <f ca="1">IF($C117-L$1&lt;År1,0,K116*(1-VLOOKUP($A117,[1]Hugst!$R$5:$W$9,MATCH(ROUNDUP((L$1)/10,0)*10,[1]Hugst!$R$4:$W$4,0))))</f>
        <v>1144.4166359715739</v>
      </c>
      <c r="M117" s="168">
        <f ca="1">IF($C117-M$1&lt;År1,0,L116*(1-VLOOKUP($A117,[1]Hugst!$R$5:$W$9,MATCH(ROUNDUP((M$1)/10,0)*10,[1]Hugst!$R$4:$W$4,0))))</f>
        <v>1145.6105541883946</v>
      </c>
      <c r="N117" s="168">
        <f ca="1">IF($C117-N$1&lt;År1,0,M116*(1-VLOOKUP($A117,[1]Hugst!$R$5:$W$9,MATCH(ROUNDUP((N$1)/10,0)*10,[1]Hugst!$R$4:$W$4,0))))</f>
        <v>1146.8118758131161</v>
      </c>
      <c r="O117" s="168">
        <f ca="1">IF($C117-O$1&lt;År1,0,N116*(1-VLOOKUP($A117,[1]Hugst!$R$5:$W$9,MATCH(ROUNDUP((O$1)/10,0)*10,[1]Hugst!$R$4:$W$4,0))))</f>
        <v>1148.0206401935568</v>
      </c>
      <c r="P117" s="168">
        <f ca="1">IF($C117-P$1&lt;År1,0,O116*(1-VLOOKUP($A117,[1]Hugst!$R$5:$W$9,MATCH(ROUNDUP((P$1)/10,0)*10,[1]Hugst!$R$4:$W$4,0))))</f>
        <v>1147.4838136611668</v>
      </c>
      <c r="Q117" s="168">
        <f ca="1">IF($C117-Q$1&lt;År1,0,P116*(1-VLOOKUP($A117,[1]Hugst!$R$5:$W$9,MATCH(ROUNDUP((Q$1)/10,0)*10,[1]Hugst!$R$4:$W$4,0))))</f>
        <v>1146.9534526793211</v>
      </c>
      <c r="R117" s="168">
        <f ca="1">IF($C117-R$1&lt;År1,0,Q116*(1-VLOOKUP($A117,[1]Hugst!$R$5:$W$9,MATCH(ROUNDUP((R$1)/10,0)*10,[1]Hugst!$R$4:$W$4,0))))</f>
        <v>1146.4295671037048</v>
      </c>
      <c r="S117" s="168">
        <f ca="1">IF($C117-S$1&lt;År1,0,R116*(1-VLOOKUP($A117,[1]Hugst!$R$5:$W$9,MATCH(ROUNDUP((S$1)/10,0)*10,[1]Hugst!$R$4:$W$4,0))))</f>
        <v>1145.9121668437219</v>
      </c>
      <c r="T117" s="168">
        <f ca="1">IF($C117-T$1&lt;År1,0,S116*(1-VLOOKUP($A117,[1]Hugst!$R$5:$W$9,MATCH(ROUNDUP((T$1)/10,0)*10,[1]Hugst!$R$4:$W$4,0))))</f>
        <v>1147.1966542549369</v>
      </c>
      <c r="U117" s="168">
        <f ca="1">IF($C117-U$1&lt;År1,0,T116*(1-VLOOKUP($A117,[1]Hugst!$R$5:$W$9,MATCH(ROUNDUP((U$1)/10,0)*10,[1]Hugst!$R$4:$W$4,0))))</f>
        <v>1148.4897718407483</v>
      </c>
      <c r="V117" s="168">
        <f ca="1">IF($C117-V$1&lt;År1,0,U116*(1-VLOOKUP($A117,[1]Hugst!$R$5:$W$9,MATCH(ROUNDUP((V$1)/10,0)*10,[1]Hugst!$R$4:$W$4,0))))</f>
        <v>1149.7915434156805</v>
      </c>
      <c r="W117" s="168">
        <f ca="1">IF($C117-W$1&lt;År1,0,V116*(1-VLOOKUP($A117,[1]Hugst!$R$5:$W$9,MATCH(ROUNDUP((W$1)/10,0)*10,[1]Hugst!$R$4:$W$4,0))))</f>
        <v>1151.1019928869446</v>
      </c>
      <c r="X117" s="168">
        <f ca="1">IF($C117-X$1&lt;År1,0,W116*(1-VLOOKUP($A117,[1]Hugst!$R$5:$W$9,MATCH(ROUNDUP((X$1)/10,0)*10,[1]Hugst!$R$4:$W$4,0))))</f>
        <v>1152.4211442549661</v>
      </c>
      <c r="Y117" s="168">
        <f ca="1">IF($C117-Y$1&lt;År1,0,X116*(1-VLOOKUP($A117,[1]Hugst!$R$5:$W$9,MATCH(ROUNDUP((Y$1)/10,0)*10,[1]Hugst!$R$4:$W$4,0))))</f>
        <v>1153.7490216135736</v>
      </c>
      <c r="Z117" s="168">
        <f ca="1">IF($C117-Z$1&lt;År1,0,Y116*(1-VLOOKUP($A117,[1]Hugst!$R$5:$W$9,MATCH(ROUNDUP((Z$1)/10,0)*10,[1]Hugst!$R$4:$W$4,0))))</f>
        <v>1154.8405537400829</v>
      </c>
      <c r="AA117" s="168">
        <f ca="1">IF($C117-AA$1&lt;År1,0,Z116*(1-VLOOKUP($A117,[1]Hugst!$R$5:$W$9,MATCH(ROUNDUP((AA$1)/10,0)*10,[1]Hugst!$R$4:$W$4,0))))</f>
        <v>1155.9403414366327</v>
      </c>
      <c r="AB117" s="168">
        <f ca="1">IF($C117-AB$1&lt;År1,0,AA116*(1-VLOOKUP($A117,[1]Hugst!$R$5:$W$9,MATCH(ROUNDUP((AB$1)/10,0)*10,[1]Hugst!$R$4:$W$4,0))))</f>
        <v>1157.0484036500411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566.87902583456889</v>
      </c>
      <c r="E118" s="168">
        <f t="shared" ca="1" si="2"/>
        <v>25.546675340465299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1137.2674651865229</v>
      </c>
      <c r="G118" s="168">
        <f ca="1">IF($C118-G$1&lt;År1,0,F117*(1-VLOOKUP($A118,[1]Hugst!$R$5:$W$9,MATCH(ROUNDUP((G$1)/10,0)*10,[1]Hugst!$R$4:$W$4,0))))</f>
        <v>1138.1577079749143</v>
      </c>
      <c r="H118" s="168">
        <f ca="1">IF($C118-H$1&lt;År1,0,G117*(1-VLOOKUP($A118,[1]Hugst!$R$5:$W$9,MATCH(ROUNDUP((H$1)/10,0)*10,[1]Hugst!$R$4:$W$4,0))))</f>
        <v>1139.0563324282987</v>
      </c>
      <c r="I118" s="168">
        <f ca="1">IF($C118-I$1&lt;År1,0,H117*(1-VLOOKUP($A118,[1]Hugst!$R$5:$W$9,MATCH(ROUNDUP((I$1)/10,0)*10,[1]Hugst!$R$4:$W$4,0))))</f>
        <v>1139.9633847266734</v>
      </c>
      <c r="J118" s="168">
        <f ca="1">IF($C118-J$1&lt;År1,0,I117*(1-VLOOKUP($A118,[1]Hugst!$R$5:$W$9,MATCH(ROUNDUP((J$1)/10,0)*10,[1]Hugst!$R$4:$W$4,0))))</f>
        <v>1140.8789112853331</v>
      </c>
      <c r="K118" s="168">
        <f ca="1">IF($C118-K$1&lt;År1,0,J117*(1-VLOOKUP($A118,[1]Hugst!$R$5:$W$9,MATCH(ROUNDUP((K$1)/10,0)*10,[1]Hugst!$R$4:$W$4,0))))</f>
        <v>1142.0508533698405</v>
      </c>
      <c r="L118" s="168">
        <f ca="1">IF($C118-L$1&lt;År1,0,K117*(1-VLOOKUP($A118,[1]Hugst!$R$5:$W$9,MATCH(ROUNDUP((L$1)/10,0)*10,[1]Hugst!$R$4:$W$4,0))))</f>
        <v>1143.2300820149933</v>
      </c>
      <c r="M118" s="168">
        <f ca="1">IF($C118-M$1&lt;År1,0,L117*(1-VLOOKUP($A118,[1]Hugst!$R$5:$W$9,MATCH(ROUNDUP((M$1)/10,0)*10,[1]Hugst!$R$4:$W$4,0))))</f>
        <v>1144.4166359715739</v>
      </c>
      <c r="N118" s="168">
        <f ca="1">IF($C118-N$1&lt;År1,0,M117*(1-VLOOKUP($A118,[1]Hugst!$R$5:$W$9,MATCH(ROUNDUP((N$1)/10,0)*10,[1]Hugst!$R$4:$W$4,0))))</f>
        <v>1145.6105541883946</v>
      </c>
      <c r="O118" s="168">
        <f ca="1">IF($C118-O$1&lt;År1,0,N117*(1-VLOOKUP($A118,[1]Hugst!$R$5:$W$9,MATCH(ROUNDUP((O$1)/10,0)*10,[1]Hugst!$R$4:$W$4,0))))</f>
        <v>1146.8118758131161</v>
      </c>
      <c r="P118" s="168">
        <f ca="1">IF($C118-P$1&lt;År1,0,O117*(1-VLOOKUP($A118,[1]Hugst!$R$5:$W$9,MATCH(ROUNDUP((P$1)/10,0)*10,[1]Hugst!$R$4:$W$4,0))))</f>
        <v>1146.2694222678379</v>
      </c>
      <c r="Q118" s="168">
        <f ca="1">IF($C118-Q$1&lt;År1,0,P117*(1-VLOOKUP($A118,[1]Hugst!$R$5:$W$9,MATCH(ROUNDUP((Q$1)/10,0)*10,[1]Hugst!$R$4:$W$4,0))))</f>
        <v>1145.7334146233786</v>
      </c>
      <c r="R118" s="168">
        <f ca="1">IF($C118-R$1&lt;År1,0,Q117*(1-VLOOKUP($A118,[1]Hugst!$R$5:$W$9,MATCH(ROUNDUP((R$1)/10,0)*10,[1]Hugst!$R$4:$W$4,0))))</f>
        <v>1145.2038626667595</v>
      </c>
      <c r="S118" s="168">
        <f ca="1">IF($C118-S$1&lt;År1,0,R117*(1-VLOOKUP($A118,[1]Hugst!$R$5:$W$9,MATCH(ROUNDUP((S$1)/10,0)*10,[1]Hugst!$R$4:$W$4,0))))</f>
        <v>1144.6807762386313</v>
      </c>
      <c r="T118" s="168">
        <f ca="1">IF($C118-T$1&lt;År1,0,S117*(1-VLOOKUP($A118,[1]Hugst!$R$5:$W$9,MATCH(ROUNDUP((T$1)/10,0)*10,[1]Hugst!$R$4:$W$4,0))))</f>
        <v>1144.1641652332823</v>
      </c>
      <c r="U118" s="168">
        <f ca="1">IF($C118-U$1&lt;År1,0,T117*(1-VLOOKUP($A118,[1]Hugst!$R$5:$W$9,MATCH(ROUNDUP((U$1)/10,0)*10,[1]Hugst!$R$4:$W$4,0))))</f>
        <v>1145.4466932569208</v>
      </c>
      <c r="V118" s="168">
        <f ca="1">IF($C118-V$1&lt;År1,0,U117*(1-VLOOKUP($A118,[1]Hugst!$R$5:$W$9,MATCH(ROUNDUP((V$1)/10,0)*10,[1]Hugst!$R$4:$W$4,0))))</f>
        <v>1146.7378382904826</v>
      </c>
      <c r="W118" s="168">
        <f ca="1">IF($C118-W$1&lt;År1,0,V117*(1-VLOOKUP($A118,[1]Hugst!$R$5:$W$9,MATCH(ROUNDUP((W$1)/10,0)*10,[1]Hugst!$R$4:$W$4,0))))</f>
        <v>1148.0376241121651</v>
      </c>
      <c r="X118" s="168">
        <f ca="1">IF($C118-X$1&lt;År1,0,W117*(1-VLOOKUP($A118,[1]Hugst!$R$5:$W$9,MATCH(ROUNDUP((X$1)/10,0)*10,[1]Hugst!$R$4:$W$4,0))))</f>
        <v>1149.3460745927102</v>
      </c>
      <c r="Y118" s="168">
        <f ca="1">IF($C118-Y$1&lt;År1,0,X117*(1-VLOOKUP($A118,[1]Hugst!$R$5:$W$9,MATCH(ROUNDUP((Y$1)/10,0)*10,[1]Hugst!$R$4:$W$4,0))))</f>
        <v>1150.6632136959331</v>
      </c>
      <c r="Z118" s="168">
        <f ca="1">IF($C118-Z$1&lt;År1,0,Y117*(1-VLOOKUP($A118,[1]Hugst!$R$5:$W$9,MATCH(ROUNDUP((Z$1)/10,0)*10,[1]Hugst!$R$4:$W$4,0))))</f>
        <v>1151.744627126872</v>
      </c>
      <c r="AA118" s="168">
        <f ca="1">IF($C118-AA$1&lt;År1,0,Z117*(1-VLOOKUP($A118,[1]Hugst!$R$5:$W$9,MATCH(ROUNDUP((AA$1)/10,0)*10,[1]Hugst!$R$4:$W$4,0))))</f>
        <v>1152.8342629475683</v>
      </c>
      <c r="AB118" s="168">
        <f ca="1">IF($C118-AB$1&lt;År1,0,AA117*(1-VLOOKUP($A118,[1]Hugst!$R$5:$W$9,MATCH(ROUNDUP((AB$1)/10,0)*10,[1]Hugst!$R$4:$W$4,0))))</f>
        <v>1153.9321399960013</v>
      </c>
      <c r="AC118" s="168">
        <f ca="1">IF($C118-AC$1&lt;År1,0,AB117*(1-VLOOKUP($A118,[1]Hugst!$R$5:$W$9,MATCH(ROUNDUP((AC$1)/10,0)*10,[1]Hugst!$R$4:$W$4,0))))</f>
        <v>1155.0382771860727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564.04463070540805</v>
      </c>
      <c r="E119" s="168">
        <f t="shared" ca="1" si="2"/>
        <v>27.49916340062191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1136.3855581175187</v>
      </c>
      <c r="G119" s="168">
        <f ca="1">IF($C119-G$1&lt;År1,0,F118*(1-VLOOKUP($A119,[1]Hugst!$R$5:$W$9,MATCH(ROUNDUP((G$1)/10,0)*10,[1]Hugst!$R$4:$W$4,0))))</f>
        <v>1137.2674651865229</v>
      </c>
      <c r="H119" s="168">
        <f ca="1">IF($C119-H$1&lt;År1,0,G118*(1-VLOOKUP($A119,[1]Hugst!$R$5:$W$9,MATCH(ROUNDUP((H$1)/10,0)*10,[1]Hugst!$R$4:$W$4,0))))</f>
        <v>1138.1577079749143</v>
      </c>
      <c r="I119" s="168">
        <f ca="1">IF($C119-I$1&lt;År1,0,H118*(1-VLOOKUP($A119,[1]Hugst!$R$5:$W$9,MATCH(ROUNDUP((I$1)/10,0)*10,[1]Hugst!$R$4:$W$4,0))))</f>
        <v>1139.0563324282987</v>
      </c>
      <c r="J119" s="168">
        <f ca="1">IF($C119-J$1&lt;År1,0,I118*(1-VLOOKUP($A119,[1]Hugst!$R$5:$W$9,MATCH(ROUNDUP((J$1)/10,0)*10,[1]Hugst!$R$4:$W$4,0))))</f>
        <v>1139.9633847266734</v>
      </c>
      <c r="K119" s="168">
        <f ca="1">IF($C119-K$1&lt;År1,0,J118*(1-VLOOKUP($A119,[1]Hugst!$R$5:$W$9,MATCH(ROUNDUP((K$1)/10,0)*10,[1]Hugst!$R$4:$W$4,0))))</f>
        <v>1140.8789112853331</v>
      </c>
      <c r="L119" s="168">
        <f ca="1">IF($C119-L$1&lt;År1,0,K118*(1-VLOOKUP($A119,[1]Hugst!$R$5:$W$9,MATCH(ROUNDUP((L$1)/10,0)*10,[1]Hugst!$R$4:$W$4,0))))</f>
        <v>1142.0508533698405</v>
      </c>
      <c r="M119" s="168">
        <f ca="1">IF($C119-M$1&lt;År1,0,L118*(1-VLOOKUP($A119,[1]Hugst!$R$5:$W$9,MATCH(ROUNDUP((M$1)/10,0)*10,[1]Hugst!$R$4:$W$4,0))))</f>
        <v>1143.2300820149933</v>
      </c>
      <c r="N119" s="168">
        <f ca="1">IF($C119-N$1&lt;År1,0,M118*(1-VLOOKUP($A119,[1]Hugst!$R$5:$W$9,MATCH(ROUNDUP((N$1)/10,0)*10,[1]Hugst!$R$4:$W$4,0))))</f>
        <v>1144.4166359715739</v>
      </c>
      <c r="O119" s="168">
        <f ca="1">IF($C119-O$1&lt;År1,0,N118*(1-VLOOKUP($A119,[1]Hugst!$R$5:$W$9,MATCH(ROUNDUP((O$1)/10,0)*10,[1]Hugst!$R$4:$W$4,0))))</f>
        <v>1145.6105541883946</v>
      </c>
      <c r="P119" s="168">
        <f ca="1">IF($C119-P$1&lt;År1,0,O118*(1-VLOOKUP($A119,[1]Hugst!$R$5:$W$9,MATCH(ROUNDUP((P$1)/10,0)*10,[1]Hugst!$R$4:$W$4,0))))</f>
        <v>1145.0625017652656</v>
      </c>
      <c r="Q119" s="168">
        <f ca="1">IF($C119-Q$1&lt;År1,0,P118*(1-VLOOKUP($A119,[1]Hugst!$R$5:$W$9,MATCH(ROUNDUP((Q$1)/10,0)*10,[1]Hugst!$R$4:$W$4,0))))</f>
        <v>1144.5208756914969</v>
      </c>
      <c r="R119" s="168">
        <f ca="1">IF($C119-R$1&lt;År1,0,Q118*(1-VLOOKUP($A119,[1]Hugst!$R$5:$W$9,MATCH(ROUNDUP((R$1)/10,0)*10,[1]Hugst!$R$4:$W$4,0))))</f>
        <v>1143.9856856858175</v>
      </c>
      <c r="S119" s="168">
        <f ca="1">IF($C119-S$1&lt;År1,0,R118*(1-VLOOKUP($A119,[1]Hugst!$R$5:$W$9,MATCH(ROUNDUP((S$1)/10,0)*10,[1]Hugst!$R$4:$W$4,0))))</f>
        <v>1143.4569415203187</v>
      </c>
      <c r="T119" s="168">
        <f ca="1">IF($C119-T$1&lt;År1,0,S118*(1-VLOOKUP($A119,[1]Hugst!$R$5:$W$9,MATCH(ROUNDUP((T$1)/10,0)*10,[1]Hugst!$R$4:$W$4,0))))</f>
        <v>1142.9346530206401</v>
      </c>
      <c r="U119" s="168">
        <f ca="1">IF($C119-U$1&lt;År1,0,T118*(1-VLOOKUP($A119,[1]Hugst!$R$5:$W$9,MATCH(ROUNDUP((U$1)/10,0)*10,[1]Hugst!$R$4:$W$4,0))))</f>
        <v>1142.4188300659773</v>
      </c>
      <c r="V119" s="168">
        <f ca="1">IF($C119-V$1&lt;År1,0,U118*(1-VLOOKUP($A119,[1]Hugst!$R$5:$W$9,MATCH(ROUNDUP((V$1)/10,0)*10,[1]Hugst!$R$4:$W$4,0))))</f>
        <v>1143.6994016909355</v>
      </c>
      <c r="W119" s="168">
        <f ca="1">IF($C119-W$1&lt;År1,0,V118*(1-VLOOKUP($A119,[1]Hugst!$R$5:$W$9,MATCH(ROUNDUP((W$1)/10,0)*10,[1]Hugst!$R$4:$W$4,0))))</f>
        <v>1144.988577181226</v>
      </c>
      <c r="X119" s="168">
        <f ca="1">IF($C119-X$1&lt;År1,0,W118*(1-VLOOKUP($A119,[1]Hugst!$R$5:$W$9,MATCH(ROUNDUP((X$1)/10,0)*10,[1]Hugst!$R$4:$W$4,0))))</f>
        <v>1146.2863802787735</v>
      </c>
      <c r="Y119" s="168">
        <f ca="1">IF($C119-Y$1&lt;År1,0,X118*(1-VLOOKUP($A119,[1]Hugst!$R$5:$W$9,MATCH(ROUNDUP((Y$1)/10,0)*10,[1]Hugst!$R$4:$W$4,0))))</f>
        <v>1147.5928348179077</v>
      </c>
      <c r="Z119" s="168">
        <f ca="1">IF($C119-Z$1&lt;År1,0,Y118*(1-VLOOKUP($A119,[1]Hugst!$R$5:$W$9,MATCH(ROUNDUP((Z$1)/10,0)*10,[1]Hugst!$R$4:$W$4,0))))</f>
        <v>1148.6641801467156</v>
      </c>
      <c r="AA119" s="168">
        <f ca="1">IF($C119-AA$1&lt;År1,0,Z118*(1-VLOOKUP($A119,[1]Hugst!$R$5:$W$9,MATCH(ROUNDUP((AA$1)/10,0)*10,[1]Hugst!$R$4:$W$4,0))))</f>
        <v>1149.7437148509312</v>
      </c>
      <c r="AB119" s="168">
        <f ca="1">IF($C119-AB$1&lt;År1,0,AA118*(1-VLOOKUP($A119,[1]Hugst!$R$5:$W$9,MATCH(ROUNDUP((AB$1)/10,0)*10,[1]Hugst!$R$4:$W$4,0))))</f>
        <v>1150.831457660244</v>
      </c>
      <c r="AC119" s="168">
        <f ca="1">IF($C119-AC$1&lt;År1,0,AB118*(1-VLOOKUP($A119,[1]Hugst!$R$5:$W$9,MATCH(ROUNDUP((AC$1)/10,0)*10,[1]Hugst!$R$4:$W$4,0))))</f>
        <v>1151.9274273799065</v>
      </c>
      <c r="AD119" s="168">
        <f ca="1">IF($C119-AD$1&lt;År1,0,AC118*(1-VLOOKUP($A119,[1]Hugst!$R$5:$W$9,MATCH(ROUNDUP((AD$1)/10,0)*10,[1]Hugst!$R$4:$W$4,0))))</f>
        <v>1153.0316428909612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561.22440755186835</v>
      </c>
      <c r="E120" s="168">
        <f t="shared" ca="1" si="2"/>
        <v>29.445769491805549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1135.5119410551627</v>
      </c>
      <c r="G120" s="168">
        <f ca="1">IF($C120-G$1&lt;År1,0,F119*(1-VLOOKUP($A120,[1]Hugst!$R$5:$W$9,MATCH(ROUNDUP((G$1)/10,0)*10,[1]Hugst!$R$4:$W$4,0))))</f>
        <v>1136.3855581175187</v>
      </c>
      <c r="H120" s="168">
        <f ca="1">IF($C120-H$1&lt;År1,0,G119*(1-VLOOKUP($A120,[1]Hugst!$R$5:$W$9,MATCH(ROUNDUP((H$1)/10,0)*10,[1]Hugst!$R$4:$W$4,0))))</f>
        <v>1137.2674651865229</v>
      </c>
      <c r="I120" s="168">
        <f ca="1">IF($C120-I$1&lt;År1,0,H119*(1-VLOOKUP($A120,[1]Hugst!$R$5:$W$9,MATCH(ROUNDUP((I$1)/10,0)*10,[1]Hugst!$R$4:$W$4,0))))</f>
        <v>1138.1577079749143</v>
      </c>
      <c r="J120" s="168">
        <f ca="1">IF($C120-J$1&lt;År1,0,I119*(1-VLOOKUP($A120,[1]Hugst!$R$5:$W$9,MATCH(ROUNDUP((J$1)/10,0)*10,[1]Hugst!$R$4:$W$4,0))))</f>
        <v>1139.0563324282987</v>
      </c>
      <c r="K120" s="168">
        <f ca="1">IF($C120-K$1&lt;År1,0,J119*(1-VLOOKUP($A120,[1]Hugst!$R$5:$W$9,MATCH(ROUNDUP((K$1)/10,0)*10,[1]Hugst!$R$4:$W$4,0))))</f>
        <v>1139.9633847266734</v>
      </c>
      <c r="L120" s="168">
        <f ca="1">IF($C120-L$1&lt;År1,0,K119*(1-VLOOKUP($A120,[1]Hugst!$R$5:$W$9,MATCH(ROUNDUP((L$1)/10,0)*10,[1]Hugst!$R$4:$W$4,0))))</f>
        <v>1140.8789112853331</v>
      </c>
      <c r="M120" s="168">
        <f ca="1">IF($C120-M$1&lt;År1,0,L119*(1-VLOOKUP($A120,[1]Hugst!$R$5:$W$9,MATCH(ROUNDUP((M$1)/10,0)*10,[1]Hugst!$R$4:$W$4,0))))</f>
        <v>1142.0508533698405</v>
      </c>
      <c r="N120" s="168">
        <f ca="1">IF($C120-N$1&lt;År1,0,M119*(1-VLOOKUP($A120,[1]Hugst!$R$5:$W$9,MATCH(ROUNDUP((N$1)/10,0)*10,[1]Hugst!$R$4:$W$4,0))))</f>
        <v>1143.2300820149933</v>
      </c>
      <c r="O120" s="168">
        <f ca="1">IF($C120-O$1&lt;År1,0,N119*(1-VLOOKUP($A120,[1]Hugst!$R$5:$W$9,MATCH(ROUNDUP((O$1)/10,0)*10,[1]Hugst!$R$4:$W$4,0))))</f>
        <v>1144.4166359715739</v>
      </c>
      <c r="P120" s="168">
        <f ca="1">IF($C120-P$1&lt;År1,0,O119*(1-VLOOKUP($A120,[1]Hugst!$R$5:$W$9,MATCH(ROUNDUP((P$1)/10,0)*10,[1]Hugst!$R$4:$W$4,0))))</f>
        <v>1143.8630126650564</v>
      </c>
      <c r="Q120" s="168">
        <f ca="1">IF($C120-Q$1&lt;År1,0,P119*(1-VLOOKUP($A120,[1]Hugst!$R$5:$W$9,MATCH(ROUNDUP((Q$1)/10,0)*10,[1]Hugst!$R$4:$W$4,0))))</f>
        <v>1143.3157962540981</v>
      </c>
      <c r="R120" s="168">
        <f ca="1">IF($C120-R$1&lt;År1,0,Q119*(1-VLOOKUP($A120,[1]Hugst!$R$5:$W$9,MATCH(ROUNDUP((R$1)/10,0)*10,[1]Hugst!$R$4:$W$4,0))))</f>
        <v>1142.7749963895947</v>
      </c>
      <c r="S120" s="168">
        <f ca="1">IF($C120-S$1&lt;År1,0,R119*(1-VLOOKUP($A120,[1]Hugst!$R$5:$W$9,MATCH(ROUNDUP((S$1)/10,0)*10,[1]Hugst!$R$4:$W$4,0))))</f>
        <v>1142.2406227754493</v>
      </c>
      <c r="T120" s="168">
        <f ca="1">IF($C120-T$1&lt;År1,0,S119*(1-VLOOKUP($A120,[1]Hugst!$R$5:$W$9,MATCH(ROUNDUP((T$1)/10,0)*10,[1]Hugst!$R$4:$W$4,0))))</f>
        <v>1141.712685168847</v>
      </c>
      <c r="U120" s="168">
        <f ca="1">IF($C120-U$1&lt;År1,0,T119*(1-VLOOKUP($A120,[1]Hugst!$R$5:$W$9,MATCH(ROUNDUP((U$1)/10,0)*10,[1]Hugst!$R$4:$W$4,0))))</f>
        <v>1141.191193380439</v>
      </c>
      <c r="V120" s="168">
        <f ca="1">IF($C120-V$1&lt;År1,0,U119*(1-VLOOKUP($A120,[1]Hugst!$R$5:$W$9,MATCH(ROUNDUP((V$1)/10,0)*10,[1]Hugst!$R$4:$W$4,0))))</f>
        <v>1140.6761572743512</v>
      </c>
      <c r="W120" s="168">
        <f ca="1">IF($C120-W$1&lt;År1,0,V119*(1-VLOOKUP($A120,[1]Hugst!$R$5:$W$9,MATCH(ROUNDUP((W$1)/10,0)*10,[1]Hugst!$R$4:$W$4,0))))</f>
        <v>1141.9547754849661</v>
      </c>
      <c r="X120" s="168">
        <f ca="1">IF($C120-X$1&lt;År1,0,W119*(1-VLOOKUP($A120,[1]Hugst!$R$5:$W$9,MATCH(ROUNDUP((X$1)/10,0)*10,[1]Hugst!$R$4:$W$4,0))))</f>
        <v>1143.2419844363733</v>
      </c>
      <c r="Y120" s="168">
        <f ca="1">IF($C120-Y$1&lt;År1,0,X119*(1-VLOOKUP($A120,[1]Hugst!$R$5:$W$9,MATCH(ROUNDUP((Y$1)/10,0)*10,[1]Hugst!$R$4:$W$4,0))))</f>
        <v>1144.5378078342806</v>
      </c>
      <c r="Z120" s="168">
        <f ca="1">IF($C120-Z$1&lt;År1,0,Y119*(1-VLOOKUP($A120,[1]Hugst!$R$5:$W$9,MATCH(ROUNDUP((Z$1)/10,0)*10,[1]Hugst!$R$4:$W$4,0))))</f>
        <v>1145.5991354014868</v>
      </c>
      <c r="AA120" s="168">
        <f ca="1">IF($C120-AA$1&lt;År1,0,Z119*(1-VLOOKUP($A120,[1]Hugst!$R$5:$W$9,MATCH(ROUNDUP((AA$1)/10,0)*10,[1]Hugst!$R$4:$W$4,0))))</f>
        <v>1146.6686194947658</v>
      </c>
      <c r="AB120" s="168">
        <f ca="1">IF($C120-AB$1&lt;År1,0,AA119*(1-VLOOKUP($A120,[1]Hugst!$R$5:$W$9,MATCH(ROUNDUP((AB$1)/10,0)*10,[1]Hugst!$R$4:$W$4,0))))</f>
        <v>1147.7462787361478</v>
      </c>
      <c r="AC120" s="168">
        <f ca="1">IF($C120-AC$1&lt;År1,0,AB119*(1-VLOOKUP($A120,[1]Hugst!$R$5:$W$9,MATCH(ROUNDUP((AC$1)/10,0)*10,[1]Hugst!$R$4:$W$4,0))))</f>
        <v>1148.8321318227834</v>
      </c>
      <c r="AD120" s="168">
        <f ca="1">IF($C120-AD$1&lt;År1,0,AC119*(1-VLOOKUP($A120,[1]Hugst!$R$5:$W$9,MATCH(ROUNDUP((AD$1)/10,0)*10,[1]Hugst!$R$4:$W$4,0))))</f>
        <v>1149.926197527255</v>
      </c>
      <c r="AE120" s="168">
        <f ca="1">IF($C120-AE$1&lt;År1,0,AD119*(1-VLOOKUP($A120,[1]Hugst!$R$5:$W$9,MATCH(ROUNDUP((AE$1)/10,0)*10,[1]Hugst!$R$4:$W$4,0))))</f>
        <v>1151.0284946978031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558.41828551414073</v>
      </c>
      <c r="E121" s="168">
        <f t="shared" ca="1" si="2"/>
        <v>31.386518993174832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1134.6465685188043</v>
      </c>
      <c r="G121" s="168">
        <f ca="1">IF($C121-G$1&lt;År1,0,F120*(1-VLOOKUP($A121,[1]Hugst!$R$5:$W$9,MATCH(ROUNDUP((G$1)/10,0)*10,[1]Hugst!$R$4:$W$4,0))))</f>
        <v>1135.5119410551627</v>
      </c>
      <c r="H121" s="168">
        <f ca="1">IF($C121-H$1&lt;År1,0,G120*(1-VLOOKUP($A121,[1]Hugst!$R$5:$W$9,MATCH(ROUNDUP((H$1)/10,0)*10,[1]Hugst!$R$4:$W$4,0))))</f>
        <v>1136.3855581175187</v>
      </c>
      <c r="I121" s="168">
        <f ca="1">IF($C121-I$1&lt;År1,0,H120*(1-VLOOKUP($A121,[1]Hugst!$R$5:$W$9,MATCH(ROUNDUP((I$1)/10,0)*10,[1]Hugst!$R$4:$W$4,0))))</f>
        <v>1137.2674651865229</v>
      </c>
      <c r="J121" s="168">
        <f ca="1">IF($C121-J$1&lt;År1,0,I120*(1-VLOOKUP($A121,[1]Hugst!$R$5:$W$9,MATCH(ROUNDUP((J$1)/10,0)*10,[1]Hugst!$R$4:$W$4,0))))</f>
        <v>1138.1577079749143</v>
      </c>
      <c r="K121" s="168">
        <f ca="1">IF($C121-K$1&lt;År1,0,J120*(1-VLOOKUP($A121,[1]Hugst!$R$5:$W$9,MATCH(ROUNDUP((K$1)/10,0)*10,[1]Hugst!$R$4:$W$4,0))))</f>
        <v>1139.0563324282987</v>
      </c>
      <c r="L121" s="168">
        <f ca="1">IF($C121-L$1&lt;År1,0,K120*(1-VLOOKUP($A121,[1]Hugst!$R$5:$W$9,MATCH(ROUNDUP((L$1)/10,0)*10,[1]Hugst!$R$4:$W$4,0))))</f>
        <v>1139.9633847266734</v>
      </c>
      <c r="M121" s="168">
        <f ca="1">IF($C121-M$1&lt;År1,0,L120*(1-VLOOKUP($A121,[1]Hugst!$R$5:$W$9,MATCH(ROUNDUP((M$1)/10,0)*10,[1]Hugst!$R$4:$W$4,0))))</f>
        <v>1140.8789112853331</v>
      </c>
      <c r="N121" s="168">
        <f ca="1">IF($C121-N$1&lt;År1,0,M120*(1-VLOOKUP($A121,[1]Hugst!$R$5:$W$9,MATCH(ROUNDUP((N$1)/10,0)*10,[1]Hugst!$R$4:$W$4,0))))</f>
        <v>1142.0508533698405</v>
      </c>
      <c r="O121" s="168">
        <f ca="1">IF($C121-O$1&lt;År1,0,N120*(1-VLOOKUP($A121,[1]Hugst!$R$5:$W$9,MATCH(ROUNDUP((O$1)/10,0)*10,[1]Hugst!$R$4:$W$4,0))))</f>
        <v>1143.2300820149933</v>
      </c>
      <c r="P121" s="168">
        <f ca="1">IF($C121-P$1&lt;År1,0,O120*(1-VLOOKUP($A121,[1]Hugst!$R$5:$W$9,MATCH(ROUNDUP((P$1)/10,0)*10,[1]Hugst!$R$4:$W$4,0))))</f>
        <v>1142.6709156794138</v>
      </c>
      <c r="Q121" s="168">
        <f ca="1">IF($C121-Q$1&lt;År1,0,P120*(1-VLOOKUP($A121,[1]Hugst!$R$5:$W$9,MATCH(ROUNDUP((Q$1)/10,0)*10,[1]Hugst!$R$4:$W$4,0))))</f>
        <v>1142.118136883025</v>
      </c>
      <c r="R121" s="168">
        <f ca="1">IF($C121-R$1&lt;År1,0,Q120*(1-VLOOKUP($A121,[1]Hugst!$R$5:$W$9,MATCH(ROUNDUP((R$1)/10,0)*10,[1]Hugst!$R$4:$W$4,0))))</f>
        <v>1141.5717552089648</v>
      </c>
      <c r="S121" s="168">
        <f ca="1">IF($C121-S$1&lt;År1,0,R120*(1-VLOOKUP($A121,[1]Hugst!$R$5:$W$9,MATCH(ROUNDUP((S$1)/10,0)*10,[1]Hugst!$R$4:$W$4,0))))</f>
        <v>1141.0317802934071</v>
      </c>
      <c r="T121" s="168">
        <f ca="1">IF($C121-T$1&lt;År1,0,S120*(1-VLOOKUP($A121,[1]Hugst!$R$5:$W$9,MATCH(ROUNDUP((T$1)/10,0)*10,[1]Hugst!$R$4:$W$4,0))))</f>
        <v>1140.4982218254529</v>
      </c>
      <c r="U121" s="168">
        <f ca="1">IF($C121-U$1&lt;År1,0,T120*(1-VLOOKUP($A121,[1]Hugst!$R$5:$W$9,MATCH(ROUNDUP((U$1)/10,0)*10,[1]Hugst!$R$4:$W$4,0))))</f>
        <v>1139.9710895474029</v>
      </c>
      <c r="V121" s="168">
        <f ca="1">IF($C121-V$1&lt;År1,0,U120*(1-VLOOKUP($A121,[1]Hugst!$R$5:$W$9,MATCH(ROUNDUP((V$1)/10,0)*10,[1]Hugst!$R$4:$W$4,0))))</f>
        <v>1139.4503932549435</v>
      </c>
      <c r="W121" s="168">
        <f ca="1">IF($C121-W$1&lt;År1,0,V120*(1-VLOOKUP($A121,[1]Hugst!$R$5:$W$9,MATCH(ROUNDUP((W$1)/10,0)*10,[1]Hugst!$R$4:$W$4,0))))</f>
        <v>1138.936142797153</v>
      </c>
      <c r="X121" s="168">
        <f ca="1">IF($C121-X$1&lt;År1,0,W120*(1-VLOOKUP($A121,[1]Hugst!$R$5:$W$9,MATCH(ROUNDUP((X$1)/10,0)*10,[1]Hugst!$R$4:$W$4,0))))</f>
        <v>1140.2128105732095</v>
      </c>
      <c r="Y121" s="168">
        <f ca="1">IF($C121-Y$1&lt;År1,0,X120*(1-VLOOKUP($A121,[1]Hugst!$R$5:$W$9,MATCH(ROUNDUP((Y$1)/10,0)*10,[1]Hugst!$R$4:$W$4,0))))</f>
        <v>1141.498055985538</v>
      </c>
      <c r="Z121" s="168">
        <f ca="1">IF($C121-Z$1&lt;År1,0,Y120*(1-VLOOKUP($A121,[1]Hugst!$R$5:$W$9,MATCH(ROUNDUP((Z$1)/10,0)*10,[1]Hugst!$R$4:$W$4,0))))</f>
        <v>1142.5494158799922</v>
      </c>
      <c r="AA121" s="168">
        <f ca="1">IF($C121-AA$1&lt;År1,0,Z120*(1-VLOOKUP($A121,[1]Hugst!$R$5:$W$9,MATCH(ROUNDUP((AA$1)/10,0)*10,[1]Hugst!$R$4:$W$4,0))))</f>
        <v>1143.6088996154078</v>
      </c>
      <c r="AB121" s="168">
        <f ca="1">IF($C121-AB$1&lt;År1,0,AA120*(1-VLOOKUP($A121,[1]Hugst!$R$5:$W$9,MATCH(ROUNDUP((AB$1)/10,0)*10,[1]Hugst!$R$4:$W$4,0))))</f>
        <v>1144.6765257066604</v>
      </c>
      <c r="AC121" s="168">
        <f ca="1">IF($C121-AC$1&lt;År1,0,AB120*(1-VLOOKUP($A121,[1]Hugst!$R$5:$W$9,MATCH(ROUNDUP((AC$1)/10,0)*10,[1]Hugst!$R$4:$W$4,0))))</f>
        <v>1145.7523127434281</v>
      </c>
      <c r="AD121" s="168">
        <f ca="1">IF($C121-AD$1&lt;År1,0,AC120*(1-VLOOKUP($A121,[1]Hugst!$R$5:$W$9,MATCH(ROUNDUP((AD$1)/10,0)*10,[1]Hugst!$R$4:$W$4,0))))</f>
        <v>1146.8362793903793</v>
      </c>
      <c r="AE121" s="168">
        <f ca="1">IF($C121-AE$1&lt;År1,0,AD120*(1-VLOOKUP($A121,[1]Hugst!$R$5:$W$9,MATCH(ROUNDUP((AE$1)/10,0)*10,[1]Hugst!$R$4:$W$4,0))))</f>
        <v>1147.9284443874831</v>
      </c>
      <c r="AF121" s="168">
        <f ca="1">IF($C121-AF$1&lt;År1,0,AE120*(1-VLOOKUP($A121,[1]Hugst!$R$5:$W$9,MATCH(ROUNDUP((AF$1)/10,0)*10,[1]Hugst!$R$4:$W$4,0))))</f>
        <v>1149.028826550235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555.62619408652245</v>
      </c>
      <c r="E122" s="168">
        <f t="shared" ca="1" si="2"/>
        <v>33.32143716023711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1133.7893952582483</v>
      </c>
      <c r="G122" s="168">
        <f ca="1">IF($C122-G$1&lt;År1,0,F121*(1-VLOOKUP($A122,[1]Hugst!$R$5:$W$9,MATCH(ROUNDUP((G$1)/10,0)*10,[1]Hugst!$R$4:$W$4,0))))</f>
        <v>1134.6465685188043</v>
      </c>
      <c r="H122" s="168">
        <f ca="1">IF($C122-H$1&lt;År1,0,G121*(1-VLOOKUP($A122,[1]Hugst!$R$5:$W$9,MATCH(ROUNDUP((H$1)/10,0)*10,[1]Hugst!$R$4:$W$4,0))))</f>
        <v>1135.5119410551627</v>
      </c>
      <c r="I122" s="168">
        <f ca="1">IF($C122-I$1&lt;År1,0,H121*(1-VLOOKUP($A122,[1]Hugst!$R$5:$W$9,MATCH(ROUNDUP((I$1)/10,0)*10,[1]Hugst!$R$4:$W$4,0))))</f>
        <v>1136.3855581175187</v>
      </c>
      <c r="J122" s="168">
        <f ca="1">IF($C122-J$1&lt;År1,0,I121*(1-VLOOKUP($A122,[1]Hugst!$R$5:$W$9,MATCH(ROUNDUP((J$1)/10,0)*10,[1]Hugst!$R$4:$W$4,0))))</f>
        <v>1137.2674651865229</v>
      </c>
      <c r="K122" s="168">
        <f ca="1">IF($C122-K$1&lt;År1,0,J121*(1-VLOOKUP($A122,[1]Hugst!$R$5:$W$9,MATCH(ROUNDUP((K$1)/10,0)*10,[1]Hugst!$R$4:$W$4,0))))</f>
        <v>1138.1577079749143</v>
      </c>
      <c r="L122" s="168">
        <f ca="1">IF($C122-L$1&lt;År1,0,K121*(1-VLOOKUP($A122,[1]Hugst!$R$5:$W$9,MATCH(ROUNDUP((L$1)/10,0)*10,[1]Hugst!$R$4:$W$4,0))))</f>
        <v>1139.0563324282987</v>
      </c>
      <c r="M122" s="168">
        <f ca="1">IF($C122-M$1&lt;År1,0,L121*(1-VLOOKUP($A122,[1]Hugst!$R$5:$W$9,MATCH(ROUNDUP((M$1)/10,0)*10,[1]Hugst!$R$4:$W$4,0))))</f>
        <v>1139.9633847266734</v>
      </c>
      <c r="N122" s="168">
        <f ca="1">IF($C122-N$1&lt;År1,0,M121*(1-VLOOKUP($A122,[1]Hugst!$R$5:$W$9,MATCH(ROUNDUP((N$1)/10,0)*10,[1]Hugst!$R$4:$W$4,0))))</f>
        <v>1140.8789112853331</v>
      </c>
      <c r="O122" s="168">
        <f ca="1">IF($C122-O$1&lt;År1,0,N121*(1-VLOOKUP($A122,[1]Hugst!$R$5:$W$9,MATCH(ROUNDUP((O$1)/10,0)*10,[1]Hugst!$R$4:$W$4,0))))</f>
        <v>1142.0508533698405</v>
      </c>
      <c r="P122" s="168">
        <f ca="1">IF($C122-P$1&lt;År1,0,O121*(1-VLOOKUP($A122,[1]Hugst!$R$5:$W$9,MATCH(ROUNDUP((P$1)/10,0)*10,[1]Hugst!$R$4:$W$4,0))))</f>
        <v>1141.4861717203942</v>
      </c>
      <c r="Q122" s="168">
        <f ca="1">IF($C122-Q$1&lt;År1,0,P121*(1-VLOOKUP($A122,[1]Hugst!$R$5:$W$9,MATCH(ROUNDUP((Q$1)/10,0)*10,[1]Hugst!$R$4:$W$4,0))))</f>
        <v>1140.9278583504113</v>
      </c>
      <c r="R122" s="168">
        <f ca="1">IF($C122-R$1&lt;År1,0,Q121*(1-VLOOKUP($A122,[1]Hugst!$R$5:$W$9,MATCH(ROUNDUP((R$1)/10,0)*10,[1]Hugst!$R$4:$W$4,0))))</f>
        <v>1140.3759227759153</v>
      </c>
      <c r="S122" s="168">
        <f ca="1">IF($C122-S$1&lt;År1,0,R121*(1-VLOOKUP($A122,[1]Hugst!$R$5:$W$9,MATCH(ROUNDUP((S$1)/10,0)*10,[1]Hugst!$R$4:$W$4,0))))</f>
        <v>1139.8303745654257</v>
      </c>
      <c r="T122" s="168">
        <f ca="1">IF($C122-T$1&lt;År1,0,S121*(1-VLOOKUP($A122,[1]Hugst!$R$5:$W$9,MATCH(ROUNDUP((T$1)/10,0)*10,[1]Hugst!$R$4:$W$4,0))))</f>
        <v>1139.2912233404172</v>
      </c>
      <c r="U122" s="168">
        <f ca="1">IF($C122-U$1&lt;År1,0,T121*(1-VLOOKUP($A122,[1]Hugst!$R$5:$W$9,MATCH(ROUNDUP((U$1)/10,0)*10,[1]Hugst!$R$4:$W$4,0))))</f>
        <v>1138.7584787752107</v>
      </c>
      <c r="V122" s="168">
        <f ca="1">IF($C122-V$1&lt;År1,0,U121*(1-VLOOKUP($A122,[1]Hugst!$R$5:$W$9,MATCH(ROUNDUP((V$1)/10,0)*10,[1]Hugst!$R$4:$W$4,0))))</f>
        <v>1138.2321505972459</v>
      </c>
      <c r="W122" s="168">
        <f ca="1">IF($C122-W$1&lt;År1,0,V121*(1-VLOOKUP($A122,[1]Hugst!$R$5:$W$9,MATCH(ROUNDUP((W$1)/10,0)*10,[1]Hugst!$R$4:$W$4,0))))</f>
        <v>1137.7122485872665</v>
      </c>
      <c r="X122" s="168">
        <f ca="1">IF($C122-X$1&lt;År1,0,W121*(1-VLOOKUP($A122,[1]Hugst!$R$5:$W$9,MATCH(ROUNDUP((X$1)/10,0)*10,[1]Hugst!$R$4:$W$4,0))))</f>
        <v>1137.1987825793269</v>
      </c>
      <c r="Y122" s="168">
        <f ca="1">IF($C122-Y$1&lt;År1,0,X121*(1-VLOOKUP($A122,[1]Hugst!$R$5:$W$9,MATCH(ROUNDUP((Y$1)/10,0)*10,[1]Hugst!$R$4:$W$4,0))))</f>
        <v>1138.4735028960638</v>
      </c>
      <c r="Z122" s="168">
        <f ca="1">IF($C122-Z$1&lt;År1,0,Y121*(1-VLOOKUP($A122,[1]Hugst!$R$5:$W$9,MATCH(ROUNDUP((Z$1)/10,0)*10,[1]Hugst!$R$4:$W$4,0))))</f>
        <v>1139.5149449560715</v>
      </c>
      <c r="AA122" s="168">
        <f ca="1">IF($C122-AA$1&lt;År1,0,Z121*(1-VLOOKUP($A122,[1]Hugst!$R$5:$W$9,MATCH(ROUNDUP((AA$1)/10,0)*10,[1]Hugst!$R$4:$W$4,0))))</f>
        <v>1140.5644783354549</v>
      </c>
      <c r="AB122" s="168">
        <f ca="1">IF($C122-AB$1&lt;År1,0,AA121*(1-VLOOKUP($A122,[1]Hugst!$R$5:$W$9,MATCH(ROUNDUP((AB$1)/10,0)*10,[1]Hugst!$R$4:$W$4,0))))</f>
        <v>1141.6221214423472</v>
      </c>
      <c r="AC122" s="168">
        <f ca="1">IF($C122-AC$1&lt;År1,0,AB121*(1-VLOOKUP($A122,[1]Hugst!$R$5:$W$9,MATCH(ROUNDUP((AC$1)/10,0)*10,[1]Hugst!$R$4:$W$4,0))))</f>
        <v>1142.687892759458</v>
      </c>
      <c r="AD122" s="168">
        <f ca="1">IF($C122-AD$1&lt;År1,0,AC121*(1-VLOOKUP($A122,[1]Hugst!$R$5:$W$9,MATCH(ROUNDUP((AD$1)/10,0)*10,[1]Hugst!$R$4:$W$4,0))))</f>
        <v>1143.7618108441704</v>
      </c>
      <c r="AE122" s="168">
        <f ca="1">IF($C122-AE$1&lt;År1,0,AD121*(1-VLOOKUP($A122,[1]Hugst!$R$5:$W$9,MATCH(ROUNDUP((AE$1)/10,0)*10,[1]Hugst!$R$4:$W$4,0))))</f>
        <v>1144.8438943287265</v>
      </c>
      <c r="AF122" s="168">
        <f ca="1">IF($C122-AF$1&lt;År1,0,AE121*(1-VLOOKUP($A122,[1]Hugst!$R$5:$W$9,MATCH(ROUNDUP((AF$1)/10,0)*10,[1]Hugst!$R$4:$W$4,0))))</f>
        <v>1145.9341619205386</v>
      </c>
      <c r="AG122" s="168">
        <f ca="1">IF($C122-AG$1&lt;År1,0,AF121*(1-VLOOKUP($A122,[1]Hugst!$R$5:$W$9,MATCH(ROUNDUP((AG$1)/10,0)*10,[1]Hugst!$R$4:$W$4,0))))</f>
        <v>1147.0326324024145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552.84806311610737</v>
      </c>
      <c r="E123" s="168">
        <f t="shared" ca="1" si="2"/>
        <v>35.250549125550606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1132.9403762531467</v>
      </c>
      <c r="G123" s="168">
        <f ca="1">IF($C123-G$1&lt;År1,0,F122*(1-VLOOKUP($A123,[1]Hugst!$R$5:$W$9,MATCH(ROUNDUP((G$1)/10,0)*10,[1]Hugst!$R$4:$W$4,0))))</f>
        <v>1133.7893952582483</v>
      </c>
      <c r="H123" s="168">
        <f ca="1">IF($C123-H$1&lt;År1,0,G122*(1-VLOOKUP($A123,[1]Hugst!$R$5:$W$9,MATCH(ROUNDUP((H$1)/10,0)*10,[1]Hugst!$R$4:$W$4,0))))</f>
        <v>1134.6465685188043</v>
      </c>
      <c r="I123" s="168">
        <f ca="1">IF($C123-I$1&lt;År1,0,H122*(1-VLOOKUP($A123,[1]Hugst!$R$5:$W$9,MATCH(ROUNDUP((I$1)/10,0)*10,[1]Hugst!$R$4:$W$4,0))))</f>
        <v>1135.5119410551627</v>
      </c>
      <c r="J123" s="168">
        <f ca="1">IF($C123-J$1&lt;År1,0,I122*(1-VLOOKUP($A123,[1]Hugst!$R$5:$W$9,MATCH(ROUNDUP((J$1)/10,0)*10,[1]Hugst!$R$4:$W$4,0))))</f>
        <v>1136.3855581175187</v>
      </c>
      <c r="K123" s="168">
        <f ca="1">IF($C123-K$1&lt;År1,0,J122*(1-VLOOKUP($A123,[1]Hugst!$R$5:$W$9,MATCH(ROUNDUP((K$1)/10,0)*10,[1]Hugst!$R$4:$W$4,0))))</f>
        <v>1137.2674651865229</v>
      </c>
      <c r="L123" s="168">
        <f ca="1">IF($C123-L$1&lt;År1,0,K122*(1-VLOOKUP($A123,[1]Hugst!$R$5:$W$9,MATCH(ROUNDUP((L$1)/10,0)*10,[1]Hugst!$R$4:$W$4,0))))</f>
        <v>1138.1577079749143</v>
      </c>
      <c r="M123" s="168">
        <f ca="1">IF($C123-M$1&lt;År1,0,L122*(1-VLOOKUP($A123,[1]Hugst!$R$5:$W$9,MATCH(ROUNDUP((M$1)/10,0)*10,[1]Hugst!$R$4:$W$4,0))))</f>
        <v>1139.0563324282987</v>
      </c>
      <c r="N123" s="168">
        <f ca="1">IF($C123-N$1&lt;År1,0,M122*(1-VLOOKUP($A123,[1]Hugst!$R$5:$W$9,MATCH(ROUNDUP((N$1)/10,0)*10,[1]Hugst!$R$4:$W$4,0))))</f>
        <v>1139.9633847266734</v>
      </c>
      <c r="O123" s="168">
        <f ca="1">IF($C123-O$1&lt;År1,0,N122*(1-VLOOKUP($A123,[1]Hugst!$R$5:$W$9,MATCH(ROUNDUP((O$1)/10,0)*10,[1]Hugst!$R$4:$W$4,0))))</f>
        <v>1140.8789112853331</v>
      </c>
      <c r="P123" s="168">
        <f ca="1">IF($C123-P$1&lt;År1,0,O122*(1-VLOOKUP($A123,[1]Hugst!$R$5:$W$9,MATCH(ROUNDUP((P$1)/10,0)*10,[1]Hugst!$R$4:$W$4,0))))</f>
        <v>1140.3087418985983</v>
      </c>
      <c r="Q123" s="168">
        <f ca="1">IF($C123-Q$1&lt;År1,0,P122*(1-VLOOKUP($A123,[1]Hugst!$R$5:$W$9,MATCH(ROUNDUP((Q$1)/10,0)*10,[1]Hugst!$R$4:$W$4,0))))</f>
        <v>1139.7449216279392</v>
      </c>
      <c r="R123" s="168">
        <f ca="1">IF($C123-R$1&lt;År1,0,Q122*(1-VLOOKUP($A123,[1]Hugst!$R$5:$W$9,MATCH(ROUNDUP((R$1)/10,0)*10,[1]Hugst!$R$4:$W$4,0))))</f>
        <v>1139.1874599224191</v>
      </c>
      <c r="S123" s="168">
        <f ca="1">IF($C123-S$1&lt;År1,0,R122*(1-VLOOKUP($A123,[1]Hugst!$R$5:$W$9,MATCH(ROUNDUP((S$1)/10,0)*10,[1]Hugst!$R$4:$W$4,0))))</f>
        <v>1138.6363662835452</v>
      </c>
      <c r="T123" s="168">
        <f ca="1">IF($C123-T$1&lt;År1,0,S122*(1-VLOOKUP($A123,[1]Hugst!$R$5:$W$9,MATCH(ROUNDUP((T$1)/10,0)*10,[1]Hugst!$R$4:$W$4,0))))</f>
        <v>1138.091650265241</v>
      </c>
      <c r="U123" s="168">
        <f ca="1">IF($C123-U$1&lt;År1,0,T122*(1-VLOOKUP($A123,[1]Hugst!$R$5:$W$9,MATCH(ROUNDUP((U$1)/10,0)*10,[1]Hugst!$R$4:$W$4,0))))</f>
        <v>1137.5533214743048</v>
      </c>
      <c r="V123" s="168">
        <f ca="1">IF($C123-V$1&lt;År1,0,U122*(1-VLOOKUP($A123,[1]Hugst!$R$5:$W$9,MATCH(ROUNDUP((V$1)/10,0)*10,[1]Hugst!$R$4:$W$4,0))))</f>
        <v>1137.0213895702993</v>
      </c>
      <c r="W123" s="168">
        <f ca="1">IF($C123-W$1&lt;År1,0,V122*(1-VLOOKUP($A123,[1]Hugst!$R$5:$W$9,MATCH(ROUNDUP((W$1)/10,0)*10,[1]Hugst!$R$4:$W$4,0))))</f>
        <v>1136.4958642658264</v>
      </c>
      <c r="X123" s="168">
        <f ca="1">IF($C123-X$1&lt;År1,0,W122*(1-VLOOKUP($A123,[1]Hugst!$R$5:$W$9,MATCH(ROUNDUP((X$1)/10,0)*10,[1]Hugst!$R$4:$W$4,0))))</f>
        <v>1135.9767553267095</v>
      </c>
      <c r="Y123" s="168">
        <f ca="1">IF($C123-Y$1&lt;År1,0,X122*(1-VLOOKUP($A123,[1]Hugst!$R$5:$W$9,MATCH(ROUNDUP((Y$1)/10,0)*10,[1]Hugst!$R$4:$W$4,0))))</f>
        <v>1135.4640725720026</v>
      </c>
      <c r="Z123" s="168">
        <f ca="1">IF($C123-Z$1&lt;År1,0,Y122*(1-VLOOKUP($A123,[1]Hugst!$R$5:$W$9,MATCH(ROUNDUP((Z$1)/10,0)*10,[1]Hugst!$R$4:$W$4,0))))</f>
        <v>1136.4956463867952</v>
      </c>
      <c r="AA123" s="168">
        <f ca="1">IF($C123-AA$1&lt;År1,0,Z122*(1-VLOOKUP($A123,[1]Hugst!$R$5:$W$9,MATCH(ROUNDUP((AA$1)/10,0)*10,[1]Hugst!$R$4:$W$4,0))))</f>
        <v>1137.5352791618682</v>
      </c>
      <c r="AB123" s="168">
        <f ca="1">IF($C123-AB$1&lt;År1,0,AA122*(1-VLOOKUP($A123,[1]Hugst!$R$5:$W$9,MATCH(ROUNDUP((AB$1)/10,0)*10,[1]Hugst!$R$4:$W$4,0))))</f>
        <v>1138.5829891993635</v>
      </c>
      <c r="AC123" s="168">
        <f ca="1">IF($C123-AC$1&lt;År1,0,AB122*(1-VLOOKUP($A123,[1]Hugst!$R$5:$W$9,MATCH(ROUNDUP((AC$1)/10,0)*10,[1]Hugst!$R$4:$W$4,0))))</f>
        <v>1139.6387948754345</v>
      </c>
      <c r="AD123" s="168">
        <f ca="1">IF($C123-AD$1&lt;År1,0,AC122*(1-VLOOKUP($A123,[1]Hugst!$R$5:$W$9,MATCH(ROUNDUP((AD$1)/10,0)*10,[1]Hugst!$R$4:$W$4,0))))</f>
        <v>1140.7027146406808</v>
      </c>
      <c r="AE123" s="168">
        <f ca="1">IF($C123-AE$1&lt;År1,0,AD122*(1-VLOOKUP($A123,[1]Hugst!$R$5:$W$9,MATCH(ROUNDUP((AE$1)/10,0)*10,[1]Hugst!$R$4:$W$4,0))))</f>
        <v>1141.7747670202461</v>
      </c>
      <c r="AF123" s="168">
        <f ca="1">IF($C123-AF$1&lt;År1,0,AE122*(1-VLOOKUP($A123,[1]Hugst!$R$5:$W$9,MATCH(ROUNDUP((AF$1)/10,0)*10,[1]Hugst!$R$4:$W$4,0))))</f>
        <v>1142.8549706140027</v>
      </c>
      <c r="AG123" s="168">
        <f ca="1">IF($C123-AG$1&lt;År1,0,AF122*(1-VLOOKUP($A123,[1]Hugst!$R$5:$W$9,MATCH(ROUNDUP((AG$1)/10,0)*10,[1]Hugst!$R$4:$W$4,0))))</f>
        <v>1143.943344096863</v>
      </c>
      <c r="AH123" s="168">
        <f ca="1">IF($C123-AH$1&lt;År1,0,AG122*(1-VLOOKUP($A123,[1]Hugst!$R$5:$W$9,MATCH(ROUNDUP((AH$1)/10,0)*10,[1]Hugst!$R$4:$W$4,0))))</f>
        <v>1145.0399062190036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550.08382280054502</v>
      </c>
      <c r="E124" s="168">
        <f t="shared" ca="1" si="2"/>
        <v>37.17387989936833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1132.0994667114021</v>
      </c>
      <c r="G124" s="168">
        <f ca="1">IF($C124-G$1&lt;År1,0,F123*(1-VLOOKUP($A124,[1]Hugst!$R$5:$W$9,MATCH(ROUNDUP((G$1)/10,0)*10,[1]Hugst!$R$4:$W$4,0))))</f>
        <v>1132.9403762531467</v>
      </c>
      <c r="H124" s="168">
        <f ca="1">IF($C124-H$1&lt;År1,0,G123*(1-VLOOKUP($A124,[1]Hugst!$R$5:$W$9,MATCH(ROUNDUP((H$1)/10,0)*10,[1]Hugst!$R$4:$W$4,0))))</f>
        <v>1133.7893952582483</v>
      </c>
      <c r="I124" s="168">
        <f ca="1">IF($C124-I$1&lt;År1,0,H123*(1-VLOOKUP($A124,[1]Hugst!$R$5:$W$9,MATCH(ROUNDUP((I$1)/10,0)*10,[1]Hugst!$R$4:$W$4,0))))</f>
        <v>1134.6465685188043</v>
      </c>
      <c r="J124" s="168">
        <f ca="1">IF($C124-J$1&lt;År1,0,I123*(1-VLOOKUP($A124,[1]Hugst!$R$5:$W$9,MATCH(ROUNDUP((J$1)/10,0)*10,[1]Hugst!$R$4:$W$4,0))))</f>
        <v>1135.5119410551627</v>
      </c>
      <c r="K124" s="168">
        <f ca="1">IF($C124-K$1&lt;År1,0,J123*(1-VLOOKUP($A124,[1]Hugst!$R$5:$W$9,MATCH(ROUNDUP((K$1)/10,0)*10,[1]Hugst!$R$4:$W$4,0))))</f>
        <v>1136.3855581175187</v>
      </c>
      <c r="L124" s="168">
        <f ca="1">IF($C124-L$1&lt;År1,0,K123*(1-VLOOKUP($A124,[1]Hugst!$R$5:$W$9,MATCH(ROUNDUP((L$1)/10,0)*10,[1]Hugst!$R$4:$W$4,0))))</f>
        <v>1137.2674651865229</v>
      </c>
      <c r="M124" s="168">
        <f ca="1">IF($C124-M$1&lt;År1,0,L123*(1-VLOOKUP($A124,[1]Hugst!$R$5:$W$9,MATCH(ROUNDUP((M$1)/10,0)*10,[1]Hugst!$R$4:$W$4,0))))</f>
        <v>1138.1577079749143</v>
      </c>
      <c r="N124" s="168">
        <f ca="1">IF($C124-N$1&lt;År1,0,M123*(1-VLOOKUP($A124,[1]Hugst!$R$5:$W$9,MATCH(ROUNDUP((N$1)/10,0)*10,[1]Hugst!$R$4:$W$4,0))))</f>
        <v>1139.0563324282987</v>
      </c>
      <c r="O124" s="168">
        <f ca="1">IF($C124-O$1&lt;År1,0,N123*(1-VLOOKUP($A124,[1]Hugst!$R$5:$W$9,MATCH(ROUNDUP((O$1)/10,0)*10,[1]Hugst!$R$4:$W$4,0))))</f>
        <v>1139.9633847266734</v>
      </c>
      <c r="P124" s="168">
        <f ca="1">IF($C124-P$1&lt;År1,0,O123*(1-VLOOKUP($A124,[1]Hugst!$R$5:$W$9,MATCH(ROUNDUP((P$1)/10,0)*10,[1]Hugst!$R$4:$W$4,0))))</f>
        <v>1139.1385875223555</v>
      </c>
      <c r="Q124" s="168">
        <f ca="1">IF($C124-Q$1&lt;År1,0,P123*(1-VLOOKUP($A124,[1]Hugst!$R$5:$W$9,MATCH(ROUNDUP((Q$1)/10,0)*10,[1]Hugst!$R$4:$W$4,0))))</f>
        <v>1138.5692878855327</v>
      </c>
      <c r="R124" s="168">
        <f ca="1">IF($C124-R$1&lt;År1,0,Q123*(1-VLOOKUP($A124,[1]Hugst!$R$5:$W$9,MATCH(ROUNDUP((R$1)/10,0)*10,[1]Hugst!$R$4:$W$4,0))))</f>
        <v>1138.0063276796932</v>
      </c>
      <c r="S124" s="168">
        <f ca="1">IF($C124-S$1&lt;År1,0,R123*(1-VLOOKUP($A124,[1]Hugst!$R$5:$W$9,MATCH(ROUNDUP((S$1)/10,0)*10,[1]Hugst!$R$4:$W$4,0))))</f>
        <v>1137.4497163394865</v>
      </c>
      <c r="T124" s="168">
        <f ca="1">IF($C124-T$1&lt;År1,0,S123*(1-VLOOKUP($A124,[1]Hugst!$R$5:$W$9,MATCH(ROUNDUP((T$1)/10,0)*10,[1]Hugst!$R$4:$W$4,0))))</f>
        <v>1136.8994633519262</v>
      </c>
      <c r="U124" s="168">
        <f ca="1">IF($C124-U$1&lt;År1,0,T123*(1-VLOOKUP($A124,[1]Hugst!$R$5:$W$9,MATCH(ROUNDUP((U$1)/10,0)*10,[1]Hugst!$R$4:$W$4,0))))</f>
        <v>1136.3555782563617</v>
      </c>
      <c r="V124" s="168">
        <f ca="1">IF($C124-V$1&lt;År1,0,U123*(1-VLOOKUP($A124,[1]Hugst!$R$5:$W$9,MATCH(ROUNDUP((V$1)/10,0)*10,[1]Hugst!$R$4:$W$4,0))))</f>
        <v>1135.8180706449371</v>
      </c>
      <c r="W124" s="168">
        <f ca="1">IF($C124-W$1&lt;År1,0,V123*(1-VLOOKUP($A124,[1]Hugst!$R$5:$W$9,MATCH(ROUNDUP((W$1)/10,0)*10,[1]Hugst!$R$4:$W$4,0))))</f>
        <v>1135.2869501624803</v>
      </c>
      <c r="X124" s="168">
        <f ca="1">IF($C124-X$1&lt;År1,0,W123*(1-VLOOKUP($A124,[1]Hugst!$R$5:$W$9,MATCH(ROUNDUP((X$1)/10,0)*10,[1]Hugst!$R$4:$W$4,0))))</f>
        <v>1134.7622265067769</v>
      </c>
      <c r="Y124" s="168">
        <f ca="1">IF($C124-Y$1&lt;År1,0,X123*(1-VLOOKUP($A124,[1]Hugst!$R$5:$W$9,MATCH(ROUNDUP((Y$1)/10,0)*10,[1]Hugst!$R$4:$W$4,0))))</f>
        <v>1134.2439094287536</v>
      </c>
      <c r="Z124" s="168">
        <f ca="1">IF($C124-Z$1&lt;År1,0,Y123*(1-VLOOKUP($A124,[1]Hugst!$R$5:$W$9,MATCH(ROUNDUP((Z$1)/10,0)*10,[1]Hugst!$R$4:$W$4,0))))</f>
        <v>1133.4914443103307</v>
      </c>
      <c r="AA124" s="168">
        <f ca="1">IF($C124-AA$1&lt;År1,0,Z123*(1-VLOOKUP($A124,[1]Hugst!$R$5:$W$9,MATCH(ROUNDUP((AA$1)/10,0)*10,[1]Hugst!$R$4:$W$4,0))))</f>
        <v>1134.521225984174</v>
      </c>
      <c r="AB124" s="168">
        <f ca="1">IF($C124-AB$1&lt;År1,0,AA123*(1-VLOOKUP($A124,[1]Hugst!$R$5:$W$9,MATCH(ROUNDUP((AB$1)/10,0)*10,[1]Hugst!$R$4:$W$4,0))))</f>
        <v>1135.5590526175615</v>
      </c>
      <c r="AC124" s="168">
        <f ca="1">IF($C124-AC$1&lt;År1,0,AB123*(1-VLOOKUP($A124,[1]Hugst!$R$5:$W$9,MATCH(ROUNDUP((AC$1)/10,0)*10,[1]Hugst!$R$4:$W$4,0))))</f>
        <v>1136.6049424808391</v>
      </c>
      <c r="AD124" s="168">
        <f ca="1">IF($C124-AD$1&lt;År1,0,AC123*(1-VLOOKUP($A124,[1]Hugst!$R$5:$W$9,MATCH(ROUNDUP((AD$1)/10,0)*10,[1]Hugst!$R$4:$W$4,0))))</f>
        <v>1137.6589139182356</v>
      </c>
      <c r="AE124" s="168">
        <f ca="1">IF($C124-AE$1&lt;År1,0,AD123*(1-VLOOKUP($A124,[1]Hugst!$R$5:$W$9,MATCH(ROUNDUP((AE$1)/10,0)*10,[1]Hugst!$R$4:$W$4,0))))</f>
        <v>1138.7209853482966</v>
      </c>
      <c r="AF124" s="168">
        <f ca="1">IF($C124-AF$1&lt;År1,0,AE123*(1-VLOOKUP($A124,[1]Hugst!$R$5:$W$9,MATCH(ROUNDUP((AF$1)/10,0)*10,[1]Hugst!$R$4:$W$4,0))))</f>
        <v>1139.791175263982</v>
      </c>
      <c r="AG124" s="168">
        <f ca="1">IF($C124-AG$1&lt;År1,0,AF123*(1-VLOOKUP($A124,[1]Hugst!$R$5:$W$9,MATCH(ROUNDUP((AG$1)/10,0)*10,[1]Hugst!$R$4:$W$4,0))))</f>
        <v>1140.8695022328511</v>
      </c>
      <c r="AH124" s="168">
        <f ca="1">IF($C124-AH$1&lt;År1,0,AG123*(1-VLOOKUP($A124,[1]Hugst!$R$5:$W$9,MATCH(ROUNDUP((AH$1)/10,0)*10,[1]Hugst!$R$4:$W$4,0))))</f>
        <v>1141.9559848973727</v>
      </c>
      <c r="AI124" s="168">
        <f ca="1">IF($C124-AI$1&lt;År1,0,AH123*(1-VLOOKUP($A124,[1]Hugst!$R$5:$W$9,MATCH(ROUNDUP((AI$1)/10,0)*10,[1]Hugst!$R$4:$W$4,0))))</f>
        <v>1143.0506419751484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547.33340368654171</v>
      </c>
      <c r="E125" s="168">
        <f ca="1">IF(C125=2020,SUM(G125:AJ125),SUM(F124:AJ124)-SUM(G125:AJ125))</f>
        <v>38.12352336558979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1130.2986910636203</v>
      </c>
      <c r="G125" s="168">
        <f ca="1">IF($C125-G$1&lt;År1,0,F124*(1-VLOOKUP($A125,[1]Hugst!$R$5:$W$9,MATCH(ROUNDUP((G$1)/10,0)*10,[1]Hugst!$R$4:$W$4,0))))</f>
        <v>1132.0994667114021</v>
      </c>
      <c r="H125" s="168">
        <f ca="1">IF($C125-H$1&lt;År1,0,G124*(1-VLOOKUP($A125,[1]Hugst!$R$5:$W$9,MATCH(ROUNDUP((H$1)/10,0)*10,[1]Hugst!$R$4:$W$4,0))))</f>
        <v>1132.9403762531467</v>
      </c>
      <c r="I125" s="168">
        <f ca="1">IF($C125-I$1&lt;År1,0,H124*(1-VLOOKUP($A125,[1]Hugst!$R$5:$W$9,MATCH(ROUNDUP((I$1)/10,0)*10,[1]Hugst!$R$4:$W$4,0))))</f>
        <v>1133.7893952582483</v>
      </c>
      <c r="J125" s="168">
        <f ca="1">IF($C125-J$1&lt;År1,0,I124*(1-VLOOKUP($A125,[1]Hugst!$R$5:$W$9,MATCH(ROUNDUP((J$1)/10,0)*10,[1]Hugst!$R$4:$W$4,0))))</f>
        <v>1134.6465685188043</v>
      </c>
      <c r="K125" s="168">
        <f ca="1">IF($C125-K$1&lt;År1,0,J124*(1-VLOOKUP($A125,[1]Hugst!$R$5:$W$9,MATCH(ROUNDUP((K$1)/10,0)*10,[1]Hugst!$R$4:$W$4,0))))</f>
        <v>1135.5119410551627</v>
      </c>
      <c r="L125" s="168">
        <f ca="1">IF($C125-L$1&lt;År1,0,K124*(1-VLOOKUP($A125,[1]Hugst!$R$5:$W$9,MATCH(ROUNDUP((L$1)/10,0)*10,[1]Hugst!$R$4:$W$4,0))))</f>
        <v>1136.3855581175187</v>
      </c>
      <c r="M125" s="168">
        <f ca="1">IF($C125-M$1&lt;År1,0,L124*(1-VLOOKUP($A125,[1]Hugst!$R$5:$W$9,MATCH(ROUNDUP((M$1)/10,0)*10,[1]Hugst!$R$4:$W$4,0))))</f>
        <v>1137.2674651865229</v>
      </c>
      <c r="N125" s="168">
        <f ca="1">IF($C125-N$1&lt;År1,0,M124*(1-VLOOKUP($A125,[1]Hugst!$R$5:$W$9,MATCH(ROUNDUP((N$1)/10,0)*10,[1]Hugst!$R$4:$W$4,0))))</f>
        <v>1138.1577079749143</v>
      </c>
      <c r="O125" s="168">
        <f ca="1">IF($C125-O$1&lt;År1,0,N124*(1-VLOOKUP($A125,[1]Hugst!$R$5:$W$9,MATCH(ROUNDUP((O$1)/10,0)*10,[1]Hugst!$R$4:$W$4,0))))</f>
        <v>1139.0563324282987</v>
      </c>
      <c r="P125" s="168">
        <f ca="1">IF($C125-P$1&lt;År1,0,O124*(1-VLOOKUP($A125,[1]Hugst!$R$5:$W$9,MATCH(ROUNDUP((P$1)/10,0)*10,[1]Hugst!$R$4:$W$4,0))))</f>
        <v>1138.2244575296327</v>
      </c>
      <c r="Q125" s="168">
        <f ca="1">IF($C125-Q$1&lt;År1,0,P124*(1-VLOOKUP($A125,[1]Hugst!$R$5:$W$9,MATCH(ROUNDUP((Q$1)/10,0)*10,[1]Hugst!$R$4:$W$4,0))))</f>
        <v>1137.4009184905417</v>
      </c>
      <c r="R125" s="168">
        <f ca="1">IF($C125-R$1&lt;År1,0,Q124*(1-VLOOKUP($A125,[1]Hugst!$R$5:$W$9,MATCH(ROUNDUP((R$1)/10,0)*10,[1]Hugst!$R$4:$W$4,0))))</f>
        <v>1136.8324872768937</v>
      </c>
      <c r="S125" s="168">
        <f ca="1">IF($C125-S$1&lt;År1,0,R124*(1-VLOOKUP($A125,[1]Hugst!$R$5:$W$9,MATCH(ROUNDUP((S$1)/10,0)*10,[1]Hugst!$R$4:$W$4,0))))</f>
        <v>1136.2703858239106</v>
      </c>
      <c r="T125" s="168">
        <f ca="1">IF($C125-T$1&lt;År1,0,S124*(1-VLOOKUP($A125,[1]Hugst!$R$5:$W$9,MATCH(ROUNDUP((T$1)/10,0)*10,[1]Hugst!$R$4:$W$4,0))))</f>
        <v>1135.7146235518499</v>
      </c>
      <c r="U125" s="168">
        <f ca="1">IF($C125-U$1&lt;År1,0,T124*(1-VLOOKUP($A125,[1]Hugst!$R$5:$W$9,MATCH(ROUNDUP((U$1)/10,0)*10,[1]Hugst!$R$4:$W$4,0))))</f>
        <v>1135.1652099332537</v>
      </c>
      <c r="V125" s="168">
        <f ca="1">IF($C125-V$1&lt;År1,0,U124*(1-VLOOKUP($A125,[1]Hugst!$R$5:$W$9,MATCH(ROUNDUP((V$1)/10,0)*10,[1]Hugst!$R$4:$W$4,0))))</f>
        <v>1134.6221544929197</v>
      </c>
      <c r="W125" s="168">
        <f ca="1">IF($C125-W$1&lt;År1,0,V124*(1-VLOOKUP($A125,[1]Hugst!$R$5:$W$9,MATCH(ROUNDUP((W$1)/10,0)*10,[1]Hugst!$R$4:$W$4,0))))</f>
        <v>1134.08546680836</v>
      </c>
      <c r="X125" s="168">
        <f ca="1">IF($C125-X$1&lt;År1,0,W124*(1-VLOOKUP($A125,[1]Hugst!$R$5:$W$9,MATCH(ROUNDUP((X$1)/10,0)*10,[1]Hugst!$R$4:$W$4,0))))</f>
        <v>1133.5551565096901</v>
      </c>
      <c r="Y125" s="168">
        <f ca="1">IF($C125-Y$1&lt;År1,0,X124*(1-VLOOKUP($A125,[1]Hugst!$R$5:$W$9,MATCH(ROUNDUP((Y$1)/10,0)*10,[1]Hugst!$R$4:$W$4,0))))</f>
        <v>1133.0312332799022</v>
      </c>
      <c r="Z125" s="168">
        <f ca="1">IF($C125-Z$1&lt;År1,0,Y124*(1-VLOOKUP($A125,[1]Hugst!$R$5:$W$9,MATCH(ROUNDUP((Z$1)/10,0)*10,[1]Hugst!$R$4:$W$4,0))))</f>
        <v>1132.2734009420342</v>
      </c>
      <c r="AA125" s="168">
        <f ca="1">IF($C125-AA$1&lt;År1,0,Z124*(1-VLOOKUP($A125,[1]Hugst!$R$5:$W$9,MATCH(ROUNDUP((AA$1)/10,0)*10,[1]Hugst!$R$4:$W$4,0))))</f>
        <v>1131.5222430723338</v>
      </c>
      <c r="AB125" s="168">
        <f ca="1">IF($C125-AB$1&lt;År1,0,AA124*(1-VLOOKUP($A125,[1]Hugst!$R$5:$W$9,MATCH(ROUNDUP((AB$1)/10,0)*10,[1]Hugst!$R$4:$W$4,0))))</f>
        <v>1132.5502357186929</v>
      </c>
      <c r="AC125" s="168">
        <f ca="1">IF($C125-AC$1&lt;År1,0,AB124*(1-VLOOKUP($A125,[1]Hugst!$R$5:$W$9,MATCH(ROUNDUP((AC$1)/10,0)*10,[1]Hugst!$R$4:$W$4,0))))</f>
        <v>1133.5862593481836</v>
      </c>
      <c r="AD125" s="168">
        <f ca="1">IF($C125-AD$1&lt;År1,0,AC124*(1-VLOOKUP($A125,[1]Hugst!$R$5:$W$9,MATCH(ROUNDUP((AD$1)/10,0)*10,[1]Hugst!$R$4:$W$4,0))))</f>
        <v>1134.6303321994105</v>
      </c>
      <c r="AE125" s="168">
        <f ca="1">IF($C125-AE$1&lt;År1,0,AD124*(1-VLOOKUP($A125,[1]Hugst!$R$5:$W$9,MATCH(ROUNDUP((AE$1)/10,0)*10,[1]Hugst!$R$4:$W$4,0))))</f>
        <v>1135.6824725847334</v>
      </c>
      <c r="AF125" s="168">
        <f ca="1">IF($C125-AF$1&lt;År1,0,AE124*(1-VLOOKUP($A125,[1]Hugst!$R$5:$W$9,MATCH(ROUNDUP((AF$1)/10,0)*10,[1]Hugst!$R$4:$W$4,0))))</f>
        <v>1136.7426988907</v>
      </c>
      <c r="AG125" s="168">
        <f ca="1">IF($C125-AG$1&lt;År1,0,AF124*(1-VLOOKUP($A125,[1]Hugst!$R$5:$W$9,MATCH(ROUNDUP((AG$1)/10,0)*10,[1]Hugst!$R$4:$W$4,0))))</f>
        <v>1137.8110295781421</v>
      </c>
      <c r="AH125" s="168">
        <f ca="1">IF($C125-AH$1&lt;År1,0,AG124*(1-VLOOKUP($A125,[1]Hugst!$R$5:$W$9,MATCH(ROUNDUP((AH$1)/10,0)*10,[1]Hugst!$R$4:$W$4,0))))</f>
        <v>1138.8874831823618</v>
      </c>
      <c r="AI125" s="168">
        <f ca="1">IF($C125-AI$1&lt;År1,0,AH124*(1-VLOOKUP($A125,[1]Hugst!$R$5:$W$9,MATCH(ROUNDUP((AI$1)/10,0)*10,[1]Hugst!$R$4:$W$4,0))))</f>
        <v>1139.9720783134408</v>
      </c>
      <c r="AJ125" s="168">
        <f ca="1">IF($C125-AJ$1&lt;År1,0,AI124*(1-VLOOKUP($A125,[1]Hugst!$R$5:$W$9,MATCH(ROUNDUP((AJ$1)/10,0)*10,[1]Hugst!$R$4:$W$4,0))))</f>
        <v>1142.0335206411876</v>
      </c>
      <c r="AL125" s="168">
        <f ca="1">SUM(F125:AJ125)</f>
        <v>35200.747350735815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735500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274</v>
      </c>
      <c r="F1" s="75"/>
    </row>
    <row r="2" spans="1:7" s="320" customFormat="1" x14ac:dyDescent="0.25">
      <c r="A2" s="319"/>
      <c r="C2" s="427" t="s">
        <v>320</v>
      </c>
      <c r="D2" s="427"/>
      <c r="E2" s="427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321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28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28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29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29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274</v>
      </c>
    </row>
    <row r="2" spans="1:10" ht="15.75" x14ac:dyDescent="0.25">
      <c r="A2" s="224" t="s">
        <v>25</v>
      </c>
    </row>
    <row r="3" spans="1:10" x14ac:dyDescent="0.25">
      <c r="A3" s="6" t="s">
        <v>304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324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232958.9113036553</v>
      </c>
      <c r="J5" s="10">
        <f>SUMIFS('Resultat-Produktion &amp; forbrug'!$N$3:$N$1000,'Resultat-Produktion &amp; forbrug'!$A$3:$A$1000,Adfærd!$G5,'Resultat-Produktion &amp; forbrug'!$D$3:$D$1000,Adfærd!J$4)</f>
        <v>234184.80513909008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322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323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316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C3" sqref="C3:D7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274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3" t="s">
        <v>327</v>
      </c>
      <c r="G2" s="434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0.9</v>
      </c>
      <c r="D3" s="178">
        <f t="shared" ref="D3:D5" si="0">C3</f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0.89030850260522276</v>
      </c>
      <c r="AC3" s="230">
        <f>SUM(E12:E14)/SUM(E12:E15)</f>
        <v>0.88291506599507918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0.9</v>
      </c>
      <c r="D4" s="178">
        <f t="shared" si="0"/>
        <v>0.9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0.9</v>
      </c>
      <c r="D5" s="178">
        <f t="shared" si="0"/>
        <v>0.9</v>
      </c>
      <c r="E5" s="155"/>
      <c r="F5" s="171"/>
      <c r="G5" s="172"/>
      <c r="H5" s="124"/>
      <c r="N5" s="245"/>
      <c r="Z5" s="177" t="s">
        <v>135</v>
      </c>
      <c r="AA5" s="346">
        <f t="shared" ref="AA5:AC6" si="1">C12/C$29</f>
        <v>0.22267199142680771</v>
      </c>
      <c r="AB5" s="346">
        <f t="shared" si="1"/>
        <v>0.44109208426101976</v>
      </c>
      <c r="AC5" s="346">
        <f t="shared" si="1"/>
        <v>0.43061813650898434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f t="shared" ref="C6" si="2">B6</f>
        <v>0.37924884410556858</v>
      </c>
      <c r="D6" s="178">
        <f>C6</f>
        <v>0.37924884410556858</v>
      </c>
      <c r="E6" s="155"/>
      <c r="F6" s="171"/>
      <c r="G6" s="172"/>
      <c r="H6" s="125"/>
      <c r="Z6" s="347" t="s">
        <v>136</v>
      </c>
      <c r="AA6" s="346">
        <f t="shared" si="1"/>
        <v>0.33257225498473725</v>
      </c>
      <c r="AB6" s="346">
        <f t="shared" si="1"/>
        <v>0.35540328821589312</v>
      </c>
      <c r="AC6" s="346">
        <f t="shared" si="1"/>
        <v>0.35548628419548717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f>C7</f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45" customHeight="1" x14ac:dyDescent="0.2">
      <c r="A10" s="126"/>
      <c r="B10" s="127"/>
      <c r="C10" s="431" t="s">
        <v>210</v>
      </c>
      <c r="D10" s="431"/>
      <c r="E10" s="431"/>
      <c r="F10" s="430" t="s">
        <v>328</v>
      </c>
      <c r="G10" s="430"/>
      <c r="J10" s="432" t="s">
        <v>211</v>
      </c>
      <c r="K10" s="432"/>
      <c r="L10" s="432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12426575.77002522</v>
      </c>
      <c r="E12" s="130">
        <f>SUMIFS('Resultater - Danmark'!J$3:J$504,'Resultater - Danmark'!$F$3:$F$504,$A12)*D3</f>
        <v>11896912.230636118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1380730.6411139127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1321879.1367373448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3">C12/C$29</f>
        <v>0.22267199142680771</v>
      </c>
      <c r="K12" s="131">
        <f t="shared" ref="K12:K28" si="4">D12/D$29</f>
        <v>0.44109208426101976</v>
      </c>
      <c r="L12" s="131">
        <f t="shared" ref="L12:L28" si="5">E12/E$29</f>
        <v>0.43061813650898434</v>
      </c>
      <c r="M12" s="123" t="s">
        <v>212</v>
      </c>
      <c r="N12" s="123">
        <f>S12+2/3*T12</f>
        <v>2914869.3333333335</v>
      </c>
      <c r="O12" s="149">
        <f t="shared" ref="O12:O16" si="6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10012525.836481437</v>
      </c>
      <c r="E13" s="133">
        <f>SUMIFS('Resultater - Danmark'!J$3:J$504,'Resultater - Danmark'!$F$3:$F$504,$A13)*D4</f>
        <v>9821205.2946832664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1112502.8707201593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1091245.0327425841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3"/>
        <v>0.33257225498473725</v>
      </c>
      <c r="K13" s="134">
        <f t="shared" si="4"/>
        <v>0.35540328821589312</v>
      </c>
      <c r="L13" s="134">
        <f t="shared" si="5"/>
        <v>0.35548628419548717</v>
      </c>
      <c r="M13" s="123" t="s">
        <v>213</v>
      </c>
      <c r="N13" s="123">
        <f>S13+1/3*T13</f>
        <v>4353509.666666667</v>
      </c>
      <c r="O13" s="149">
        <f t="shared" si="6"/>
        <v>0</v>
      </c>
      <c r="P13" s="138">
        <f t="shared" ref="P13:P28" si="7">C13*I13</f>
        <v>61384486.300000004</v>
      </c>
      <c r="Q13" s="123">
        <f t="shared" ref="Q13:Q28" si="8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6510.9082037028029</v>
      </c>
      <c r="E14" s="133">
        <f>SUMIFS('Resultater - Danmark'!J$3:J$504,'Resultater - Danmark'!$F$3:$F$504,$A14)*D5</f>
        <v>6723.8136862927013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723.43424485586638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747.09040958807782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3"/>
        <v>3.3929399119623192E-4</v>
      </c>
      <c r="K14" s="134">
        <f t="shared" si="4"/>
        <v>2.3111033346216928E-4</v>
      </c>
      <c r="L14" s="134">
        <f t="shared" si="5"/>
        <v>2.4337374805278808E-4</v>
      </c>
      <c r="M14" s="126" t="s">
        <v>145</v>
      </c>
      <c r="N14" s="127">
        <v>11417</v>
      </c>
      <c r="O14" s="149">
        <f t="shared" si="6"/>
        <v>6975.5</v>
      </c>
      <c r="P14" s="138">
        <f t="shared" si="7"/>
        <v>58183.65</v>
      </c>
      <c r="Q14" s="123">
        <f t="shared" si="8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2765437.8672976275</v>
      </c>
      <c r="E15" s="133">
        <f>SUMIFS('Resultater - Danmark'!J$3:J$504,'Resultater - Danmark'!$F$3:$F$504,$A15)*D6</f>
        <v>2880969.7698136591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4526444.2578007793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4715545.854665623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3"/>
        <v>0.20387691989197443</v>
      </c>
      <c r="K15" s="134">
        <f t="shared" si="4"/>
        <v>9.8161615504975444E-2</v>
      </c>
      <c r="L15" s="134">
        <f t="shared" si="5"/>
        <v>0.10427897672651332</v>
      </c>
      <c r="M15" s="136" t="s">
        <v>294</v>
      </c>
      <c r="N15" s="137">
        <f>SUM(S15:Z15)</f>
        <v>2668834</v>
      </c>
      <c r="O15" s="149">
        <f t="shared" si="6"/>
        <v>0</v>
      </c>
      <c r="P15" s="138">
        <f>C15*I15</f>
        <v>37096792.600000001</v>
      </c>
      <c r="Q15" s="123">
        <f t="shared" si="8"/>
        <v>1.3317748543399999</v>
      </c>
      <c r="S15" s="164">
        <v>2666649</v>
      </c>
      <c r="T15" s="123">
        <v>2185</v>
      </c>
      <c r="U15" s="164" t="s">
        <v>296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1204392.371220411</v>
      </c>
      <c r="E16" s="133">
        <f>SUMIFS('Resultater - Danmark'!J$3:J$504,'Resultater - Danmark'!$F$3:$F$504,$A16)*D7</f>
        <v>1262014.3338818299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1204392.371220411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1262014.3338818299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3"/>
        <v>5.7835206554718369E-2</v>
      </c>
      <c r="K16" s="134">
        <f t="shared" si="4"/>
        <v>4.2750951760269572E-2</v>
      </c>
      <c r="L16" s="134">
        <f t="shared" si="5"/>
        <v>4.567960578076511E-2</v>
      </c>
      <c r="M16" s="243" t="s">
        <v>156</v>
      </c>
      <c r="N16" s="244">
        <v>757087</v>
      </c>
      <c r="O16" s="149">
        <f t="shared" si="6"/>
        <v>0</v>
      </c>
      <c r="P16" s="138">
        <f t="shared" si="7"/>
        <v>45425220</v>
      </c>
      <c r="Q16" s="123">
        <f t="shared" si="8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3"/>
        <v>0</v>
      </c>
      <c r="K17" s="134">
        <f t="shared" si="4"/>
        <v>0</v>
      </c>
      <c r="L17" s="134">
        <f t="shared" si="5"/>
        <v>0</v>
      </c>
      <c r="M17" s="123" t="s">
        <v>149</v>
      </c>
      <c r="N17" s="138"/>
      <c r="O17" s="149"/>
      <c r="P17" s="138">
        <f t="shared" si="7"/>
        <v>0</v>
      </c>
      <c r="Q17" s="123">
        <f t="shared" si="8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9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3"/>
        <v>5.5699827755684647E-2</v>
      </c>
      <c r="K18" s="134">
        <f t="shared" si="4"/>
        <v>1.2920318210095623E-2</v>
      </c>
      <c r="L18" s="134">
        <f t="shared" si="5"/>
        <v>1.3384370631384297E-2</v>
      </c>
      <c r="M18" s="158" t="s">
        <v>292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-74189.67769150075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-73602.891942499205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3"/>
        <v>7.6059758980185313E-2</v>
      </c>
      <c r="K19" s="134">
        <f t="shared" si="4"/>
        <v>2.5768863776553796E-2</v>
      </c>
      <c r="L19" s="134">
        <f t="shared" si="5"/>
        <v>2.6170714420721275E-2</v>
      </c>
      <c r="M19" s="160" t="s">
        <v>293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2420027.9136025696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2190222.3139427262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3"/>
        <v>5.8007317184497744E-3</v>
      </c>
      <c r="K20" s="134">
        <f t="shared" si="4"/>
        <v>2.6953431859377216E-3</v>
      </c>
      <c r="L20" s="134">
        <f t="shared" si="5"/>
        <v>2.7484911163310186E-3</v>
      </c>
      <c r="M20" s="123" t="s">
        <v>146</v>
      </c>
      <c r="N20" s="138">
        <v>75934</v>
      </c>
      <c r="O20" s="149">
        <f t="shared" ref="O20:O28" si="10">N20-C20</f>
        <v>0</v>
      </c>
      <c r="P20" s="138">
        <f t="shared" si="7"/>
        <v>12195000.4</v>
      </c>
      <c r="Q20" s="123">
        <f t="shared" si="8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11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1297758.6982125086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1336749.1175869717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3"/>
        <v>2.8921919411661239E-4</v>
      </c>
      <c r="K21" s="134">
        <f t="shared" si="4"/>
        <v>1.3438735351700443E-4</v>
      </c>
      <c r="L21" s="134">
        <f t="shared" si="5"/>
        <v>1.3703726086376639E-4</v>
      </c>
      <c r="M21" s="123" t="s">
        <v>157</v>
      </c>
      <c r="N21" s="138">
        <v>3786</v>
      </c>
      <c r="O21" s="149">
        <f t="shared" si="10"/>
        <v>0</v>
      </c>
      <c r="P21" s="138">
        <f t="shared" si="7"/>
        <v>361184.4</v>
      </c>
      <c r="Q21" s="123">
        <f t="shared" si="8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11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25246455.421058252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25908831.037530459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3"/>
        <v>6.5450166123425784E-3</v>
      </c>
      <c r="K22" s="134">
        <f t="shared" si="4"/>
        <v>3.0411794208337001E-3</v>
      </c>
      <c r="L22" s="134">
        <f t="shared" si="5"/>
        <v>3.1011466981048369E-3</v>
      </c>
      <c r="M22" s="162" t="s">
        <v>295</v>
      </c>
      <c r="N22" s="163">
        <f>SUM(S22:Z22)</f>
        <v>85677</v>
      </c>
      <c r="O22" s="149">
        <f t="shared" si="10"/>
        <v>0</v>
      </c>
      <c r="P22" s="138">
        <f t="shared" si="7"/>
        <v>4390946.25</v>
      </c>
      <c r="Q22" s="123">
        <f t="shared" si="8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11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2222801.0578479804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2344360.7093656687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3"/>
        <v>2.5211266180012976E-2</v>
      </c>
      <c r="K23" s="134">
        <f t="shared" si="4"/>
        <v>1.1714559094506843E-2</v>
      </c>
      <c r="L23" s="134">
        <f t="shared" si="5"/>
        <v>1.1945551783894708E-2</v>
      </c>
      <c r="M23" s="123" t="s">
        <v>147</v>
      </c>
      <c r="N23" s="138">
        <v>330026</v>
      </c>
      <c r="O23" s="149">
        <f t="shared" si="10"/>
        <v>0</v>
      </c>
      <c r="P23" s="138">
        <f t="shared" si="7"/>
        <v>33002600</v>
      </c>
      <c r="Q23" s="123">
        <f t="shared" si="8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11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4793694.4895566516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4811804.0768148098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3"/>
        <v>2.1882418952642265E-3</v>
      </c>
      <c r="K24" s="134">
        <f t="shared" si="4"/>
        <v>1.0167791181971981E-3</v>
      </c>
      <c r="L24" s="134">
        <f t="shared" si="5"/>
        <v>1.0368284039732141E-3</v>
      </c>
      <c r="M24" s="123" t="s">
        <v>148</v>
      </c>
      <c r="N24" s="138">
        <v>28645</v>
      </c>
      <c r="O24" s="149">
        <f t="shared" si="10"/>
        <v>0</v>
      </c>
      <c r="P24" s="138">
        <f t="shared" si="7"/>
        <v>2165562</v>
      </c>
      <c r="Q24" s="123">
        <f t="shared" si="8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11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3"/>
        <v>5.9585570895657067E-6</v>
      </c>
      <c r="K25" s="134">
        <f t="shared" si="4"/>
        <v>2.7686776477354319E-6</v>
      </c>
      <c r="L25" s="134">
        <f t="shared" si="5"/>
        <v>2.8232716184294185E-6</v>
      </c>
      <c r="M25" s="123" t="s">
        <v>163</v>
      </c>
      <c r="N25" s="138">
        <v>78</v>
      </c>
      <c r="O25" s="149">
        <f t="shared" si="10"/>
        <v>0</v>
      </c>
      <c r="P25" s="138">
        <f t="shared" si="7"/>
        <v>3689.3999999999996</v>
      </c>
      <c r="Q25" s="123">
        <f t="shared" si="8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11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3"/>
        <v>1.090431225742036E-2</v>
      </c>
      <c r="K26" s="134">
        <f t="shared" si="4"/>
        <v>5.0667510870903978E-3</v>
      </c>
      <c r="L26" s="134">
        <f t="shared" si="5"/>
        <v>5.1666594533057953E-3</v>
      </c>
      <c r="M26" s="123" t="s">
        <v>161</v>
      </c>
      <c r="N26" s="123">
        <v>142742</v>
      </c>
      <c r="O26" s="149">
        <f t="shared" si="10"/>
        <v>0</v>
      </c>
      <c r="P26" s="138">
        <f t="shared" si="7"/>
        <v>60431253.120000005</v>
      </c>
      <c r="Q26" s="123">
        <f t="shared" si="8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11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3"/>
        <v>0</v>
      </c>
      <c r="K27" s="134">
        <f t="shared" si="4"/>
        <v>0</v>
      </c>
      <c r="L27" s="134">
        <f t="shared" si="5"/>
        <v>0</v>
      </c>
      <c r="M27" s="123" t="s">
        <v>149</v>
      </c>
      <c r="O27" s="149">
        <f t="shared" si="10"/>
        <v>0</v>
      </c>
      <c r="P27" s="138">
        <f t="shared" si="7"/>
        <v>0</v>
      </c>
      <c r="Q27" s="123">
        <f t="shared" si="8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11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3"/>
        <v>0</v>
      </c>
      <c r="K28" s="140">
        <f t="shared" si="4"/>
        <v>0</v>
      </c>
      <c r="L28" s="140">
        <f t="shared" si="5"/>
        <v>0</v>
      </c>
      <c r="M28" s="123" t="s">
        <v>149</v>
      </c>
      <c r="O28" s="149">
        <f t="shared" si="10"/>
        <v>0</v>
      </c>
      <c r="P28" s="138">
        <f t="shared" si="7"/>
        <v>0</v>
      </c>
      <c r="Q28" s="123">
        <f t="shared" si="8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28172293.753228396</v>
      </c>
      <c r="E29" s="142">
        <f>SUM(E12:E28)</f>
        <v>27627522.442701165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9.3698270570963679E-2</v>
      </c>
      <c r="E30" s="146">
        <f>SUMPRODUCT(E12:E28,$H$12:$H$28)/E29</f>
        <v>9.4952032922386728E-2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1.5906904987054743E-2</v>
      </c>
      <c r="E31" s="146">
        <f>SUM(E21:E24)/E29</f>
        <v>1.6220564146836525E-2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622657993.09082103</v>
      </c>
      <c r="E32" s="123">
        <f>SUMPRODUCT(E12:E28,$I$12:$I$28)</f>
        <v>618917904.12527752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22.353421951960478</v>
      </c>
      <c r="E33" s="123">
        <f>E32*[1]Energiindhold!$C$10</f>
        <v>22.219152758097465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2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10853879.88663437</v>
      </c>
      <c r="E39" s="130">
        <f>SUMIFS('Resultater - Vestdanmark'!J$3:J$504,'Resultater - Vestdanmark'!$F$3:$F$504,$A39)*D3</f>
        <v>10391250.072657285</v>
      </c>
      <c r="F39" s="131">
        <f>VLOOKUP(A39,[1]Biogasudbytte!$A$2:$C$18,3,FALSE)</f>
        <v>0.05</v>
      </c>
      <c r="G39" s="132">
        <f t="shared" ref="G39:G55" si="13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1572695.883390849</v>
      </c>
      <c r="M39" s="130">
        <f>SUMIFS('Resultater - Østdanmark'!J$3:J$504,'Resultater - Østdanmark'!$F$3:$F$504,$A39)*D3</f>
        <v>1505662.1579788346</v>
      </c>
      <c r="N39" s="131">
        <f>VLOOKUP(I39,[1]Biogasudbytte!$A$2:$C$18,3,FALSE)</f>
        <v>0.05</v>
      </c>
      <c r="O39" s="132">
        <f t="shared" ref="O39:O55" si="14">I12</f>
        <v>12</v>
      </c>
    </row>
    <row r="40" spans="1:15" hidden="1" x14ac:dyDescent="0.2">
      <c r="A40" s="124" t="str">
        <f t="shared" si="12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9348117.6321617663</v>
      </c>
      <c r="E40" s="133">
        <f>SUMIFS('Resultater - Vestdanmark'!J$3:J$504,'Resultater - Vestdanmark'!$F$3:$F$504,$A40)*D4</f>
        <v>9169492.6818358731</v>
      </c>
      <c r="F40" s="134">
        <f>VLOOKUP(A40,[1]Biogasudbytte!$A$2:$C$18,3,FALSE)</f>
        <v>7.5999999999999998E-2</v>
      </c>
      <c r="G40" s="135">
        <f t="shared" si="13"/>
        <v>14.1</v>
      </c>
      <c r="I40" s="124" t="str">
        <f t="shared" ref="I40:I55" si="15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664408.20431967056</v>
      </c>
      <c r="M40" s="133">
        <f>SUMIFS('Resultater - Østdanmark'!J$3:J$504,'Resultater - Østdanmark'!$F$3:$F$504,$A40)*D4</f>
        <v>651712.6128473935</v>
      </c>
      <c r="N40" s="134">
        <f>VLOOKUP(I40,[1]Biogasudbytte!$A$2:$C$18,3,FALSE)</f>
        <v>7.5999999999999998E-2</v>
      </c>
      <c r="O40" s="135">
        <f t="shared" si="14"/>
        <v>14.1</v>
      </c>
    </row>
    <row r="41" spans="1:15" hidden="1" x14ac:dyDescent="0.2">
      <c r="A41" s="124" t="str">
        <f t="shared" si="12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6006.7628175927466</v>
      </c>
      <c r="E41" s="133">
        <f>SUMIFS('Resultater - Vestdanmark'!J$3:J$504,'Resultater - Vestdanmark'!$F$3:$F$504,$A41)*D5</f>
        <v>6203.1828401873436</v>
      </c>
      <c r="F41" s="134">
        <f>VLOOKUP(A41,[1]Biogasudbytte!$A$2:$C$18,3,FALSE)</f>
        <v>6.3E-2</v>
      </c>
      <c r="G41" s="135">
        <f t="shared" si="13"/>
        <v>13.1</v>
      </c>
      <c r="I41" s="124" t="str">
        <f t="shared" si="15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504.14538611005531</v>
      </c>
      <c r="M41" s="133">
        <f>SUMIFS('Resultater - Østdanmark'!J$3:J$504,'Resultater - Østdanmark'!$F$3:$F$504,$A41)*D5</f>
        <v>520.63084610535827</v>
      </c>
      <c r="N41" s="134">
        <f>VLOOKUP(I41,[1]Biogasudbytte!$A$2:$C$18,3,FALSE)</f>
        <v>6.3E-2</v>
      </c>
      <c r="O41" s="135">
        <f t="shared" si="14"/>
        <v>13.1</v>
      </c>
    </row>
    <row r="42" spans="1:15" hidden="1" x14ac:dyDescent="0.2">
      <c r="A42" s="124" t="str">
        <f t="shared" si="12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1497865.6247316466</v>
      </c>
      <c r="E42" s="133">
        <f>SUMIFS('Resultater - Vestdanmark'!J$3:J$504,'Resultater - Vestdanmark'!$F$3:$F$504,$A42)*D6</f>
        <v>1554136.2730559006</v>
      </c>
      <c r="F42" s="134">
        <f>VLOOKUP(A42,[1]Biogasudbytte!$A$2:$C$18,3,FALSE)</f>
        <v>0.06</v>
      </c>
      <c r="G42" s="135">
        <f t="shared" si="13"/>
        <v>13.9</v>
      </c>
      <c r="I42" s="124" t="str">
        <f t="shared" si="15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1267572.2425659813</v>
      </c>
      <c r="M42" s="133">
        <f>SUMIFS('Resultater - Østdanmark'!J$3:J$504,'Resultater - Østdanmark'!$F$3:$F$504,$A42)*D6</f>
        <v>1326833.4967577588</v>
      </c>
      <c r="N42" s="134">
        <f>VLOOKUP(I42,[1]Biogasudbytte!$A$2:$C$18,3,FALSE)</f>
        <v>0.06</v>
      </c>
      <c r="O42" s="135">
        <f t="shared" si="14"/>
        <v>13.9</v>
      </c>
    </row>
    <row r="43" spans="1:15" hidden="1" x14ac:dyDescent="0.2">
      <c r="A43" s="124" t="str">
        <f t="shared" si="12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1061170.3273835385</v>
      </c>
      <c r="E43" s="133">
        <f>SUMIFS('Resultater - Vestdanmark'!J$3:J$504,'Resultater - Vestdanmark'!$F$3:$F$504,$A43)*D7</f>
        <v>1111191.0910754299</v>
      </c>
      <c r="F43" s="134">
        <f>VLOOKUP(A43,[1]Biogasudbytte!$A$2:$C$18,3,FALSE)</f>
        <v>0.3</v>
      </c>
      <c r="G43" s="135">
        <f t="shared" si="13"/>
        <v>60</v>
      </c>
      <c r="I43" s="124" t="str">
        <f t="shared" si="15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143222.04383687259</v>
      </c>
      <c r="M43" s="133">
        <f>SUMIFS('Resultater - Østdanmark'!J$3:J$504,'Resultater - Østdanmark'!$F$3:$F$504,$A43)*D7</f>
        <v>150823.24280639994</v>
      </c>
      <c r="N43" s="134">
        <f>VLOOKUP(I43,[1]Biogasudbytte!$A$2:$C$18,3,FALSE)</f>
        <v>0.3</v>
      </c>
      <c r="O43" s="135">
        <f t="shared" si="14"/>
        <v>60</v>
      </c>
    </row>
    <row r="44" spans="1:15" hidden="1" x14ac:dyDescent="0.2">
      <c r="A44" s="125" t="str">
        <f t="shared" si="12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3"/>
        <v>15.822453396634783</v>
      </c>
      <c r="I44" s="125" t="str">
        <f t="shared" si="15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4"/>
        <v>15.822453396634783</v>
      </c>
    </row>
    <row r="45" spans="1:15" hidden="1" x14ac:dyDescent="0.2">
      <c r="A45" s="124" t="str">
        <f t="shared" si="12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3"/>
        <v>94.9</v>
      </c>
      <c r="I45" s="124" t="str">
        <f t="shared" si="15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4"/>
        <v>94.9</v>
      </c>
    </row>
    <row r="46" spans="1:15" hidden="1" x14ac:dyDescent="0.2">
      <c r="A46" s="124" t="str">
        <f t="shared" si="12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508461.98144503916</v>
      </c>
      <c r="E46" s="133">
        <f>SUMIFS('Resultater - Vestdanmark'!J$3:J$504,'Resultater - Vestdanmark'!$F$3:$F$504,$A46)/SUMIFS('Resultater - Danmark'!J$3:J$504,'Resultater - Danmark'!$F$3:$F$504,$A46)*E19</f>
        <v>505095.54922592157</v>
      </c>
      <c r="F46" s="134">
        <f>VLOOKUP(A46,[1]Biogasudbytte!$A$2:$C$18,3,FALSE)</f>
        <v>0.42</v>
      </c>
      <c r="G46" s="135">
        <f t="shared" si="13"/>
        <v>102.595</v>
      </c>
      <c r="I46" s="124" t="str">
        <f t="shared" si="15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217506.01855496093</v>
      </c>
      <c r="M46" s="133">
        <f>SUMIFS('Resultater - Østdanmark'!J$3:J$504,'Resultater - Østdanmark'!$F$3:$F$504,$A46)/SUMIFS('Resultater - Danmark'!J$3:J$504,'Resultater - Danmark'!$F$3:$F$504,$A46)*E19</f>
        <v>217936.45077407858</v>
      </c>
      <c r="N46" s="134">
        <f>VLOOKUP(I46,[1]Biogasudbytte!$A$2:$C$18,3,FALSE)</f>
        <v>0.42</v>
      </c>
      <c r="O46" s="135">
        <f t="shared" si="14"/>
        <v>102.595</v>
      </c>
    </row>
    <row r="47" spans="1:15" hidden="1" x14ac:dyDescent="0.2">
      <c r="A47" s="124" t="str">
        <f t="shared" si="12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53138.892747161146</v>
      </c>
      <c r="D47" s="133">
        <f>SUMIFS('Resultater - Vestdanmark'!I$3:I$504,'Resultater - Vestdanmark'!$F$3:$F$504,$A47)/SUMIFS('Resultater - Danmark'!I$3:I$504,'Resultater - Danmark'!$F$3:$F$504,$A47)*D20</f>
        <v>56757.88331613881</v>
      </c>
      <c r="E47" s="133">
        <f>SUMIFS('Resultater - Vestdanmark'!J$3:J$504,'Resultater - Vestdanmark'!$F$3:$F$504,$A47)/SUMIFS('Resultater - Danmark'!J$3:J$504,'Resultater - Danmark'!$F$3:$F$504,$A47)*E20</f>
        <v>56035.402394015458</v>
      </c>
      <c r="F47" s="134">
        <f>VLOOKUP(A47,[1]Biogasudbytte!$A$2:$C$18,3,FALSE)</f>
        <v>0.85</v>
      </c>
      <c r="G47" s="135">
        <f t="shared" si="13"/>
        <v>160.6</v>
      </c>
      <c r="I47" s="124" t="str">
        <f t="shared" si="15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22795.107252838847</v>
      </c>
      <c r="L47" s="133">
        <f>SUMIFS('Resultater - Østdanmark'!I$3:I$504,'Resultater - Østdanmark'!$F$3:$F$504,$A47)/SUMIFS('Resultater - Danmark'!I$3:I$504,'Resultater - Danmark'!$F$3:$F$504,$A47)*D20</f>
        <v>19176.116683861201</v>
      </c>
      <c r="M47" s="133">
        <f>SUMIFS('Resultater - Østdanmark'!J$3:J$504,'Resultater - Østdanmark'!$F$3:$F$504,$A47)/SUMIFS('Resultater - Danmark'!J$3:J$504,'Resultater - Danmark'!$F$3:$F$504,$A47)*E20</f>
        <v>19898.597605984571</v>
      </c>
      <c r="N47" s="134">
        <f>VLOOKUP(I47,[1]Biogasudbytte!$A$2:$C$18,3,FALSE)</f>
        <v>0.85</v>
      </c>
      <c r="O47" s="135">
        <f t="shared" si="14"/>
        <v>160.6</v>
      </c>
    </row>
    <row r="48" spans="1:15" hidden="1" x14ac:dyDescent="0.2">
      <c r="A48" s="124" t="str">
        <f t="shared" si="12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2840.1853290986264</v>
      </c>
      <c r="D48" s="133">
        <f>SUMIFS('Resultater - Vestdanmark'!I$3:I$504,'Resultater - Vestdanmark'!$F$3:$F$504,$A48)/SUMIFS('Resultater - Danmark'!I$3:I$504,'Resultater - Danmark'!$F$3:$F$504,$A48)*D21</f>
        <v>2914.9101192356643</v>
      </c>
      <c r="E48" s="133">
        <f>SUMIFS('Resultater - Vestdanmark'!J$3:J$504,'Resultater - Vestdanmark'!$F$3:$F$504,$A48)/SUMIFS('Resultater - Danmark'!J$3:J$504,'Resultater - Danmark'!$F$3:$F$504,$A48)*E21</f>
        <v>2890.4979416445458</v>
      </c>
      <c r="F48" s="134">
        <f>VLOOKUP(A48,[1]Biogasudbytte!$A$2:$C$18,3,FALSE)</f>
        <v>0.31</v>
      </c>
      <c r="G48" s="135">
        <f t="shared" si="13"/>
        <v>95.4</v>
      </c>
      <c r="I48" s="124" t="str">
        <f t="shared" si="15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945.81467090137289</v>
      </c>
      <c r="L48" s="133">
        <f>SUMIFS('Resultater - Østdanmark'!I$3:I$504,'Resultater - Østdanmark'!$F$3:$F$504,$A48)/SUMIFS('Resultater - Danmark'!I$3:I$504,'Resultater - Danmark'!$F$3:$F$504,$A48)*D21</f>
        <v>871.08988076433457</v>
      </c>
      <c r="M48" s="133">
        <f>SUMIFS('Resultater - Østdanmark'!J$3:J$504,'Resultater - Østdanmark'!$F$3:$F$504,$A48)/SUMIFS('Resultater - Danmark'!J$3:J$504,'Resultater - Danmark'!$F$3:$F$504,$A48)*E21</f>
        <v>895.50205835545398</v>
      </c>
      <c r="N48" s="134">
        <f>VLOOKUP(I48,[1]Biogasudbytte!$A$2:$C$18,3,FALSE)</f>
        <v>0.31</v>
      </c>
      <c r="O48" s="135">
        <f t="shared" si="14"/>
        <v>95.4</v>
      </c>
    </row>
    <row r="49" spans="1:15" hidden="1" x14ac:dyDescent="0.2">
      <c r="A49" s="124" t="str">
        <f t="shared" si="12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75746.163899662715</v>
      </c>
      <c r="D49" s="133">
        <f>SUMIFS('Resultater - Vestdanmark'!I$3:I$504,'Resultater - Vestdanmark'!$F$3:$F$504,$A49)/SUMIFS('Resultater - Danmark'!I$3:I$504,'Resultater - Danmark'!$F$3:$F$504,$A49)*D22</f>
        <v>67006.096493213583</v>
      </c>
      <c r="E49" s="133">
        <f>SUMIFS('Resultater - Vestdanmark'!J$3:J$504,'Resultater - Vestdanmark'!$F$3:$F$504,$A49)/SUMIFS('Resultater - Danmark'!J$3:J$504,'Resultater - Danmark'!$F$3:$F$504,$A49)*E22</f>
        <v>66543.89398922697</v>
      </c>
      <c r="F49" s="134">
        <f>VLOOKUP(A49,[1]Biogasudbytte!$A$2:$C$18,3,FALSE)</f>
        <v>0.28000000000000003</v>
      </c>
      <c r="G49" s="135">
        <f t="shared" si="13"/>
        <v>51.25</v>
      </c>
      <c r="I49" s="124" t="str">
        <f t="shared" si="15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9930.836100337272</v>
      </c>
      <c r="L49" s="133">
        <f>SUMIFS('Resultater - Østdanmark'!I$3:I$504,'Resultater - Østdanmark'!$F$3:$F$504,$A49)/SUMIFS('Resultater - Danmark'!I$3:I$504,'Resultater - Danmark'!$F$3:$F$504,$A49)*D22</f>
        <v>18670.90350678641</v>
      </c>
      <c r="M49" s="133">
        <f>SUMIFS('Resultater - Østdanmark'!J$3:J$504,'Resultater - Østdanmark'!$F$3:$F$504,$A49)/SUMIFS('Resultater - Danmark'!J$3:J$504,'Resultater - Danmark'!$F$3:$F$504,$A49)*E22</f>
        <v>19133.106010773055</v>
      </c>
      <c r="N49" s="134">
        <f>VLOOKUP(I49,[1]Biogasudbytte!$A$2:$C$18,3,FALSE)</f>
        <v>0.28000000000000003</v>
      </c>
      <c r="O49" s="135">
        <f t="shared" si="14"/>
        <v>51.25</v>
      </c>
    </row>
    <row r="50" spans="1:15" hidden="1" x14ac:dyDescent="0.2">
      <c r="A50" s="124" t="str">
        <f t="shared" si="12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314821.43493156106</v>
      </c>
      <c r="D50" s="133">
        <f>SUMIFS('Resultater - Vestdanmark'!I$3:I$504,'Resultater - Vestdanmark'!$F$3:$F$504,$A50)/SUMIFS('Resultater - Danmark'!I$3:I$504,'Resultater - Danmark'!$F$3:$F$504,$A50)*D23</f>
        <v>255215.75389295255</v>
      </c>
      <c r="E50" s="133">
        <f>SUMIFS('Resultater - Vestdanmark'!J$3:J$504,'Resultater - Vestdanmark'!$F$3:$F$504,$A50)/SUMIFS('Resultater - Danmark'!J$3:J$504,'Resultater - Danmark'!$F$3:$F$504,$A50)*E23</f>
        <v>253140.58627511252</v>
      </c>
      <c r="F50" s="134">
        <f>VLOOKUP(A50,[1]Biogasudbytte!$A$2:$C$18,3,FALSE)</f>
        <v>0.3</v>
      </c>
      <c r="G50" s="135">
        <f t="shared" si="13"/>
        <v>100</v>
      </c>
      <c r="I50" s="124" t="str">
        <f t="shared" si="15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15204.565068438918</v>
      </c>
      <c r="L50" s="133">
        <f>SUMIFS('Resultater - Østdanmark'!I$3:I$504,'Resultater - Østdanmark'!$F$3:$F$504,$A50)/SUMIFS('Resultater - Danmark'!I$3:I$504,'Resultater - Danmark'!$F$3:$F$504,$A50)*D23</f>
        <v>74810.246107047482</v>
      </c>
      <c r="M50" s="133">
        <f>SUMIFS('Resultater - Østdanmark'!J$3:J$504,'Resultater - Østdanmark'!$F$3:$F$504,$A50)/SUMIFS('Resultater - Danmark'!J$3:J$504,'Resultater - Danmark'!$F$3:$F$504,$A50)*E23</f>
        <v>76885.413724887418</v>
      </c>
      <c r="N50" s="134">
        <f>VLOOKUP(I50,[1]Biogasudbytte!$A$2:$C$18,3,FALSE)</f>
        <v>0.3</v>
      </c>
      <c r="O50" s="135">
        <f t="shared" si="14"/>
        <v>100</v>
      </c>
    </row>
    <row r="51" spans="1:15" hidden="1" x14ac:dyDescent="0.2">
      <c r="A51" s="124" t="str">
        <f t="shared" si="12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4101.0489241972273</v>
      </c>
      <c r="D51" s="133">
        <f>SUMIFS('Resultater - Vestdanmark'!I$3:I$504,'Resultater - Vestdanmark'!$F$3:$F$504,$A51)/SUMIFS('Resultater - Danmark'!I$3:I$504,'Resultater - Danmark'!$F$3:$F$504,$A51)*D24</f>
        <v>21927.581361856195</v>
      </c>
      <c r="E51" s="133">
        <f>SUMIFS('Resultater - Vestdanmark'!J$3:J$504,'Resultater - Vestdanmark'!$F$3:$F$504,$A51)/SUMIFS('Resultater - Danmark'!J$3:J$504,'Resultater - Danmark'!$F$3:$F$504,$A51)*E24</f>
        <v>21730.211139686518</v>
      </c>
      <c r="F51" s="134">
        <f>VLOOKUP(A51,[1]Biogasudbytte!$A$2:$C$18,3,FALSE)</f>
        <v>0.2</v>
      </c>
      <c r="G51" s="135">
        <f t="shared" si="13"/>
        <v>75.599999999999994</v>
      </c>
      <c r="I51" s="124" t="str">
        <f t="shared" si="15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24543.951075802775</v>
      </c>
      <c r="L51" s="133">
        <f>SUMIFS('Resultater - Østdanmark'!I$3:I$504,'Resultater - Østdanmark'!$F$3:$F$504,$A51)/SUMIFS('Resultater - Danmark'!I$3:I$504,'Resultater - Danmark'!$F$3:$F$504,$A51)*D24</f>
        <v>6717.4186381438076</v>
      </c>
      <c r="M51" s="133">
        <f>SUMIFS('Resultater - Østdanmark'!J$3:J$504,'Resultater - Østdanmark'!$F$3:$F$504,$A51)/SUMIFS('Resultater - Danmark'!J$3:J$504,'Resultater - Danmark'!$F$3:$F$504,$A51)*E24</f>
        <v>6914.7888603134843</v>
      </c>
      <c r="N51" s="134">
        <f>VLOOKUP(I51,[1]Biogasudbytte!$A$2:$C$18,3,FALSE)</f>
        <v>0.2</v>
      </c>
      <c r="O51" s="135">
        <f t="shared" si="14"/>
        <v>75.599999999999994</v>
      </c>
    </row>
    <row r="52" spans="1:15" hidden="1" x14ac:dyDescent="0.2">
      <c r="A52" s="124" t="str">
        <f t="shared" si="12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3"/>
        <v>47.3</v>
      </c>
      <c r="I52" s="124" t="str">
        <f t="shared" si="15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4"/>
        <v>47.3</v>
      </c>
    </row>
    <row r="53" spans="1:15" hidden="1" x14ac:dyDescent="0.2">
      <c r="A53" s="125" t="str">
        <f t="shared" si="12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3"/>
        <v>423.36</v>
      </c>
      <c r="I53" s="125" t="str">
        <f t="shared" si="15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4"/>
        <v>423.36</v>
      </c>
    </row>
    <row r="54" spans="1:15" hidden="1" x14ac:dyDescent="0.2">
      <c r="A54" s="124" t="str">
        <f t="shared" si="12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3"/>
        <v>25</v>
      </c>
      <c r="I54" s="124" t="str">
        <f t="shared" si="15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4"/>
        <v>25</v>
      </c>
    </row>
    <row r="55" spans="1:15" ht="12.75" hidden="1" thickBot="1" x14ac:dyDescent="0.25">
      <c r="A55" s="139" t="str">
        <f t="shared" si="12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3"/>
        <v>25</v>
      </c>
      <c r="I55" s="139" t="str">
        <f t="shared" si="15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4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10411318.566934858</v>
      </c>
      <c r="D56" s="142">
        <f ca="1">SUM(D39:D55)</f>
        <v>23988642.085397758</v>
      </c>
      <c r="E56" s="142">
        <f ca="1">SUM(E39:E55)</f>
        <v>23449428.932891402</v>
      </c>
      <c r="F56" s="143"/>
      <c r="G56" s="143"/>
      <c r="I56" s="123" t="s">
        <v>104</v>
      </c>
      <c r="J56" s="123" t="s">
        <v>139</v>
      </c>
      <c r="K56" s="142">
        <f ca="1">SUM(K39:K55)</f>
        <v>2679098.9330651397</v>
      </c>
      <c r="L56" s="142">
        <f ca="1">SUM(L39:L55)</f>
        <v>4183651.6678306428</v>
      </c>
      <c r="M56" s="142">
        <f ca="1">SUM(M39:M55)</f>
        <v>4178093.509809772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0.13459375485410555</v>
      </c>
      <c r="D57" s="146">
        <f ca="1">SUMPRODUCT(D39:D55,$F$39:$F$55)/D56</f>
        <v>9.0942038389531812E-2</v>
      </c>
      <c r="E57" s="146">
        <f ca="1">SUMPRODUCT(E39:E55,$F$39:$F$55)/E56</f>
        <v>9.2160425988568911E-2</v>
      </c>
      <c r="I57" s="145" t="s">
        <v>123</v>
      </c>
      <c r="K57" s="146">
        <f ca="1">SUMPRODUCT(K39:K55,$N$39:$N$55)/K56</f>
        <v>0.15233293996365566</v>
      </c>
      <c r="L57" s="146">
        <f ca="1">SUMPRODUCT(L39:L55,$N$39:$N$55)/L56</f>
        <v>0.10950223145351697</v>
      </c>
      <c r="M57" s="146">
        <f ca="1">SUMPRODUCT(M39:M55,$N$39:$N$55)/M56</f>
        <v>0.11061984606477554</v>
      </c>
    </row>
    <row r="58" spans="1:15" hidden="1" x14ac:dyDescent="0.2">
      <c r="A58" s="145" t="s">
        <v>160</v>
      </c>
      <c r="C58" s="146">
        <f ca="1">SUM(C48:C51)/C56</f>
        <v>3.8180450490388568E-2</v>
      </c>
      <c r="D58" s="146">
        <f ca="1">SUM(D48:D51)/D56</f>
        <v>1.4467861108258444E-2</v>
      </c>
      <c r="E58" s="146">
        <f ca="1">SUM(E48:E51)/E56</f>
        <v>1.4682881631404252E-2</v>
      </c>
      <c r="I58" s="145" t="s">
        <v>160</v>
      </c>
      <c r="K58" s="146">
        <f ca="1">SUM(K48:K51)/K56</f>
        <v>1.8896340963997331E-2</v>
      </c>
      <c r="L58" s="146">
        <f ca="1">SUM(L48:L51)/L56</f>
        <v>2.4158239298433245E-2</v>
      </c>
      <c r="M58" s="146">
        <f ca="1">SUM(M48:M51)/M56</f>
        <v>2.485076277267349E-2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352020257.59705484</v>
      </c>
      <c r="D59" s="123">
        <f ca="1">SUMPRODUCT(D39:D55,$I$12:$I$28)</f>
        <v>505656960.63475716</v>
      </c>
      <c r="E59" s="123">
        <f ca="1">SUMPRODUCT(E39:E55,$I$12:$I$28)</f>
        <v>500890849.83000374</v>
      </c>
      <c r="I59" s="123" t="s">
        <v>142</v>
      </c>
      <c r="J59" s="123" t="s">
        <v>143</v>
      </c>
      <c r="K59" s="123">
        <f ca="1">SUMPRODUCT(K39:K55,$I$12:$I$28)</f>
        <v>110817031.25294524</v>
      </c>
      <c r="L59" s="123">
        <f ca="1">SUMPRODUCT(L39:L55,$I$12:$I$28)</f>
        <v>117001032.45606402</v>
      </c>
      <c r="M59" s="123">
        <f ca="1">SUMPRODUCT(M39:M55,$I$12:$I$28)</f>
        <v>118027054.29527389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12.637527247734271</v>
      </c>
      <c r="D60" s="123">
        <f ca="1">D59*[1]Energiindhold!$C$10</f>
        <v>18.153084886787784</v>
      </c>
      <c r="E60" s="123">
        <f ca="1">E59*[1]Energiindhold!$C$10</f>
        <v>17.981981508897135</v>
      </c>
      <c r="I60" s="123" t="s">
        <v>142</v>
      </c>
      <c r="J60" s="123" t="s">
        <v>122</v>
      </c>
      <c r="K60" s="123">
        <f ca="1">K59*[1]Energiindhold!$C$10</f>
        <v>3.9783314219807346</v>
      </c>
      <c r="L60" s="123">
        <f ca="1">L59*[1]Energiindhold!$C$10</f>
        <v>4.2003370651726986</v>
      </c>
      <c r="M60" s="123">
        <f ca="1">M59*[1]Energiindhold!$C$10</f>
        <v>4.2371712492003333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274</v>
      </c>
    </row>
    <row r="2" spans="1:4" ht="15.75" x14ac:dyDescent="0.25">
      <c r="A2" s="224" t="s">
        <v>311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623909.73940601887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561483.07121072372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48011.920691725383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43207.981831443096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70259.109449246753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63229.178938047015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389039.43578841945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350113.23502744088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8069.2150499893842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7261.8319003021561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33939.868192186092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30543.939652518206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51872.305654463133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46682.107442941407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105024.04342368516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94515.630592078363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3146.7111847138076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2831.8600409865621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27850.682564630642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25064.020953722124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62611.02615456815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56346.341524321346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11759.429887638771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10582.814134757033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4522.0169004115751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4069.5565030402136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109694.9188294395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98719.151233641649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12397.451002927566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11824.158471000279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1062.761606425149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1013.616561041327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1137.9870596805204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1085.3633806201497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10501.746271795293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10016.116386394353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49.117062325833871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46.845753085332873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775.43110733760068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739.57302144915673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20.343682789424093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19.402934452340897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2626.0637331851003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2504.6272599742283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44.737253203575285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42.668478488959082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791.21864877871178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754.6305031704477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1952.9609549061931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1862.6506217313402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224.38166373606674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214.00563304306942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368.51743073956908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351.476162266063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40667.094971784412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38786.535666730793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6829.6764788402734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6513.8532890673114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393.24746020858441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375.06260655732041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509.2376538265151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485.68909179985542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11744.627821749295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11201.523645021003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13.650927813648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13.019671036138266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722.54761223276046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689.13500588673674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7.81367517821608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7.4523491584141794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971.70700105983565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926.7725732651611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27.846169827307591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26.558485673443656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492.48461375505457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469.71075878372255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1566.9213854799195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1494.4625930877842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139.66369115457903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133.20525456939615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329.67947330545348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314.43417974219551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31481.370371455621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30025.584458324727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97373.196323482727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119102.46965075957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7493.1899345467373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9165.3294793970217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10965.294538321748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13412.250077767547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60717.137377383391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74266.443793699596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1259.3572621370715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1540.3885849125784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5296.973648491472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6479.017502049317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8095.677761101183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9902.2652151693892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16391.035678841039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20048.770125592382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491.10521379926485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600.69758445169498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4346.6383193354177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5316.6105053349966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9771.6630414643932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11952.25426273483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1835.286745469635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2244.8393619181579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705.74830237637309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863.23925822065132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17120.016233496339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20940.42601925732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1934.8622952545911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2508.1548271818774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165.86452817039898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215.00957355422085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177.60491682875178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230.22859588912263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1639.0008632281672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2124.6307486291057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7.6656686866908359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9.9369779271918226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121.0210398734984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156.87912576194233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3.1750256376557835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4.1157739747389783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409.84809708669195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531.28457029756362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6.9821146618296694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9.0508893764458662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123.48499142789146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160.07313703615557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304.79737446512843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395.1077076399813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35.01910358886591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45.395134281863214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57.514281098083039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74.555549571589111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6346.8876545559488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8227.4469596095623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1065.9032654837422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1381.7264552567024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61.373881073016072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79.558734724280086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79.476396839976346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103.024958866636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1832.9765964579826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2376.0807731862733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2.1304916240953529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2.7617484016050868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112.76754641782966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146.18015276385327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1.2194753168314114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1.5808013366333109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151.6536938070264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196.58812160170083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4.3459340192907803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5.6336181731547148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76.861760528245512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99.635615499577497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244.54842432345563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317.00721671559063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21.797223474992101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28.255660060174939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51.452865775995633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66.698159339253593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4913.2774568167742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6369.0633699476693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190174.15207493372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177761.24151833868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14634.530814874721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13679.31623886233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21415.704421878378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20017.87395651362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118583.25035158051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110843.16967255903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2459.5803417061084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2299.0403815945601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10345.22343108295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9669.9774434609044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15811.216143862219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14779.197808860414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32012.416450807639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29922.925014832817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959.15016801528964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896.54520768805401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8489.1765698018808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7935.0771387784034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19084.489401980361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17838.820327711393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3584.3960536589798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3350.4379309170949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1378.3575978842866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1288.3904315219554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33436.147663246578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31253.727466954875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1752.9487519585884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1671.8875379951853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47.402536309570174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45.21051150912762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191.46624906280843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182.61231847030859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562.99099727781993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536.95673150774724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10.662439786194978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10.169378986833362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18.127123488677832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17.288875003652265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50.643369270114505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48.301479361669905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53.993646777040333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51.496830741107829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11.647539532185737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11.108924987344778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83.169081452753318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79.323112368232927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603.80358732362868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575.88203415259386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18.25162816502359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17.407622238317295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38.736771764982237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36.945475960821213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4383.0738282155862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4180.3883332692003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1053.0573109296802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1004.3610190947816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19.126993325199422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18.242508084727771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93.430886843548848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89.110383405696865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686.58489509283288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654.83530456830886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3.2314797199590726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3.0820471317528724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18.419048913328059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17.567300986700172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21.211111456389141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20.230250811006982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21.786516121482823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20.77904716788824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7.9057923278821436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7.5402065554945299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56.451191622853806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53.840731894629357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528.28027242495364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503.85112687929109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12.388331588802384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11.815460763886664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37.789605201644072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36.042109007348387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3393.0422285443651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3236.1385416752614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29680.358994353821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37706.930019041538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2284.0019190844941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2901.6731415768577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3342.3353722006718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4246.2156877453126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18507.212482616615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23512.187506300404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383.86514003505738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487.67523245945216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1614.5724430013856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2051.2073364917069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2467.64645019815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3134.9813533946331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4996.1574807618863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6347.2871243584768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149.69395685787757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190.17625617625387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1324.9003895066519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1683.1981809529948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2978.5041263206344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3783.9921907266594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559.41441299880034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710.69895504302008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215.11939388945515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273.29494001980873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5218.3583058246104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6629.5785535964887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273.58159712648495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354.6428110898878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7.3980837014936114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9.5901085019361609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29.882015749686865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38.735946342186679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87.865646973995027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113.89991274406761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1.6640801978454596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2.1571409972070765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2.8290886369612802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3.6673371219868445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7.9038784410005301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10.245768349445131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8.4267541212721913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10.923570157204692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1.8178240888382367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2.3564386336791951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12.9801456602563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16.826114744776682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94.235241952242646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122.15679512327748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2.8485200026337401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3.6925259293400323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6.0456233390434706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7.8369191432044989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684.06354544405099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886.74904039043645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164.34998494278247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213.04627677768096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2.9851376865918176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3.8696229270634666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14.581699102750399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18.902202540602364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107.15486802026872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138.90445854479279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0.50433498519592468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0.65376757340212444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2.8746492523691192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3.7263971789970061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3.3104046781647791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4.291265323546936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3.4002077183817128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4.4076766719762936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1.2338519818081959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1.5994377541958094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8.8103015827575319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11.420761310981984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82.448366216611277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106.87751176227387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1.9334390340905452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2.5063098590062625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5.8977996557479182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7.6452958500435964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529.54994318322474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686.45363005232821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7721242.9104568008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1118785.8228364463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872711.48954319966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126453.37716355374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877744.4345664084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62384.816555521953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236226.76543359147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16789.583444478048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14232454.554315863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13551675.866315866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1194524.6573685941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1137387.1533685941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2787012.6456841351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3467791.3336841348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233912.94263140604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291050.44663140603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71707.313690362935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71550.78203220162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7217.4816980013857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70777.518187249036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69948.268258409589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6990.0561217203385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11639.37596331086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11350.15350256764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1179.1902511511241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11354.902093696954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11353.658233830032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1142.0335206411876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312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10853879.88663437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9348117.6321617663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6006.7628175927466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1497865.6247316466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508461.98144503916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1061170.3273835385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56757.88331613881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2914.9101192356643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67006.096493213583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255215.75389295255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21927.581361856195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10391250.072657285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9169492.6818358731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6203.1828401873436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1554136.2730559006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505095.54922592157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1111191.0910754299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56035.402394015458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2890.4979416445458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66543.89398922697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253140.58627511252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21730.211139686518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1572695.883390849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664408.20431967056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504.14538611005531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1267572.2425659813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217506.01855496093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143222.04383687259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19176.116683861201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871.08988076433457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18670.90350678641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74810.246107047482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6717.4186381438076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1505662.1579788346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651712.6128473935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520.63084610535827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1326833.4967577588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217936.45077407858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150823.24280639994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19898.597605984571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895.50205835545398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19133.106010773055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76885.413724887418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6914.7888603134843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4574649.0044539375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618468.71483434096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51598.780380153592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1433600.0178498654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4525643.0291759707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171279.2848730098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9790151.9274066389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1212571.3389336092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31532.588010093863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3862742.0312364982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4574649.0044539375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618468.71483434096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51598.780380153592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1433600.0178498654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4525643.0291759707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171279.2848730098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9790151.9274066389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1212571.3389336092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31532.588010093863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3862742.0312364982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561497.65842248674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75911.558427530035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6333.2934029920762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175961.7081777011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555482.60888742993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21023.015601598698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1201654.4608093714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148832.39497031379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3870.3459684951581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474117.38114065683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561497.65842248686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75911.55842753005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6333.293402992078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175961.70817770113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555482.60888743005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21023.015601598701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1201654.4608093717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148832.39497031382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3870.345968495159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474117.381140657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1709437.3149926052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118556.88830175188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154484.73733408173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2216416.4234337742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613849.80345809902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710590.59860996436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35689.952707147801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42074.872472772768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647113.13697101502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178652.82429017409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1510220.2350540829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117909.49204158342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155048.14004123484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2272415.0469047958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710655.3500452661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680002.07888864272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36816.239923422349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43487.487569771387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628553.38840354723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186678.59731643874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1205986.6540704854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1038679.7369068626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667.41809084363831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401728.76679519669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19633758.54900625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754340.44222441351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1154583.3414063647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1018832.5202039856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689.24253779859362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420665.19876426988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19033053.068458591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666631.0841294959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174743.98704342762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73823.133813296707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56.016154012228355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54219.773738244621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3424154.0812072256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352512.12657962355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167295.79533098158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72412.512538599258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57.847871789484238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57097.370490994261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3391207.3391966592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337366.10305839882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370490.27594297461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368467.16262994817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111531.10220983687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115050.74976069485</v>
      </c>
      <c r="G397" s="168">
        <v>1</v>
      </c>
    </row>
    <row r="398" spans="1:7" x14ac:dyDescent="0.25">
      <c r="A398" t="s">
        <v>313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313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313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313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313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313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309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310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309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310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309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310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309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310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309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310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309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310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675226.59815047972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2384663.9131430849</v>
      </c>
      <c r="F14">
        <f>E14-D14</f>
        <v>1709437.3149926052</v>
      </c>
      <c r="G14">
        <f t="shared" si="3"/>
        <v>1709437.3149926052</v>
      </c>
      <c r="H14">
        <f t="shared" si="1"/>
        <v>710590.59860996436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118556.88830175188</v>
      </c>
      <c r="F15">
        <f t="shared" si="2"/>
        <v>118556.88830175188</v>
      </c>
      <c r="G15">
        <f t="shared" si="3"/>
        <v>118556.88830175188</v>
      </c>
      <c r="H15">
        <f t="shared" si="1"/>
        <v>35689.952707147801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154484.73733408173</v>
      </c>
      <c r="F16">
        <f t="shared" si="2"/>
        <v>154484.73733408173</v>
      </c>
      <c r="G16">
        <f t="shared" si="3"/>
        <v>154484.73733408173</v>
      </c>
      <c r="H16">
        <f t="shared" si="1"/>
        <v>42074.872472772768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2216416.4234337742</v>
      </c>
      <c r="F17">
        <f t="shared" ca="1" si="2"/>
        <v>2216416.4234337742</v>
      </c>
      <c r="G17">
        <f t="shared" ca="1" si="3"/>
        <v>2216416.4234337742</v>
      </c>
      <c r="H17">
        <f t="shared" ca="1" si="1"/>
        <v>647113.13697101502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95087.675111391232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805678.2737213556</v>
      </c>
      <c r="F20">
        <f t="shared" si="2"/>
        <v>710590.59860996436</v>
      </c>
      <c r="G20">
        <f t="shared" si="3"/>
        <v>710590.59860996436</v>
      </c>
      <c r="H20">
        <f t="shared" si="1"/>
        <v>1709437.3149926052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35689.952707147801</v>
      </c>
      <c r="F21">
        <f t="shared" si="2"/>
        <v>35689.952707147801</v>
      </c>
      <c r="G21">
        <f t="shared" si="3"/>
        <v>35689.952707147801</v>
      </c>
      <c r="H21">
        <f t="shared" si="1"/>
        <v>118556.88830175188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42074.872472772768</v>
      </c>
      <c r="F22">
        <f t="shared" si="2"/>
        <v>42074.872472772768</v>
      </c>
      <c r="G22">
        <f t="shared" si="3"/>
        <v>42074.872472772768</v>
      </c>
      <c r="H22">
        <f t="shared" si="1"/>
        <v>154484.73733408173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647113.13697101502</v>
      </c>
      <c r="F23">
        <f t="shared" ca="1" si="2"/>
        <v>647113.13697101502</v>
      </c>
      <c r="G23">
        <f t="shared" ca="1" si="3"/>
        <v>647113.13697101502</v>
      </c>
      <c r="H23">
        <f t="shared" ca="1" si="1"/>
        <v>2216416.4234337742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674504.11722835642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2184724.3522824394</v>
      </c>
      <c r="F26">
        <f t="shared" si="2"/>
        <v>1510220.2350540829</v>
      </c>
      <c r="G26">
        <f t="shared" si="3"/>
        <v>1510220.2350540829</v>
      </c>
      <c r="H26">
        <f t="shared" si="1"/>
        <v>680002.07888864272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117909.49204158342</v>
      </c>
      <c r="F27">
        <f t="shared" si="2"/>
        <v>117909.49204158342</v>
      </c>
      <c r="G27">
        <f t="shared" si="3"/>
        <v>117909.49204158342</v>
      </c>
      <c r="H27">
        <f t="shared" si="1"/>
        <v>36816.239923422349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155048.14004123484</v>
      </c>
      <c r="F28">
        <f t="shared" si="2"/>
        <v>155048.14004123484</v>
      </c>
      <c r="G28">
        <f t="shared" si="3"/>
        <v>155048.14004123484</v>
      </c>
      <c r="H28">
        <f t="shared" si="1"/>
        <v>43487.487569771387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2272415.0469047958</v>
      </c>
      <c r="F29">
        <f t="shared" ca="1" si="2"/>
        <v>2272415.0469047958</v>
      </c>
      <c r="G29">
        <f t="shared" ca="1" si="3"/>
        <v>2272415.0469047958</v>
      </c>
      <c r="H29">
        <f t="shared" ca="1" si="1"/>
        <v>628553.38840354723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95810.156033514621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775812.23492215737</v>
      </c>
      <c r="F32">
        <f t="shared" si="2"/>
        <v>680002.07888864272</v>
      </c>
      <c r="G32">
        <f t="shared" si="3"/>
        <v>680002.07888864272</v>
      </c>
      <c r="H32">
        <f t="shared" si="1"/>
        <v>1510220.2350540829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36816.239923422349</v>
      </c>
      <c r="F33">
        <f t="shared" si="2"/>
        <v>36816.239923422349</v>
      </c>
      <c r="G33">
        <f t="shared" si="3"/>
        <v>36816.239923422349</v>
      </c>
      <c r="H33">
        <f t="shared" si="1"/>
        <v>117909.49204158342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43487.487569771387</v>
      </c>
      <c r="F34">
        <f t="shared" si="2"/>
        <v>43487.487569771387</v>
      </c>
      <c r="G34">
        <f t="shared" si="3"/>
        <v>43487.487569771387</v>
      </c>
      <c r="H34">
        <f t="shared" si="1"/>
        <v>155048.14004123484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628553.38840354723</v>
      </c>
      <c r="F35">
        <f t="shared" ca="1" si="2"/>
        <v>628553.38840354723</v>
      </c>
      <c r="G35">
        <f t="shared" ca="1" si="3"/>
        <v>628553.38840354723</v>
      </c>
      <c r="H35">
        <f t="shared" ca="1" si="1"/>
        <v>2272415.0469047958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8">
        <f>SUMIF($F$3:$F$494,"Roer",I3:I494)</f>
        <v>4923583.0761439931</v>
      </c>
      <c r="O3" s="168">
        <f>SUMIF($F$3:$F$494,"Roer",J3:J494)</f>
        <v>4893003.8959338032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-896341.4211295367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-894384.7754025202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16495.353129706862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161760.04387599882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4123.8382824267155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40440.010968999704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-115479.70716802217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-1132440.2909959846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-103931.73645121994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-1019196.261896386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169063.38706954411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58521.941677919131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-34974.134129204795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-1065212.1994780661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7765.9061267444959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3882.9530633722488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-87375.701521504234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-48930.392852042372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11179450.521719089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10702943.763836339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12059866.540704856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11545833.414063649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1545987.8753404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1480092.5373921432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126364.07464315755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120978.00174055072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-6899366479.4311991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-6605291672.6084795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-529870.57138021174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-507285.65921701177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903477.64426614856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864968.30946007557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250001.99508437468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412474.2353108211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270982.38903804816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447089.44687999511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8287.7479220134319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13673.82082462027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-452503691.13680112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-746578497.95952106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-30547.05385711979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-50399.088521119782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65181.298474246374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107541.56676092674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320710.24991141836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305215.91139179375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9306493.1916532889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8856872.5263272319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182381.20793873124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173569.90185730331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3483702.3515116847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3315395.7147551631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39686.364587318778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37769.014057677145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-2414589993.7588573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-2297934929.6948571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-10099.220944102173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-9611.3015585021712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2611702.7463139286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2485524.6572905863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19991.394030461786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24638.981899308401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1080304.1774153388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1331452.6757126269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8919.2373366675656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10992.77653969144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412642.87678260863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508573.85715239123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8247.3986537220499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10164.749183363683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-501786607.84114248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-618441671.90514243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-2530.0165101234074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-3118.1933037234076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453873.49996140599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559389.75206455449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75949470.02073957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72316591.351941347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4834.1004940422599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4602.8717499465147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107141.30412896334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102016.43152338694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158277.5242695417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150706.6611481533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6684.6952383134503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6364.9472962665268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-263015760.16375715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-250434970.00951719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-6233.8150947903478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-5935.6340294463489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10156.003135680934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9670.2126865601167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1041493.740480428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1295897.5887379702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1840.0804143941255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2289.5536280394222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6928.640984266608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8621.0879583398764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12756.03561276813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15871.930046182108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1309.0033128596663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1628.7512549065907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-51503993.692242816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-64084783.846482813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-2299.2854326894117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-2860.9278502894113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2187.6339015735002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2722.0033956064012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4688506.9969091984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4526395.7785652485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2056610.6420093102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1850831.917865884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-99825558.304963022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-89837291.393715799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1418580.0603067866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1276640.8964502604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111796.04760086381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114384.54421676249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49039.265886152367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46771.554168873641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-1611668.6303805837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-1537140.6012300362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198256.24737469372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189088.32842095065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71852.349000698814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73515.99960574256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31517.987646306181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30060.508448789125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-682967.64788402733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-651385.3289067311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279686.82379027107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266753.32904852438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490260.64493692142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643296.85459003074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215052.52320201407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263042.47559972719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-10438406.645877348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-12767784.746561427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221396.88802475863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270802.61439854006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11690.118503466048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16256.470072018667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5127.8631206965101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6647.2299712732547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-168526.50591667491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-218460.28544754154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30941.726468882833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40109.645422625894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7513.3467827898357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10448.182974270687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3295.724835385427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4272.2358977218482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-71415.518787410721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-92575.672502199057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43650.544753394912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56584.039495141536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178329.32553102204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172163.35750594569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-1613843.0099978768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-1452366.3800604313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18346.928809189772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16511.186289343252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1302.5821038158078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1332.7417511380027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-9577.8271535376043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-9134.9218516399105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785.46504894346981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749.14296575533228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422.35893190592401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432.13812078956232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-2593.6762845931198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-2473.7374968662707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559.02862365711928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533.17758903713695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15864.094334811727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20816.1150439007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-143566.72788362612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-175604.29868003391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2863.3935135729703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3502.3728492546288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115.87710160534844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161.14059354668581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-852.03907452568637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-1104.4950966073709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122.5870307599635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158.90911394810081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37.572855271862259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52.249427331828905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-230.7322428895267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-299.09735189383088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87.247241842440587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113.09827646242299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19958.567943102735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17969.859600940184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-17077164.38427062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-15375564.381289616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3697.9288069656591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3329.4603933950734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1775.5049748228382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2172.7193881136759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-1519176.6466700858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-1859045.5115559259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577.13339761891791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706.2491743565306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1545241.6146092198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1491812.8789914188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-5090980.2288279133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-4581590.9478777312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77168.887141772459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69447.583548746465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42365.341298400272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43346.257394591979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-93051.732880512078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-88748.762573898814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12400.457271583722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11827.025721452683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46055.42030071569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47121.775526598212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-65029.285100948444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-62022.150529806306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29589.548982112399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28221.24613900893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137463.97947303986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180373.73900532606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-452891.24694602075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-553955.99642521655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12043.699149293971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14731.305601249251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3768.801170996418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5240.956575891576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-8277.8391273472898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-10730.532202116854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1935.3314816922575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2508.7630318232964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4097.0688926474822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5697.4510409432396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-5784.9751312346616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-7499.0418367856728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4618.022095474189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5986.3249385776526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20694034.653696515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19978511.530370858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-60301112.547205016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-54267551.42925334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884556.77388185076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796050.49046400562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670338.730568339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685859.579228185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-1365227.015333388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-1302095.1302312659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167940.71670343023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160174.6720003814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874618.86351881211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894869.56125816668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-1233185.9212836758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-1176159.9827272054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480962.40901614353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458721.37276106171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2519169.7676696456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3305535.5441159061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-7340701.9089256525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-8978813.0546582825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138052.21326479755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168859.19494691031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81603.084773232491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113478.5849268452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-166194.68753133615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-215437.55791099134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26210.400872789687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33976.445575838487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106470.94373240569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148060.23649907848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-150120.7832499088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-194601.0153239558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75063.497360901019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97304.533615982786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198669.48686870435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191800.23134977592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79264.908013529246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71333.882418701905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109164.43364893465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98241.744920566285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5277.1470077505037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5399.332697354941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2105.4696357053253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2008.1068779848476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16995.358795448854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16209.446249994571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2278.1171427648283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2330.8640747111231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908.9203813398658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866.88938104669285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16104.149801251846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15359.449232407831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17673.545681556996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23190.391608654725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7051.3695625908395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8624.9148742612324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17037.223748677665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20839.158013453456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469.45255751029043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652.82840795291543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187.30160516476852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242.79837706544058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2652.4548409082026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3438.367386362484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202.66024755578439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281.82265630598124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80.857136813991531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104.81480698110012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2513.3644198485545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3258.0649886925698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4518285.3117263559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4362059.7292131186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-7002761.2633525226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-6302084.5047970898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117941.76919503704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106140.84475536698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2126.4193748279954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2175.6539361013506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-2136.0866928895298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-2037.3081174957942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325.32995747754416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310.28579759418949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952.84330781266669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974.90519399455104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-586.02563836620595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-558.92618688106347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319.98323778511235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305.1863250551649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401944.5719506857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527412.67635031336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-622962.40371673589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-761979.30830728437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18407.096926393064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22514.724645077844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189.16528426938063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263.05633954679962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-190.02528441369861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-246.32907238812783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50.774039606321921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65.818199489676559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84.764500041832036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117.8749007284321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-52.132569794542832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-67.579257141074024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49.939580463572447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64.736493193519834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28639.099571212086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27648.865510172298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-440539.56585993303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-396460.40573811869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6185.4724518954326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5566.5713320744308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488.59952140396285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499.9124276723424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-6263.2154485005403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-5973.5869884542717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476.97492049732955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454.9182767749096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354.81010393622921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363.02528482173392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-3898.4637758230629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-3718.187994282112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793.66302172301653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756.96184152773253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2547.7210543407746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3342.9991935026501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-39190.196061181334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-47935.66723924526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965.36275260795776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1180.7878583188185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43.465587482121322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60.443957164019572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-557.17275001400765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-722.26097224038006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74.441172563167044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96.497816285586893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31.56374277213045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43.893057164809647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-346.80553473940427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-449.56273021774621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123.8664831590835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160.56766335436751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889585.65459409577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858827.07528886746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-3957117.8143912707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-3561179.6438413518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63323.940077826213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56987.923269015555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30327.016566325976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31029.200421988789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-98902.331097338974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-94328.812896305957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12652.926809123981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12067.820367083566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22022.804830128913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22532.715126590461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-53147.297901066311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-50689.619385410064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20168.079383186116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19235.451434830688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79137.128463601912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103840.00092129034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-352023.37088717712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-430578.99330081802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9882.9270641694075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12088.347360094211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2697.877369686455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3751.7124146586439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-8798.3056392372655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-11405.211013826085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1974.7342418864021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2559.8406839268173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1959.1385337322772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2724.4101016695731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-4727.9590444937021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-6128.8357984177601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3147.6193256995675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4080.2472740549938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5011192.8252289798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4837924.3253014199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-16803846.947789624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-15122500.894732539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238792.57598298136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214899.65691654506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150362.27487729816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153843.72389120501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-341388.28531406302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-325601.54379664967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41995.208610634007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40053.233645980406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64910.618468653665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66413.542050012024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-97170.70010598356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-92677.257326516105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39793.048122148248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37952.907168522899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649137.75267850538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851767.88878791651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-2176729.5381500898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-2662476.6726786681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37268.205500234093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45584.775709570167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19477.564046244228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27085.819266906095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-44222.609675654057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-57325.605135107107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6554.1655057058852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8496.1404703594817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8408.3639299568149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11692.808463956662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-12587.256585983192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-16316.814092941169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6210.4757184855662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8050.6166721109175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331398.16745020711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319939.64542651793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237874.25042587353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214073.21645311025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-12295344.153618181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-11065106.314158227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159747.74141929686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143763.82801216783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6441.1888357212947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6590.3264471255488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4623.4201532780698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4409.6203774039395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-165008.12365367546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-157377.6901899217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18198.341252564318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17356.799460538223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3362.7610317964691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3440.6215263101758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2413.7558332156741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2302.1370663617699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-58562.330190049237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-55854.245556983376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20854.144759918803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19889.791245009263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28446.605703095818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37326.291966427088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20418.685657943479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24975.20858619619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-1055409.5993134684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-1290929.0699851266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24931.728429601244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30495.357457126502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552.89973532058536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768.87141883131392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396.86583396635467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514.45571069712628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-14163.992117092956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-18360.73052215753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2840.2035480880736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3681.7453401141684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288.65318683339638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401.40584473618719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207.19233597255931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268.58265774220655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-5026.8821001285041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-6516.3286483147276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3254.6931128196979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4219.046627729238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959054.33163231891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925893.78260008956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214121.57001522297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192697.16298878085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-9391653.9231852219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-8451951.2286482025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142358.33751012647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128114.35935226157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35897.747314111104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36728.91442095473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8014.6470970260507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7644.0275780884294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-263649.72891233605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-251457.83393373093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31231.154702492393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29786.939456134362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33602.193864491768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34380.210323674139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7502.1344139856974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7155.2149035123684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-188030.56625759034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-179335.5111705341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64168.085676050519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61200.775355770711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85317.029848678532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111948.97553255627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19048.155852799315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23298.838797734406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-835477.19004520553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-1021917.7394638278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22217.775218343435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27175.773195934271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3193.4470009489587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4440.8596527154359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712.97929955624807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924.23242535069198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-23454.157965091628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-30403.538102896557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4874.2264564583511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6318.4417028163807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2989.2356275984293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4156.8799754987822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667.38640827306278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865.13052924285921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-16727.112223724362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-21683.293623346395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10014.6723309443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12981.982651224092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630305.44197743817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608511.81274852925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-1293537.2876402647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-1164109.5548232736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23115.445094971714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20802.578136837416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14432.228611503813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14766.388679971789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-22438.166373606673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-21400.563304306943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2392.2887204218396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2281.6626524254539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10480.36338423961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10723.02299283639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-12569.732203912112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-11988.472911245653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3980.6518395226949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3796.5754538800256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56071.680647588284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73574.610086867615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-115072.47894094611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-140751.42799226849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3607.6128182903835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4412.6680896321786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1283.8843834164375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1785.39063130568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-1996.0889045653566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-2587.5226540662029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373.36297948780157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483.98904748418721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932.32828025114225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1296.510961861127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-1118.1975642670948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-1449.5153610869743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621.25780154400434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805.33418718667212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118234.19798149291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114146.09703649378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-542642.02804938902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-488346.78036482562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8888.9031508130938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7999.5042961899753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11562.459095204431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11830.173266516264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-44222.091688748289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-42177.139471927563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3929.0202156362775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3747.3314195374901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12067.876915532306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12347.293399632554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-39561.536796654415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-37732.101569063459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9396.4235873856196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8961.9068897030465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10518.059577659977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13801.300823503338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-48273.183882543912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-59045.565262292541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1387.2854628436623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1696.8645476766615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1028.5910143074923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1430.3754949515117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-3933.9768271088792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-5099.5995906966946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613.19968683340744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794.88848293219473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1073.5527498846368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1492.9000201373901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-3519.3760190781009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-4562.1540988049455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1466.4938546786805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1901.0105523612524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1621606.8216653448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1565537.659838706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-5484745.9414719753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-4935957.5616820827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215626.684084804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194051.67954291473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721412.14189979096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738115.53104502044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-2033354.7485892207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-1939326.7833365398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433580.13740267023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413530.18885225768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651539.44861149741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666625.02358527971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-1574068.518572781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-1501279.2229162364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897272.39659684058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855780.03143629304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253083.1455778284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332083.74602639221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-856000.811674817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-1047021.3009628661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33652.719481443404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41162.477478800101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112590.33428493848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156569.96113076189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-317344.38272779743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-411372.34798047814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67668.576357642174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87718.524908054649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101685.34747115859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141405.30803324116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-245663.87284083871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-318453.16849738348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140036.73241684798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181529.0975773955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613849.80345809902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710655.3500452661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665003.95374627388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769876.62921570498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-468707.41035023518</v>
      </c>
      <c r="I425" s="338">
        <f t="shared" ref="I425:J425" ca="1" si="0">SUMIFS(I3:I424,$F$3:$F$424,$D$425)*I423/SUM(I423:I424)</f>
        <v>-493450.63787402952</v>
      </c>
      <c r="J425" s="339">
        <f t="shared" ca="1" si="0"/>
        <v>-1425254.7542948411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2502141.5052936058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2455663.5565474145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97408.630707357341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95599.239297688866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12799.494074946755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12561.740043716316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1296795.0922933305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1272706.7760624508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1102410.4206254377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1072120.6999068451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21120.452678686721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20540.149189969037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98317.201590938494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95615.847791748558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97009.626395618849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94344.199404397878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84934.510833187902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82230.492590145455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41193.926040245511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39882.455279742353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5437.460580082532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5264.3508222216306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55888.835329455884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54109.529970176744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145303.11165081069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138927.00099994309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535.94813157761189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512.42995257070322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4116696178.6233363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4116696178.6233363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117530555.31034985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117530555.31034985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55898678.745166384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55898678.745166384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218322473.43187514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218322473.43187514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1198954994.1110687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1198954994.1110687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172712584.32801408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172712584.32801408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1628228180.8848464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1628228180.8848464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116813905.5828477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116813905.5828477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86714617.027758121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86714617.027758121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2870898808.3735456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2870898808.3735456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9115316.0605718922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8999285.6244788822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278082.42537508241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275753.50363288971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3434062.4452771964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3410374.5669478821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130246558.63961244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124695000.87188742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-138143.84213505097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-132255.674893794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131808458.6134809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129289846.81388581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-275081.02564076782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-269824.74448619323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78688.592910464984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81261.695206454198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63670219.643012308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66671465.464525796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25521575.389295254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25314058.627511252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1657725.1509563283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1642803.9621603007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52165656.986353792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51820277.872833423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20820332.183769889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21602494.19547702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2">
        <f ca="1">SUMIFS('Forbrug af biomasse'!$E$1:$E$425,'Forbrug af biomasse'!$A$1:$A$425,"Biogas",'Forbrug af biomasse'!$B$1:$B$425,$A$1,'Forbrug af biomasse'!$D$1:$D$425,I$2)*'[1]Processer - data'!I474</f>
        <v>22052758.669106159</v>
      </c>
      <c r="J474" s="283">
        <f ca="1">SUMIFS('Forbrug af biomasse'!$E$1:$E$425,'Forbrug af biomasse'!$A$1:$A$425,"Biogas",'Forbrug af biomasse'!$B$1:$B$425,$A$1,'Forbrug af biomasse'!$D$1:$D$425,J$2)*'[1]Processer - data'!J474</f>
        <v>21557060.018007066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6391729.2665735725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6119291.7094537327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8309437.8952549007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8150660.161631885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4671.9266359054682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4824.6977645901552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5624202.7351327538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5889312.7826997787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49012317.500056781</v>
      </c>
      <c r="I479" s="282">
        <f ca="1">I474*'[1]Processer - data'!I$479*Biogasanlæg!AB$3</f>
        <v>137436309.84304374</v>
      </c>
      <c r="J479" s="283">
        <f ca="1">J474*'[1]Processer - data'!J$479*Biogasanlæg!AC$3</f>
        <v>133231371.47921014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90839230.234099507</v>
      </c>
      <c r="I480" s="282">
        <f ca="1">-SUMIFS('Resultater - Vestdanmark'!I$3:I$504,'Resultater - Vestdanmark'!$F$3:$F$504,"Gødning",'Resultater - Vestdanmark'!$A$3:$A$504,"&lt;&gt;Gødning")-SUM(I475:I479)</f>
        <v>120694470.75590616</v>
      </c>
      <c r="J480" s="283">
        <f ca="1">-SUMIFS('Resultater - Vestdanmark'!J$3:J$504,'Resultater - Vestdanmark'!$F$3:$F$504,"Gødning",'Resultater - Vestdanmark'!$A$3:$A$504,"&lt;&gt;Gødning")-SUM(J475:J479)</f>
        <v>106660973.46071935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17.668413036653398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15.609343878960981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4.1494910905613152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4.1268322214554196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2.8425191669471035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2.8528857767587206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32.123784145847409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32.935404053473235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12.632072947607</v>
      </c>
      <c r="I489" s="282">
        <f ca="1">SUM(I455:I473)*'[1]Processer - data'!$H$489</f>
        <v>18.13825011403463</v>
      </c>
      <c r="J489" s="283">
        <f ca="1">SUM(J455:J473)*'[1]Processer - data'!$H$489</f>
        <v>17.967546821841395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185245.1379714873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184233.58131497409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118556.88830175188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117909.49204158342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2252973.7408705982</v>
      </c>
      <c r="N3" s="168">
        <f>SUMIF($F$3:$F$494,"Roer",I3:I494)</f>
        <v>1508318.1394402247</v>
      </c>
      <c r="O3" s="168">
        <f>SUMIF($F$3:$F$494,"Roer",J3:J494)</f>
        <v>1557006.906908574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-145492.19954138575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-141876.91878209551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2695.0064321232421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25951.312053987709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673.75160803081053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6487.8280134969273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-18867.044018417986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-181678.43349915126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-16980.339616576184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-163510.59014923612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27441.535929812693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9498.9932064736258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-5676.8291169150161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-172899.99538946876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1268.7916892879302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634.39584464396523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-14275.419008014846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-7994.2346444883133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1619870.1291811671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1550825.6746305928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1747439.8704342765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1672957.9533098161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224009.18314141617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214461.13877310805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18309.789870119137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17529.363444725979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-999698298.99885452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-957087707.86189473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-76776.717177954502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-73504.228560354517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130911.30422612706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125331.41270768401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36224.567861015261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59766.326756290277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39264.566418903487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64781.971051799803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1200.8707647098604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1981.2971901030198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-65566479.42514535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-108177070.56210533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-4426.1799791952308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-7302.6825311952289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9444.5821084449508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15582.462778732337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22794.163449276428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21692.918681289459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661449.78842651786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629493.44484708668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12962.563762711534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12336.308907816358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247600.69511628913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235638.46756389324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2820.6690661142875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2684.3952757559205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-171614592.91035649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-163323449.74235648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-717.79212848296538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-683.11374128296541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185624.18661968777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176656.20388227972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1420.8685354930128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1751.1912412893646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76781.549706449339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94631.680538906046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633.92596198919023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781.30070765217795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29328.183873637823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36146.383313793289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586.17569284488786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722.44948320325477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-35663986.289643541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-43955129.457643531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-179.81841826711027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-221.62250146711023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32258.609590036394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39758.072727427665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6374410.9849512335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6069504.8192194803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405.72427013864109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386.31732699607659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8992.3301083624119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8562.2014422302946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13284.174189749368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12648.754442470523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561.0440039478965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534.20767719482114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-22074815.668171618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-21018914.594251622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-523.2017999274442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-498.17557317544419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852.38959447123887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811.61738138779606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87412.185210291747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108764.20629093802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154.43726998364264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192.16139089876592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581.51828036235077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723.56473019319401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1070.6093605689982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1332.1252302502314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109.86416487898698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136.70049163206232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-4322711.179828384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-5378612.2537483834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-192.97817767090999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-240.11661847090997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183.60730587631363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228.45674026810067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1429105.5040805461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1433022.2485000871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626876.22950838739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585959.21485606441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-30427864.331989396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-28441798.642934188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432397.89841410023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404174.73359746928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15807.50285438189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16173.505665057821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6933.9511736563081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6613.3060326779805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-227883.33775461648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-217345.37993937408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28032.620683186826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26736.314524426736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11078.80316982528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11335.318897605612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4859.7100345183553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4634.9835589336908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-105305.73109296802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-100436.10190947815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43124.481148638362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41130.285488585716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149436.52351917388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203662.85895349723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65550.236946859717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83277.233868937648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-3181734.4841947295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-4042182.898041253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67484.065070408717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85734.034399463184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1652.9348360449044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2298.5982293673087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725.05882503724069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939.89106949271911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-23828.957109716841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-30889.388845929232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4375.033285815286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5671.3394445753684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1158.4713834805743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1610.9892615081917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508.16274291582118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658.72948155754591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-11011.448991166426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-14274.100544104624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6730.4103526776635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8724.6060127303044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54356.625856239647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54505.600869196773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-491916.06834122166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-459808.07631891203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5592.3339693151429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5227.3151662531754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282.76738450634605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289.31450699939148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-2079.1757583080207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-1983.0289024325054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170.51047827254712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162.62560066456805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99.981799158956548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102.29675173848246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-613.98114679222374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-585.58895503304575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132.33456984649141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126.21505216572879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4835.5403001591212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6590.2226505483359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-43760.625963996536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-55594.976500377539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872.79200677172753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1108.8244292052191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25.154855766200381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34.980754028108237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-184.96251399052281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-239.76622183956653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26.611461926929326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34.496339534908373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8.8943346188227839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12.368607255652877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-54.61947889671864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-70.803028199450068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20.653372172573807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26.772889853336412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6070.7214776899573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5675.1265860720905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-5194295.9485457521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-4855812.7961976072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1124.7848991677165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1051.4889718360309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540.04857538525096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686.17439631598904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-462082.16559606418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-587111.91081298352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175.54446403195573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223.04311523794598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471005.6523383949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472296.53587015747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-1551783.5146624425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-1450496.6165191357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23521.876245631913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21986.573246908512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990.36750794385637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1013.2982196981856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-2175.2548186413396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-2074.6650004382718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289.88341859260265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276.47840501606606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1174.0361809811022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1201.219509431693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-1657.7144021995252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-1581.0570888030154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754.29126163837566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719.41074086897106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41900.445025941619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57104.94479157358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-138045.94387661846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-175378.22727004092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3671.0442695494903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4663.8185675260474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88.102635533271382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122.51696656350789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-193.50966276815154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-250.84585914390013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45.241920820810819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58.646934397347358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104.44171575317434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145.23835886765016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-147.46950664653579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-191.16417528254641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117.72175759674072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152.60227836614536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6307756.1459814962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6325043.7910252353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-18380403.804494981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-17180691.29924665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269622.06840250688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252023.49055873268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35936.372929728066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36768.434364031891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-73188.829646116588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-69804.375096007134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9003.179960112735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8586.8479388358446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51129.768415755148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52313.613778413965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-72091.413984747458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-68757.706979672424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28116.814781173754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26816.615253720633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767869.04297323886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1046507.2454241755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-2237521.989148349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-2842623.469511719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42079.744779582004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53459.528300337246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4374.6821612720996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6083.5045947761864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-8909.5766031630956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-11549.451152248455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1405.1205718095021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1821.4525930863913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6224.236548183836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8655.5251887921277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-8775.9836908600082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-11376.27515481853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4388.1734051542853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5688.3729326074072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60556.517749486411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60722.484784309876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24160.76512144462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22583.761027254041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33274.45028457306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31102.584283353674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235.37748365531598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240.82735270682102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93.910619514131341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89.567931906541432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758.04687290627828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722.9926822516527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110.80435550829287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113.3698907433492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44.208585753622167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42.164258088714782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783.28278482250096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747.0616155821541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5387.0798159803235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7341.9004330120124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2149.3304925955649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2730.5820151134421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5193.122298748397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6597.5178782871426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20.939072100897761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29.118216281824715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8.3542452851010474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10.829577221427281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118.30789345936137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153.36208411398692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9.8571042270094082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13.70745042624131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3.9327753453655787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5.0980421143627872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122.24644618617069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158.46761542651754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1377220.1709949747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1380994.7134649477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-2134514.1794213997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-1995191.7041961558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35949.873089394714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33603.378813959382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5293.4880442848644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5416.0520900000693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-5317.5537733620231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-5071.6553329753397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809.87328310737632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772.42249544923175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2586.6017132162474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2646.491216691737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-1590.8333592291856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-1517.2688108255236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868.63095355671726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828.46304818993258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122516.869546894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166974.81535530731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-189885.3943427476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-241236.81514371699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5610.6738347610244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7127.9894453853231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470.90624856383846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654.84993451819003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-473.0471246938817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-613.20923571429103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126.39640834623793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163.84719600438248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230.1028922913182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319.9848471090919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-141.51979999154429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-183.45159258163147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135.56668061289807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175.73458597968269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8729.4942411541961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8753.4191352623147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-134281.02352214055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-125516.32907632756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1885.3960828403881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1762.3338649484901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127.2090223121897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130.15438693672888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-1630.6555345060033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-1555.249498228269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124.18250662536892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118.43996296639233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100.73396143707008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103.06632938639916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-1106.8109259035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-1055.6289177692342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225.3284766621083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214.90866271241543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776.57177093273447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1058.3679499908071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-11945.577757258628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-15176.065242865059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294.25256784214145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373.82839559513428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11.31645579991098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15.736848602349943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-145.06236228929129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-188.04380296759976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19.381084849046019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25.123628508022612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8.9612466272630531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12.461656189446442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-98.461388148294034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-127.63513278482559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35.166872080213437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45.586686029906303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271154.92334118381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271898.07668416318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-1206170.5042926839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-1127442.2101347649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19301.792951348078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18041.940196003099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3187.8294513369001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3261.6396255239879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-10396.135181594165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-9915.389046029115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1330.0145314169347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1268.5109692704866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2524.3703880597795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2582.819003614567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-6092.0244292996404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-5810.3123169620849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2311.7719460194639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2204.8691970705872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24121.816590871786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32874.94927181246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-107300.37029516997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-136318.01267993066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3012.4185531005674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3827.0782233945974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283.58783385014385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394.36188199517301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-924.83537829326133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-1198.8606755653386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207.57452224426149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269.07808439070931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224.56682238289022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312.28629770976124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-541.94367610937263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-702.51958014177922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360.79677770245979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467.69952665133667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1527463.4874736806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1531649.8012717401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-5121986.6321292222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-4787668.0023732511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72786.450973800223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68035.586064915173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3091.5500852944588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3163.1310320756588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-7019.1740810152432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-6694.5879963440175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863.44989704439536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823.5215781059261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1455.3525231168544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1489.0493770027558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-2178.6516121482823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-2077.9047167888239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892.19474953925908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850.93718886692341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197863.91187448081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269663.19228450936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-663489.71344517847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-842919.73011480563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11359.73512307865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14431.790983466855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400.47189255172731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556.90276655635091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-909.24676968526933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-1178.6532199623862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134.7580764173334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174.68639535580252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188.52283261877869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262.16293576927308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-282.21724062568217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-365.83716377403238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139.24426726913293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180.5018279414686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101013.59461711594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101290.44221995892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72506.535830436711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67773.941341585611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-3747748.273828716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-3503127.9423898836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48692.766519758341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45514.527263958909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1083.7296042953458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1108.8219977517138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777.89014124472283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741.91834280566036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-27762.606114107224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-26478.786178194747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3061.8697367012819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2920.2803847150949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616.97272988911175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631.25795604595646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442.85678096765122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422.37785468012976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-10744.551987008117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-10247.694091655139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3826.1531225001299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3649.2211861995452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8670.8201159778728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11817.218258995204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6223.8269195490475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7906.9598231849859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-321699.77957431471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-408698.25994548638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7599.4491100200885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9654.5966923549186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93.025344646161201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129.36256640436665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66.772650852509457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86.557139993993729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-2383.0907560375276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-3089.1917207893875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477.86406295337923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619.45341493956573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52.959797912446881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73.646761538694932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38.014006921211688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49.277416379348473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-922.29246824896279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-1195.5643106930997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597.14528501447114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774.077221315055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292329.69577555696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293130.8827427373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65266.472771150577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61006.44647413036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-2862673.4102970543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-2675823.0491567091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43392.296059618711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40560.025301702532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11098.628751714377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11355.603515862538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2477.9157290165494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2363.3300305649173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-81513.48428868987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-77744.074610600175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9655.8424264707883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9209.3294818941049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11328.823700605051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11591.128338742388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2529.3097973610966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2412.3474945929538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-63393.632690994433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-60462.135225514932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21633.972256718655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20633.557354673863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26005.514554831338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35442.188549803694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5806.075236693684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7376.2339827812166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-254662.1028004142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-323531.33230712934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6772.2080555474295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8603.6417306641742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987.32888143863761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1372.9956978270159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220.43423739632777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285.74808551375816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-7251.4018682250708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-9399.9653847362006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1506.9811879463082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1953.4941325229918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1007.8069176434207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1401.4727900479434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225.00622995021553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291.6747425280571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-5639.468249216211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-7310.4218045395319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3376.4002944011777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4376.8151964459712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192123.62847612135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192650.18102773294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-394283.56590248778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-368548.17240088043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7045.8271335145691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6585.9369694133738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1173.9447235743173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1201.1259344438934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-1825.162816502359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-1740.7622238317294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194.59328120447103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185.59474796958216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929.62040242373098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951.14459149287632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-1114.9498429922146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-1063.3914687497997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353.08844066711117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336.76065150331408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17091.229145939349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23293.15825153498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-35075.28369502478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-44560.824481197356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1099.637760721927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1397.0169329058672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104.43357974455924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145.22704480094345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-162.36564015012317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-210.47397797238182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30.370049667749818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39.368582902638643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82.698601117348062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115.00202788050234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-99.18542244884496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-128.57369576702126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55.106288427815031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71.43407759161208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36039.008412974523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36137.780396347523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-165402.91174611441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-154606.85178263465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2709.4297665419317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2532.5818143648698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1215.3898341091012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1243.5306542910553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-4648.4126117978685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-4433.4571152985454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412.99962134128094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393.90137295555706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1383.2838899177418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1415.3120854105096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-4534.7526241972882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-4325.0530808818066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1077.0677777251983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1027.2611752870387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3206.013522980797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4369.3861751947461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-14714.166542038731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-18693.373897354915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422.85898090538819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537.21432425921478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108.12051761236455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150.35416092791846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-413.52063639057332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-536.04526939518769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64.456588301818414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83.554836687542391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123.05629517823145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171.12409759963427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-403.40949645315754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-522.93823614298196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168.09728322878817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217.90388566694759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494282.55856805464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495637.23703470384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-1671807.383162329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-1562686.3733477436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65725.247132055942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61435.276044718827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77753.345320381952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79553.626059779548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-219153.69141077931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-209019.41666346003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46730.993546559053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44570.022746718168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70222.510539305498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71848.424288419978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-169652.11142721825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-161806.92708376306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96707.452573943272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92235.431645668432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77142.364632008524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105135.17149220991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-260917.91529123051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-331478.92767982441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10257.697529280407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13031.725221607025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12134.915165608745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16875.011588438083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-34203.177272202549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-44337.452019521821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7293.2764494629737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9454.2472493038549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10959.582569718201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15240.574849058785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-26477.497159161238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-34322.681502616411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15093.070632927565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19565.091561202396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178652.82429017409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186678.59731643874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193540.55964768861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202235.14709280862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-137192.91374803972</v>
      </c>
      <c r="I425" s="338">
        <f t="shared" ref="I425:J425" ca="1" si="0">SUMIFS(I3:I424,$F$3:$F$424,$D$425)*I423/SUM(I423:I424)</f>
        <v>-137983.70525936465</v>
      </c>
      <c r="J425" s="339">
        <f t="shared" ca="1" si="0"/>
        <v>-282762.73484830488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177837.22990030446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174533.85571503793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6923.221974748174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6794.6212719421637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909.71136748191009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892.81323513320024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92168.427114874314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90456.37389070644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159736.08962264023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155347.1964728414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3060.2926630894976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2976.2083616824511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14245.87887682287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13854.46050441212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14056.415003223578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13670.202321642862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6036.6362564051497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5844.4508372651044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2927.8175036130328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2834.6060179118035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386.46212662561334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374.15852199671258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3972.2436306328855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3845.7812640674751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12195.236527675561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11660.091914249606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44.981928858219973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43.008056775021096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505288004.05960792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505288004.05960804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14425834.973481953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14425834.973481957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6861067.8532414157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6861067.8532414176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26797150.446657356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26797150.44665736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147161109.21119085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147161109.21119091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21198940.418348476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21198940.41834848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199850591.82774997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199850591.82775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14337872.565107062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14337872.565107064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10643451.413361685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10643451.413361687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352377407.94980913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352377407.94980925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3079684.3394281087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3195714.7755211219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83101.974624917522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85430.896367110312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956883.80472280353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980571.6830521191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18872350.600690186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18067945.895746015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-20016.644196433852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-19163.465749854124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9368155.6809073556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9189147.8411482479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-19551.111515712801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-19177.526537353628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6604.3045580417247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6820.2640839801934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8593322.6302123554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9049394.5683839954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7481024.610704748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7688541.3724887418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507836.8490436718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522758.03783969936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22315029.973646216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22359190.167166591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17619254.17166714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18442985.604932848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2">
        <f ca="1">SUMIFS('Forbrug af biomasse'!$E$1:$E$425,'Forbrug af biomasse'!$A$1:$A$425,"Biogas",'Forbrug af biomasse'!$B$1:$B$425,$A$1,'Forbrug af biomasse'!$D$1:$D$425,I$2)*'[1]Processer - data'!I474</f>
        <v>3846030.9782367097</v>
      </c>
      <c r="J474" s="283">
        <f ca="1">SUMIFS('Forbrug af biomasse'!$E$1:$E$425,'Forbrug af biomasse'!$A$1:$A$425,"Biogas",'Forbrug af biomasse'!$B$1:$B$425,$A$1,'Forbrug af biomasse'!$D$1:$D$425,J$2)*'[1]Processer - data'!J474</f>
        <v>3840921.3635681234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926143.13133016636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886667.71525420237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590585.07050637365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579300.10030879406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392.11307808559849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404.93510252638964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759076.83233542473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799363.18687391968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12612124.648502612</v>
      </c>
      <c r="I479" s="282">
        <f ca="1">I474*'[1]Processer - data'!I$479*Biogasanlæg!AB$3</f>
        <v>23969078.568450578</v>
      </c>
      <c r="J479" s="283">
        <f ca="1">J474*'[1]Processer - data'!J$479*Biogasanlæg!AC$3</f>
        <v>23738451.374376614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60331183.954713687</v>
      </c>
      <c r="I480" s="282">
        <f ca="1">-SUMIFS('Resultater - Østdanmark'!I$3:I$504,'Resultater - Østdanmark'!$F$3:$F$504,"Gødning",'Resultater - Østdanmark'!$A$3:$A$504,"&lt;&gt;Gødning")-SUM(I475:I479)</f>
        <v>56401940.252739772</v>
      </c>
      <c r="J480" s="283">
        <f ca="1">-SUMIFS('Resultater - Østdanmark'!J$3:J$504,'Resultater - Østdanmark'!$F$3:$F$504,"Gødning",'Resultater - Østdanmark'!$A$3:$A$504,"&lt;&gt;Gødning")-SUM(J475:J479)</f>
        <v>53978576.489343807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7.3445268136421529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7.0283697976017798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1.249148344750173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1.2885683973197821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0.77417765349901879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0.80016977128379341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9.3789788372862635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9.1099818426426022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3.9778547832368667</v>
      </c>
      <c r="I489" s="282">
        <f ca="1">SUM(I455:I473)*'[1]Processer - data'!$H$489</f>
        <v>4.1989165827426325</v>
      </c>
      <c r="J489" s="283">
        <f ca="1">SUM(J455:J473)*'[1]Processer - data'!$H$489</f>
        <v>4.2357948075772223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55765.551104918435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57525.374880347423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35689.952707147801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36816.239923422349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10416099.753436631</v>
      </c>
      <c r="O3" s="98">
        <f ca="1">SUMIF($F$3:$F$509,$L$3,J$3:J$509)</f>
        <v>7816436.438535071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1109014.829074967</v>
      </c>
      <c r="O4" s="98">
        <f t="shared" si="0"/>
        <v>1113423.7517074186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3283459.0424850588</v>
      </c>
      <c r="O5" s="98">
        <f t="shared" si="0"/>
        <v>3261328.6859648484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13379.633937601986</v>
      </c>
      <c r="O6" s="98">
        <f t="shared" si="0"/>
        <v>13432.290203822415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5575.3915677842497</v>
      </c>
      <c r="O7" s="98">
        <f>SUMIFS(J$3:J$509,$F$3:$F$509,$L$3,$C$3:$C$509,$L7)+SUMIFS(J$3:J$509,$F$3:$F$509,$L$3,$C$3:$C$509,"",$A$3:$A$509,"Grøntsager I drivhus")</f>
        <v>5310.2416548255815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1210890.6378442696</v>
      </c>
      <c r="O8" s="98">
        <f>SUMIFS(J$3:J$509,$F$3:$F$509,$L$3,$C$3:$C$509,$L8)</f>
        <v>1205315.2462764853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2392228.9190607881</v>
      </c>
      <c r="O9" s="98">
        <f>SUMIFS(J$3:J$509,$F$3:$F$509,$L$3,$C$3:$C$509,$L9)</f>
        <v>2386653.5274930028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1724360.8435879257</v>
      </c>
      <c r="I11" s="276">
        <f>'Resultater - Vestdanmark'!I11+'Resultater - Østdanmark'!I11</f>
        <v>1631856.7815804055</v>
      </c>
      <c r="J11" s="277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2113570.8536589644</v>
      </c>
      <c r="I12" s="276">
        <f>'Resultater - Vestdanmark'!I12+'Resultater - Østdanmark'!I12</f>
        <v>2000187.4571203692</v>
      </c>
      <c r="J12" s="277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-561900</v>
      </c>
      <c r="I13" s="276">
        <f>'Resultater - Vestdanmark'!I13+'Resultater - Østdanmark'!I13</f>
        <v>-531756.63839717361</v>
      </c>
      <c r="J13" s="277">
        <f>'Resultater - Vestdanmark'!J13+'Resultater - Østdanmark'!J13</f>
        <v>-481032.62804968352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-1262292.3418714062</v>
      </c>
      <c r="I14" s="276">
        <f>'Resultater - Vestdanmark'!I14+'Resultater - Østdanmark'!I14</f>
        <v>-1194576.1387934415</v>
      </c>
      <c r="J14" s="277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0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0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-1041833.6206709224</v>
      </c>
      <c r="J33" s="277">
        <f ca="1">'Resultater - Vestdanmark'!J33+'Resultater - Østdanmark'!J33</f>
        <v>-1036261.6941846157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19190.359561830104</v>
      </c>
      <c r="J35" s="277">
        <f ca="1">'Resultater - Vestdanmark'!J35+'Resultater - Østdanmark'!J35</f>
        <v>187711.35592998652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4797.5898904575261</v>
      </c>
      <c r="J36" s="277">
        <f ca="1">'Resultater - Vestdanmark'!J36+'Resultater - Østdanmark'!J36</f>
        <v>46927.838982496629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-134346.75118644015</v>
      </c>
      <c r="J37" s="277">
        <f ca="1">'Resultater - Vestdanmark'!J37+'Resultater - Østdanmark'!J37</f>
        <v>-1314118.7244951357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-120912.07606779612</v>
      </c>
      <c r="J38" s="277">
        <f ca="1">'Resultater - Vestdanmark'!J38+'Resultater - Østdanmark'!J38</f>
        <v>-1182706.8520456222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196504.92299935682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68020.934884392758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-40650.963246119813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-1238112.1948675348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9034.6978160324252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4517.3489080162144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-101651.12052951907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-56924.627496530687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12799320.650900256</v>
      </c>
      <c r="J95" s="277">
        <f>'Resultater - Vestdanmark'!J95+'Resultater - Østdanmark'!J95</f>
        <v>12253769.438466933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13807306.411139132</v>
      </c>
      <c r="J96" s="277">
        <f>'Resultater - Vestdanmark'!J96+'Resultater - Østdanmark'!J96</f>
        <v>13218791.367373465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1769997.0584818162</v>
      </c>
      <c r="J97" s="277">
        <f>'Resultater - Vestdanmark'!J97+'Resultater - Østdanmark'!J97</f>
        <v>1694553.6761652513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144673.8645132767</v>
      </c>
      <c r="J98" s="277">
        <f>'Resultater - Vestdanmark'!J98+'Resultater - Østdanmark'!J98</f>
        <v>138507.36518527669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-7899064778.4300537</v>
      </c>
      <c r="J99" s="277">
        <f>'Resultater - Vestdanmark'!J99+'Resultater - Østdanmark'!J99</f>
        <v>-7562379380.4703741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-606647.28855816624</v>
      </c>
      <c r="J100" s="277">
        <f>'Resultater - Vestdanmark'!J100+'Resultater - Østdanmark'!J100</f>
        <v>-580789.88777736633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1034388.9484922757</v>
      </c>
      <c r="J101" s="277">
        <f>'Resultater - Vestdanmark'!J101+'Resultater - Østdanmark'!J101</f>
        <v>990299.72216775955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286226.56294538995</v>
      </c>
      <c r="J102" s="277">
        <f>'Resultater - Vestdanmark'!J102+'Resultater - Østdanmark'!J102</f>
        <v>472240.56206711137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310246.95545695163</v>
      </c>
      <c r="J104" s="277">
        <f>'Resultater - Vestdanmark'!J104+'Resultater - Østdanmark'!J104</f>
        <v>511871.41793179489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9488.6186867232918</v>
      </c>
      <c r="J105" s="277">
        <f>'Resultater - Vestdanmark'!J105+'Resultater - Østdanmark'!J105</f>
        <v>15655.11801472329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-518070170.56194645</v>
      </c>
      <c r="J106" s="277">
        <f>'Resultater - Vestdanmark'!J106+'Resultater - Østdanmark'!J106</f>
        <v>-854755568.52162635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-34973.233836315019</v>
      </c>
      <c r="J107" s="277">
        <f>'Resultater - Vestdanmark'!J107+'Resultater - Østdanmark'!J107</f>
        <v>-57701.771052315009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74625.88058269133</v>
      </c>
      <c r="J108" s="277">
        <f>'Resultater - Vestdanmark'!J108+'Resultater - Østdanmark'!J108</f>
        <v>123124.02953965908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343504.41336069477</v>
      </c>
      <c r="J109" s="277">
        <f>'Resultater - Vestdanmark'!J109+'Resultater - Østdanmark'!J109</f>
        <v>326908.83007308323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9967942.9800798073</v>
      </c>
      <c r="J110" s="277">
        <f>'Resultater - Vestdanmark'!J110+'Resultater - Østdanmark'!J110</f>
        <v>9486365.9711743183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195343.77170144278</v>
      </c>
      <c r="J111" s="277">
        <f>'Resultater - Vestdanmark'!J111+'Resultater - Østdanmark'!J111</f>
        <v>185906.21076511967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3731303.0466279737</v>
      </c>
      <c r="J112" s="277">
        <f>'Resultater - Vestdanmark'!J112+'Resultater - Østdanmark'!J112</f>
        <v>3551034.1823190562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42507.033653433064</v>
      </c>
      <c r="J113" s="277">
        <f>'Resultater - Vestdanmark'!J113+'Resultater - Østdanmark'!J113</f>
        <v>40453.409333433068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-2586204586.6692138</v>
      </c>
      <c r="J114" s="277">
        <f>'Resultater - Vestdanmark'!J114+'Resultater - Østdanmark'!J114</f>
        <v>-2461258379.4372134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-10817.013072585138</v>
      </c>
      <c r="J115" s="277">
        <f>'Resultater - Vestdanmark'!J115+'Resultater - Østdanmark'!J115</f>
        <v>-10294.415299785136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2797326.9329336165</v>
      </c>
      <c r="J116" s="277">
        <f>'Resultater - Vestdanmark'!J116+'Resultater - Østdanmark'!J116</f>
        <v>2662180.8611728661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21412.262565954799</v>
      </c>
      <c r="J117" s="277">
        <f>'Resultater - Vestdanmark'!J117+'Resultater - Østdanmark'!J117</f>
        <v>26390.173140597766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1157085.7271217881</v>
      </c>
      <c r="J118" s="277">
        <f>'Resultater - Vestdanmark'!J118+'Resultater - Østdanmark'!J118</f>
        <v>1426084.3562515329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9553.1632986567565</v>
      </c>
      <c r="J119" s="277">
        <f>'Resultater - Vestdanmark'!J119+'Resultater - Østdanmark'!J119</f>
        <v>11774.077247343617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441971.06065624644</v>
      </c>
      <c r="J120" s="277">
        <f>'Resultater - Vestdanmark'!J120+'Resultater - Østdanmark'!J120</f>
        <v>544720.24046618456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8833.5743465669384</v>
      </c>
      <c r="J121" s="277">
        <f>'Resultater - Vestdanmark'!J121+'Resultater - Østdanmark'!J121</f>
        <v>10887.198666566937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-537450594.13078606</v>
      </c>
      <c r="J122" s="277">
        <f>'Resultater - Vestdanmark'!J122+'Resultater - Østdanmark'!J122</f>
        <v>-662396801.36278594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-2709.8349283905177</v>
      </c>
      <c r="J123" s="277">
        <f>'Resultater - Vestdanmark'!J123+'Resultater - Østdanmark'!J123</f>
        <v>-3339.8158051905179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486132.10955144238</v>
      </c>
      <c r="J124" s="277">
        <f>'Resultater - Vestdanmark'!J124+'Resultater - Østdanmark'!J124</f>
        <v>599147.82479198219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82323881.005690798</v>
      </c>
      <c r="J125" s="277">
        <f>'Resultater - Vestdanmark'!J125+'Resultater - Østdanmark'!J125</f>
        <v>78386096.171160832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5239.8247641809012</v>
      </c>
      <c r="J126" s="277">
        <f>'Resultater - Vestdanmark'!J126+'Resultater - Østdanmark'!J126</f>
        <v>4989.1890769425909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116133.63423732575</v>
      </c>
      <c r="J127" s="277">
        <f>'Resultater - Vestdanmark'!J127+'Resultater - Østdanmark'!J127</f>
        <v>110578.63296561723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171561.69845929107</v>
      </c>
      <c r="J128" s="277">
        <f>'Resultater - Vestdanmark'!J128+'Resultater - Østdanmark'!J128</f>
        <v>163355.41559062383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7245.7392422613466</v>
      </c>
      <c r="J129" s="277">
        <f>'Resultater - Vestdanmark'!J129+'Resultater - Østdanmark'!J129</f>
        <v>6899.1549734613482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-285090575.83192879</v>
      </c>
      <c r="J130" s="277">
        <f>'Resultater - Vestdanmark'!J130+'Resultater - Østdanmark'!J130</f>
        <v>-271453884.60376883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-6757.0168947177917</v>
      </c>
      <c r="J131" s="277">
        <f>'Resultater - Vestdanmark'!J131+'Resultater - Østdanmark'!J131</f>
        <v>-6433.8096026217927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11008.392730152173</v>
      </c>
      <c r="J132" s="277">
        <f>'Resultater - Vestdanmark'!J132+'Resultater - Østdanmark'!J132</f>
        <v>10481.830067947913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1128905.9256907196</v>
      </c>
      <c r="J133" s="277">
        <f>'Resultater - Vestdanmark'!J133+'Resultater - Østdanmark'!J133</f>
        <v>1404661.7950289082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1994.5176843777681</v>
      </c>
      <c r="J134" s="277">
        <f>'Resultater - Vestdanmark'!J134+'Resultater - Østdanmark'!J134</f>
        <v>2481.7150189381882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7510.1592646289591</v>
      </c>
      <c r="J135" s="277">
        <f>'Resultater - Vestdanmark'!J135+'Resultater - Østdanmark'!J135</f>
        <v>9344.6526885330713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13826.644973337128</v>
      </c>
      <c r="J136" s="277">
        <f>'Resultater - Vestdanmark'!J136+'Resultater - Østdanmark'!J136</f>
        <v>17204.05527643234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1418.8674777386532</v>
      </c>
      <c r="J137" s="277">
        <f>'Resultater - Vestdanmark'!J137+'Resultater - Østdanmark'!J137</f>
        <v>1765.451746538653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-55826704.872071199</v>
      </c>
      <c r="J138" s="277">
        <f>'Resultater - Vestdanmark'!J138+'Resultater - Østdanmark'!J138</f>
        <v>-69463396.1002312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-2492.2636103603218</v>
      </c>
      <c r="J139" s="277">
        <f>'Resultater - Vestdanmark'!J139+'Resultater - Østdanmark'!J139</f>
        <v>-3101.0444687603213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2371.2412074498138</v>
      </c>
      <c r="J140" s="277">
        <f>'Resultater - Vestdanmark'!J140+'Resultater - Østdanmark'!J140</f>
        <v>2950.4601358745017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8030838.3925888147</v>
      </c>
      <c r="I141" s="276">
        <f>'Resultater - Vestdanmark'!I141+'Resultater - Østdanmark'!I141</f>
        <v>6117612.5009897444</v>
      </c>
      <c r="J141" s="277">
        <f>'Resultater - Vestdanmark'!J141+'Resultater - Østdanmark'!J141</f>
        <v>5959418.0270653358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2621245.5742450082</v>
      </c>
      <c r="I142" s="276">
        <f>'Resultater - Vestdanmark'!I142+'Resultater - Østdanmark'!I142</f>
        <v>2683486.8715176973</v>
      </c>
      <c r="J142" s="277">
        <f>'Resultater - Vestdanmark'!J142+'Resultater - Østdanmark'!J142</f>
        <v>2436791.1327219484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-183300163.02627823</v>
      </c>
      <c r="I143" s="276">
        <f>'Resultater - Vestdanmark'!I143+'Resultater - Østdanmark'!I143</f>
        <v>-130253422.63695242</v>
      </c>
      <c r="J143" s="277">
        <f>'Resultater - Vestdanmark'!J143+'Resultater - Østdanmark'!J143</f>
        <v>-118279090.03664999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2604803.426450097</v>
      </c>
      <c r="I144" s="276">
        <f>'Resultater - Vestdanmark'!I144+'Resultater - Østdanmark'!I144</f>
        <v>1850977.9587208868</v>
      </c>
      <c r="J144" s="277">
        <f>'Resultater - Vestdanmark'!J144+'Resultater - Østdanmark'!J144</f>
        <v>1680815.6300477297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225935.04552207049</v>
      </c>
      <c r="I145" s="276">
        <f>'Resultater - Vestdanmark'!I145+'Resultater - Østdanmark'!I145</f>
        <v>127603.5504552457</v>
      </c>
      <c r="J145" s="277">
        <f>'Resultater - Vestdanmark'!J145+'Resultater - Østdanmark'!J145</f>
        <v>130558.04988182031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73744.634020790007</v>
      </c>
      <c r="I146" s="276">
        <f>'Resultater - Vestdanmark'!I146+'Resultater - Østdanmark'!I146</f>
        <v>55973.217059808674</v>
      </c>
      <c r="J146" s="277">
        <f>'Resultater - Vestdanmark'!J146+'Resultater - Østdanmark'!J146</f>
        <v>53384.860201551623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-3491625.762942126</v>
      </c>
      <c r="I147" s="276">
        <f>'Resultater - Vestdanmark'!I147+'Resultater - Østdanmark'!I147</f>
        <v>-1839551.9681352002</v>
      </c>
      <c r="J147" s="277">
        <f>'Resultater - Vestdanmark'!J147+'Resultater - Østdanmark'!J147</f>
        <v>-1754485.9811694103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429515.47728160548</v>
      </c>
      <c r="I148" s="276">
        <f>'Resultater - Vestdanmark'!I148+'Resultater - Østdanmark'!I148</f>
        <v>226288.86805788055</v>
      </c>
      <c r="J148" s="277">
        <f>'Resultater - Vestdanmark'!J148+'Resultater - Østdanmark'!J148</f>
        <v>215824.64294537739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134184.5342649988</v>
      </c>
      <c r="I149" s="276">
        <f>'Resultater - Vestdanmark'!I149+'Resultater - Østdanmark'!I149</f>
        <v>82931.152170524088</v>
      </c>
      <c r="J149" s="277">
        <f>'Resultater - Vestdanmark'!J149+'Resultater - Østdanmark'!J149</f>
        <v>84851.318503348171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43797.49652275996</v>
      </c>
      <c r="I150" s="276">
        <f>'Resultater - Vestdanmark'!I150+'Resultater - Østdanmark'!I150</f>
        <v>36377.697680824538</v>
      </c>
      <c r="J150" s="277">
        <f>'Resultater - Vestdanmark'!J150+'Resultater - Østdanmark'!J150</f>
        <v>34695.492007722816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-1367276.6890666278</v>
      </c>
      <c r="I151" s="276">
        <f>'Resultater - Vestdanmark'!I151+'Resultater - Østdanmark'!I151</f>
        <v>-788273.37897699536</v>
      </c>
      <c r="J151" s="277">
        <f>'Resultater - Vestdanmark'!J151+'Resultater - Østdanmark'!J151</f>
        <v>-751821.43081620929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559922.97086443973</v>
      </c>
      <c r="I152" s="276">
        <f>'Resultater - Vestdanmark'!I152+'Resultater - Østdanmark'!I152</f>
        <v>322811.30493890942</v>
      </c>
      <c r="J152" s="277">
        <f>'Resultater - Vestdanmark'!J152+'Resultater - Østdanmark'!J152</f>
        <v>307883.61453711009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687979.55575600604</v>
      </c>
      <c r="I153" s="276">
        <f>'Resultater - Vestdanmark'!I153+'Resultater - Østdanmark'!I153</f>
        <v>639697.16845609527</v>
      </c>
      <c r="J153" s="277">
        <f>'Resultater - Vestdanmark'!J153+'Resultater - Østdanmark'!J153</f>
        <v>846959.71354352799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224554.80704987101</v>
      </c>
      <c r="I154" s="276">
        <f>'Resultater - Vestdanmark'!I154+'Resultater - Østdanmark'!I154</f>
        <v>280602.76014887379</v>
      </c>
      <c r="J154" s="277">
        <f>'Resultater - Vestdanmark'!J154+'Resultater - Østdanmark'!J154</f>
        <v>346319.70946866483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-15702814.396713404</v>
      </c>
      <c r="I155" s="276">
        <f>'Resultater - Vestdanmark'!I155+'Resultater - Østdanmark'!I155</f>
        <v>-13620141.130072078</v>
      </c>
      <c r="J155" s="277">
        <f>'Resultater - Vestdanmark'!J155+'Resultater - Østdanmark'!J155</f>
        <v>-16809967.644602679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333054.11051750812</v>
      </c>
      <c r="I156" s="276">
        <f>'Resultater - Vestdanmark'!I156+'Resultater - Østdanmark'!I156</f>
        <v>288880.95309516735</v>
      </c>
      <c r="J156" s="277">
        <f>'Resultater - Vestdanmark'!J156+'Resultater - Østdanmark'!J156</f>
        <v>356536.64879800321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19355.226023653049</v>
      </c>
      <c r="I157" s="276">
        <f>'Resultater - Vestdanmark'!I157+'Resultater - Østdanmark'!I157</f>
        <v>13343.053339510952</v>
      </c>
      <c r="J157" s="277">
        <f>'Resultater - Vestdanmark'!J157+'Resultater - Østdanmark'!J157</f>
        <v>18555.068301385974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6317.4973860552982</v>
      </c>
      <c r="I158" s="276">
        <f>'Resultater - Vestdanmark'!I158+'Resultater - Østdanmark'!I158</f>
        <v>5852.9219457337513</v>
      </c>
      <c r="J158" s="277">
        <f>'Resultater - Vestdanmark'!J158+'Resultater - Østdanmark'!J158</f>
        <v>7587.1210407659737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-299117.85343258409</v>
      </c>
      <c r="I159" s="276">
        <f>'Resultater - Vestdanmark'!I159+'Resultater - Østdanmark'!I159</f>
        <v>-192355.46302639175</v>
      </c>
      <c r="J159" s="277">
        <f>'Resultater - Vestdanmark'!J159+'Resultater - Østdanmark'!J159</f>
        <v>-249349.67429347077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54918.499333549895</v>
      </c>
      <c r="I160" s="276">
        <f>'Resultater - Vestdanmark'!I160+'Resultater - Østdanmark'!I160</f>
        <v>35316.75975469812</v>
      </c>
      <c r="J160" s="277">
        <f>'Resultater - Vestdanmark'!J160+'Resultater - Østdanmark'!J160</f>
        <v>45780.984867201259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11495.215288873653</v>
      </c>
      <c r="I161" s="276">
        <f>'Resultater - Vestdanmark'!I161+'Resultater - Østdanmark'!I161</f>
        <v>8671.8181662704101</v>
      </c>
      <c r="J161" s="277">
        <f>'Resultater - Vestdanmark'!J161+'Resultater - Østdanmark'!J161</f>
        <v>12059.172235778879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3752.0095322501388</v>
      </c>
      <c r="I162" s="276">
        <f>'Resultater - Vestdanmark'!I162+'Resultater - Østdanmark'!I162</f>
        <v>3803.8875783012481</v>
      </c>
      <c r="J162" s="277">
        <f>'Resultater - Vestdanmark'!J162+'Resultater - Østdanmark'!J162</f>
        <v>4930.9653792793943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-117130.7854990183</v>
      </c>
      <c r="I163" s="276">
        <f>'Resultater - Vestdanmark'!I163+'Resultater - Østdanmark'!I163</f>
        <v>-82426.967778577149</v>
      </c>
      <c r="J163" s="277">
        <f>'Resultater - Vestdanmark'!J163+'Resultater - Østdanmark'!J163</f>
        <v>-106849.77304630369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71592.598937004383</v>
      </c>
      <c r="I164" s="276">
        <f>'Resultater - Vestdanmark'!I164+'Resultater - Østdanmark'!I164</f>
        <v>50380.955106072579</v>
      </c>
      <c r="J164" s="277">
        <f>'Resultater - Vestdanmark'!J164+'Resultater - Østdanmark'!J164</f>
        <v>65308.645507871843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230147.57425814544</v>
      </c>
      <c r="I165" s="276">
        <f>'Resultater - Vestdanmark'!I165+'Resultater - Østdanmark'!I165</f>
        <v>232685.95138726168</v>
      </c>
      <c r="J165" s="277">
        <f>'Resultater - Vestdanmark'!J165+'Resultater - Østdanmark'!J165</f>
        <v>226668.95837514248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-2232747.9829002842</v>
      </c>
      <c r="I166" s="276">
        <f>'Resultater - Vestdanmark'!I166+'Resultater - Østdanmark'!I166</f>
        <v>-2105759.0783390985</v>
      </c>
      <c r="J166" s="277">
        <f>'Resultater - Vestdanmark'!J166+'Resultater - Østdanmark'!J166</f>
        <v>-1912174.4563793433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25382.932563674498</v>
      </c>
      <c r="I167" s="276">
        <f>'Resultater - Vestdanmark'!I167+'Resultater - Østdanmark'!I167</f>
        <v>23939.262778504915</v>
      </c>
      <c r="J167" s="277">
        <f>'Resultater - Vestdanmark'!J167+'Resultater - Østdanmark'!J167</f>
        <v>21738.501455596426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2806.7295229677611</v>
      </c>
      <c r="I168" s="276">
        <f>'Resultater - Vestdanmark'!I168+'Resultater - Østdanmark'!I168</f>
        <v>1585.3494883221538</v>
      </c>
      <c r="J168" s="277">
        <f>'Resultater - Vestdanmark'!J168+'Resultater - Østdanmark'!J168</f>
        <v>1622.0562581373943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-22123.673287397512</v>
      </c>
      <c r="I169" s="276">
        <f>'Resultater - Vestdanmark'!I169+'Resultater - Østdanmark'!I169</f>
        <v>-11657.002911845626</v>
      </c>
      <c r="J169" s="277">
        <f>'Resultater - Vestdanmark'!J169+'Resultater - Østdanmark'!J169</f>
        <v>-11117.950754072415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1814.3334435803249</v>
      </c>
      <c r="I170" s="276">
        <f>'Resultater - Vestdanmark'!I170+'Resultater - Østdanmark'!I170</f>
        <v>955.97552721601687</v>
      </c>
      <c r="J170" s="277">
        <f>'Resultater - Vestdanmark'!J170+'Resultater - Østdanmark'!J170</f>
        <v>911.76856641990037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843.56496811604438</v>
      </c>
      <c r="I171" s="276">
        <f>'Resultater - Vestdanmark'!I171+'Resultater - Østdanmark'!I171</f>
        <v>522.34073106488052</v>
      </c>
      <c r="J171" s="277">
        <f>'Resultater - Vestdanmark'!J171+'Resultater - Østdanmark'!J171</f>
        <v>534.43487252804482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-5553.2523541027549</v>
      </c>
      <c r="I172" s="276">
        <f>'Resultater - Vestdanmark'!I172+'Resultater - Østdanmark'!I172</f>
        <v>-3207.6574313853434</v>
      </c>
      <c r="J172" s="277">
        <f>'Resultater - Vestdanmark'!J172+'Resultater - Østdanmark'!J172</f>
        <v>-3059.3264518993165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1196.9215428986058</v>
      </c>
      <c r="I173" s="276">
        <f>'Resultater - Vestdanmark'!I173+'Resultater - Østdanmark'!I173</f>
        <v>691.36319350361066</v>
      </c>
      <c r="J173" s="277">
        <f>'Resultater - Vestdanmark'!J173+'Resultater - Østdanmark'!J173</f>
        <v>659.39264120286578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16773.399891430559</v>
      </c>
      <c r="I174" s="276">
        <f>'Resultater - Vestdanmark'!I174+'Resultater - Østdanmark'!I174</f>
        <v>20699.634634970847</v>
      </c>
      <c r="J174" s="277">
        <f>'Resultater - Vestdanmark'!J174+'Resultater - Østdanmark'!J174</f>
        <v>27406.337694449037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-162725.04672139056</v>
      </c>
      <c r="I175" s="276">
        <f>'Resultater - Vestdanmark'!I175+'Resultater - Østdanmark'!I175</f>
        <v>-187327.35384762267</v>
      </c>
      <c r="J175" s="277">
        <f>'Resultater - Vestdanmark'!J175+'Resultater - Østdanmark'!J175</f>
        <v>-231199.27518041147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3245.5001945546865</v>
      </c>
      <c r="I176" s="276">
        <f>'Resultater - Vestdanmark'!I176+'Resultater - Østdanmark'!I176</f>
        <v>3736.1855203446976</v>
      </c>
      <c r="J176" s="277">
        <f>'Resultater - Vestdanmark'!J176+'Resultater - Østdanmark'!J176</f>
        <v>4611.1972784598474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204.5574315852524</v>
      </c>
      <c r="I177" s="276">
        <f>'Resultater - Vestdanmark'!I177+'Resultater - Østdanmark'!I177</f>
        <v>141.03195737154883</v>
      </c>
      <c r="J177" s="277">
        <f>'Resultater - Vestdanmark'!J177+'Resultater - Østdanmark'!J177</f>
        <v>196.12134757479404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-1612.3968297864642</v>
      </c>
      <c r="I178" s="276">
        <f>'Resultater - Vestdanmark'!I178+'Resultater - Østdanmark'!I178</f>
        <v>-1037.0015885162093</v>
      </c>
      <c r="J178" s="277">
        <f>'Resultater - Vestdanmark'!J178+'Resultater - Østdanmark'!J178</f>
        <v>-1344.2613184469374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231.98342151189939</v>
      </c>
      <c r="I179" s="276">
        <f>'Resultater - Vestdanmark'!I179+'Resultater - Østdanmark'!I179</f>
        <v>149.19849268689282</v>
      </c>
      <c r="J179" s="277">
        <f>'Resultater - Vestdanmark'!J179+'Resultater - Østdanmark'!J179</f>
        <v>193.40545348300918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61.479911705441317</v>
      </c>
      <c r="I180" s="276">
        <f>'Resultater - Vestdanmark'!I180+'Resultater - Østdanmark'!I180</f>
        <v>46.467189890685042</v>
      </c>
      <c r="J180" s="277">
        <f>'Resultater - Vestdanmark'!J180+'Resultater - Østdanmark'!J180</f>
        <v>64.618034587481787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-404.72693546148446</v>
      </c>
      <c r="I181" s="276">
        <f>'Resultater - Vestdanmark'!I181+'Resultater - Østdanmark'!I181</f>
        <v>-285.35172178624532</v>
      </c>
      <c r="J181" s="277">
        <f>'Resultater - Vestdanmark'!J181+'Resultater - Østdanmark'!J181</f>
        <v>-369.90038009328094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153.04020095390325</v>
      </c>
      <c r="I182" s="276">
        <f>'Resultater - Vestdanmark'!I182+'Resultater - Østdanmark'!I182</f>
        <v>107.9006140150144</v>
      </c>
      <c r="J182" s="277">
        <f>'Resultater - Vestdanmark'!J182+'Resultater - Østdanmark'!J182</f>
        <v>139.87116631575941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27749.688657763778</v>
      </c>
      <c r="I183" s="276">
        <f>'Resultater - Vestdanmark'!I183+'Resultater - Østdanmark'!I183</f>
        <v>26029.289420792691</v>
      </c>
      <c r="J183" s="277">
        <f>'Resultater - Vestdanmark'!J183+'Resultater - Østdanmark'!J183</f>
        <v>23644.986187012277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-23743486.815882854</v>
      </c>
      <c r="I184" s="276">
        <f>'Resultater - Vestdanmark'!I184+'Resultater - Østdanmark'!I184</f>
        <v>-22271460.33281637</v>
      </c>
      <c r="J184" s="277">
        <f>'Resultater - Vestdanmark'!J184+'Resultater - Østdanmark'!J184</f>
        <v>-20231377.177487224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5141.4697369274418</v>
      </c>
      <c r="I185" s="276">
        <f>'Resultater - Vestdanmark'!I185+'Resultater - Østdanmark'!I185</f>
        <v>4822.713706133376</v>
      </c>
      <c r="J185" s="277">
        <f>'Resultater - Vestdanmark'!J185+'Resultater - Østdanmark'!J185</f>
        <v>4380.9493652311048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2022.4268112306345</v>
      </c>
      <c r="I186" s="276">
        <f>'Resultater - Vestdanmark'!I186+'Resultater - Østdanmark'!I186</f>
        <v>2315.5535502080893</v>
      </c>
      <c r="J186" s="277">
        <f>'Resultater - Vestdanmark'!J186+'Resultater - Østdanmark'!J186</f>
        <v>2858.8937844296652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-1730450.5618338804</v>
      </c>
      <c r="I187" s="276">
        <f>'Resultater - Vestdanmark'!I187+'Resultater - Østdanmark'!I187</f>
        <v>-1981258.81226615</v>
      </c>
      <c r="J187" s="277">
        <f>'Resultater - Vestdanmark'!J187+'Resultater - Østdanmark'!J187</f>
        <v>-2446157.4223689092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657.39610620781025</v>
      </c>
      <c r="I188" s="276">
        <f>'Resultater - Vestdanmark'!I188+'Resultater - Østdanmark'!I188</f>
        <v>752.67786165087364</v>
      </c>
      <c r="J188" s="277">
        <f>'Resultater - Vestdanmark'!J188+'Resultater - Østdanmark'!J188</f>
        <v>929.29228959447664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1955168.9801122241</v>
      </c>
      <c r="I189" s="276">
        <f>'Resultater - Vestdanmark'!I189+'Resultater - Østdanmark'!I189</f>
        <v>2016247.2669476147</v>
      </c>
      <c r="J189" s="277">
        <f>'Resultater - Vestdanmark'!J189+'Resultater - Østdanmark'!J189</f>
        <v>1964109.4148615762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-6905324.6027384531</v>
      </c>
      <c r="I190" s="276">
        <f>'Resultater - Vestdanmark'!I190+'Resultater - Østdanmark'!I190</f>
        <v>-6642763.743490356</v>
      </c>
      <c r="J190" s="277">
        <f>'Resultater - Vestdanmark'!J190+'Resultater - Østdanmark'!J190</f>
        <v>-6032087.5643968666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104670.65103270129</v>
      </c>
      <c r="I191" s="276">
        <f>'Resultater - Vestdanmark'!I191+'Resultater - Østdanmark'!I191</f>
        <v>100690.76338740437</v>
      </c>
      <c r="J191" s="277">
        <f>'Resultater - Vestdanmark'!J191+'Resultater - Østdanmark'!J191</f>
        <v>91434.15679565497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76780.532840637781</v>
      </c>
      <c r="I192" s="276">
        <f>'Resultater - Vestdanmark'!I192+'Resultater - Østdanmark'!I192</f>
        <v>43355.708806344126</v>
      </c>
      <c r="J192" s="277">
        <f>'Resultater - Vestdanmark'!J192+'Resultater - Østdanmark'!J192</f>
        <v>44359.555614290162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-180783.86329737815</v>
      </c>
      <c r="I193" s="276">
        <f>'Resultater - Vestdanmark'!I193+'Resultater - Østdanmark'!I193</f>
        <v>-95226.987699153411</v>
      </c>
      <c r="J193" s="277">
        <f>'Resultater - Vestdanmark'!J193+'Resultater - Østdanmark'!J193</f>
        <v>-90823.427574337082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24092.002403541195</v>
      </c>
      <c r="I194" s="276">
        <f>'Resultater - Vestdanmark'!I194+'Resultater - Østdanmark'!I194</f>
        <v>12690.340690176325</v>
      </c>
      <c r="J194" s="277">
        <f>'Resultater - Vestdanmark'!J194+'Resultater - Østdanmark'!J194</f>
        <v>12103.50412646875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76689.476357594409</v>
      </c>
      <c r="I195" s="276">
        <f>'Resultater - Vestdanmark'!I195+'Resultater - Østdanmark'!I195</f>
        <v>47229.45648169679</v>
      </c>
      <c r="J195" s="277">
        <f>'Resultater - Vestdanmark'!J195+'Resultater - Østdanmark'!J195</f>
        <v>48322.995036029904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-116080.37096608599</v>
      </c>
      <c r="I196" s="276">
        <f>'Resultater - Vestdanmark'!I196+'Resultater - Østdanmark'!I196</f>
        <v>-66686.999503147963</v>
      </c>
      <c r="J196" s="277">
        <f>'Resultater - Vestdanmark'!J196+'Resultater - Østdanmark'!J196</f>
        <v>-63603.207618609318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52818.754154083166</v>
      </c>
      <c r="I197" s="276">
        <f>'Resultater - Vestdanmark'!I197+'Resultater - Østdanmark'!I197</f>
        <v>30343.840243750776</v>
      </c>
      <c r="J197" s="277">
        <f>'Resultater - Vestdanmark'!J197+'Resultater - Østdanmark'!J197</f>
        <v>28940.656879877901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142494.79389236751</v>
      </c>
      <c r="I198" s="276">
        <f>'Resultater - Vestdanmark'!I198+'Resultater - Østdanmark'!I198</f>
        <v>179364.42449898148</v>
      </c>
      <c r="J198" s="277">
        <f>'Resultater - Vestdanmark'!J198+'Resultater - Østdanmark'!J198</f>
        <v>237478.68379689963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-503267.39838652278</v>
      </c>
      <c r="I199" s="276">
        <f>'Resultater - Vestdanmark'!I199+'Resultater - Østdanmark'!I199</f>
        <v>-590937.19082263927</v>
      </c>
      <c r="J199" s="277">
        <f>'Resultater - Vestdanmark'!J199+'Resultater - Østdanmark'!J199</f>
        <v>-729334.22369525745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13383.347942111091</v>
      </c>
      <c r="I200" s="276">
        <f>'Resultater - Vestdanmark'!I200+'Resultater - Østdanmark'!I200</f>
        <v>15714.74341884346</v>
      </c>
      <c r="J200" s="277">
        <f>'Resultater - Vestdanmark'!J200+'Resultater - Østdanmark'!J200</f>
        <v>19395.124168775299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5595.8468620164213</v>
      </c>
      <c r="I201" s="276">
        <f>'Resultater - Vestdanmark'!I201+'Resultater - Østdanmark'!I201</f>
        <v>3856.9038065296895</v>
      </c>
      <c r="J201" s="277">
        <f>'Resultater - Vestdanmark'!J201+'Resultater - Østdanmark'!J201</f>
        <v>5363.4735424550836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-13175.720155987337</v>
      </c>
      <c r="I202" s="276">
        <f>'Resultater - Vestdanmark'!I202+'Resultater - Østdanmark'!I202</f>
        <v>-8471.3487901154422</v>
      </c>
      <c r="J202" s="277">
        <f>'Resultater - Vestdanmark'!J202+'Resultater - Østdanmark'!J202</f>
        <v>-10981.378061260753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3080.4399094454293</v>
      </c>
      <c r="I203" s="276">
        <f>'Resultater - Vestdanmark'!I203+'Resultater - Østdanmark'!I203</f>
        <v>1980.5734025130682</v>
      </c>
      <c r="J203" s="277">
        <f>'Resultater - Vestdanmark'!J203+'Resultater - Østdanmark'!J203</f>
        <v>2567.4099662206436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5589.2105687262674</v>
      </c>
      <c r="I204" s="276">
        <f>'Resultater - Vestdanmark'!I204+'Resultater - Østdanmark'!I204</f>
        <v>4201.5106084006566</v>
      </c>
      <c r="J204" s="277">
        <f>'Resultater - Vestdanmark'!J204+'Resultater - Østdanmark'!J204</f>
        <v>5842.6893998108899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-8460.0608458981151</v>
      </c>
      <c r="I205" s="276">
        <f>'Resultater - Vestdanmark'!I205+'Resultater - Østdanmark'!I205</f>
        <v>-5932.4446378811972</v>
      </c>
      <c r="J205" s="277">
        <f>'Resultater - Vestdanmark'!J205+'Resultater - Østdanmark'!J205</f>
        <v>-7690.206012068219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6753.4858887241726</v>
      </c>
      <c r="I206" s="276">
        <f>'Resultater - Vestdanmark'!I206+'Resultater - Østdanmark'!I206</f>
        <v>4735.7438530709296</v>
      </c>
      <c r="J206" s="277">
        <f>'Resultater - Vestdanmark'!J206+'Resultater - Østdanmark'!J206</f>
        <v>6138.9272169437982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10596561.852889422</v>
      </c>
      <c r="I207" s="276">
        <f>'Resultater - Vestdanmark'!I207+'Resultater - Østdanmark'!I207</f>
        <v>27001790.799678013</v>
      </c>
      <c r="J207" s="277">
        <f>'Resultater - Vestdanmark'!J207+'Resultater - Østdanmark'!J207</f>
        <v>26303555.321396094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-33100908.649694897</v>
      </c>
      <c r="I208" s="276">
        <f>'Resultater - Vestdanmark'!I208+'Resultater - Østdanmark'!I208</f>
        <v>-78681516.351699993</v>
      </c>
      <c r="J208" s="277">
        <f>'Resultater - Vestdanmark'!J208+'Resultater - Østdanmark'!J208</f>
        <v>-71448242.728499994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485557.09390620678</v>
      </c>
      <c r="I209" s="276">
        <f>'Resultater - Vestdanmark'!I209+'Resultater - Østdanmark'!I209</f>
        <v>1154178.8422843576</v>
      </c>
      <c r="J209" s="277">
        <f>'Resultater - Vestdanmark'!J209+'Resultater - Østdanmark'!J209</f>
        <v>1048073.9810227383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1250706.5448330601</v>
      </c>
      <c r="I210" s="276">
        <f>'Resultater - Vestdanmark'!I210+'Resultater - Østdanmark'!I210</f>
        <v>706275.10349806701</v>
      </c>
      <c r="J210" s="277">
        <f>'Resultater - Vestdanmark'!J210+'Resultater - Østdanmark'!J210</f>
        <v>722628.01359221688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-2730616.868673549</v>
      </c>
      <c r="I211" s="276">
        <f>'Resultater - Vestdanmark'!I211+'Resultater - Østdanmark'!I211</f>
        <v>-1438415.8449795046</v>
      </c>
      <c r="J211" s="277">
        <f>'Resultater - Vestdanmark'!J211+'Resultater - Østdanmark'!J211</f>
        <v>-1371899.5053272732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335901.46460405836</v>
      </c>
      <c r="I212" s="276">
        <f>'Resultater - Vestdanmark'!I212+'Resultater - Østdanmark'!I212</f>
        <v>176943.89666354295</v>
      </c>
      <c r="J212" s="277">
        <f>'Resultater - Vestdanmark'!J212+'Resultater - Østdanmark'!J212</f>
        <v>168761.51993921725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1501712.5809897545</v>
      </c>
      <c r="I213" s="276">
        <f>'Resultater - Vestdanmark'!I213+'Resultater - Østdanmark'!I213</f>
        <v>925748.63193456724</v>
      </c>
      <c r="J213" s="277">
        <f>'Resultater - Vestdanmark'!J213+'Resultater - Østdanmark'!J213</f>
        <v>947183.17503658065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-2269819.4996822169</v>
      </c>
      <c r="I214" s="276">
        <f>'Resultater - Vestdanmark'!I214+'Resultater - Østdanmark'!I214</f>
        <v>-1305277.3352684232</v>
      </c>
      <c r="J214" s="277">
        <f>'Resultater - Vestdanmark'!J214+'Resultater - Østdanmark'!J214</f>
        <v>-1244917.6897068778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885266.2325747133</v>
      </c>
      <c r="I215" s="276">
        <f>'Resultater - Vestdanmark'!I215+'Resultater - Østdanmark'!I215</f>
        <v>509079.2237973173</v>
      </c>
      <c r="J215" s="277">
        <f>'Resultater - Vestdanmark'!J215+'Resultater - Østdanmark'!J215</f>
        <v>485537.98801478231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1056816.1068755633</v>
      </c>
      <c r="I216" s="276">
        <f>'Resultater - Vestdanmark'!I216+'Resultater - Østdanmark'!I216</f>
        <v>3287038.8106428846</v>
      </c>
      <c r="J216" s="277">
        <f>'Resultater - Vestdanmark'!J216+'Resultater - Østdanmark'!J216</f>
        <v>4352042.7895400813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-3301219.1972130653</v>
      </c>
      <c r="I217" s="276">
        <f>'Resultater - Vestdanmark'!I217+'Resultater - Østdanmark'!I217</f>
        <v>-9578223.8980740011</v>
      </c>
      <c r="J217" s="277">
        <f>'Resultater - Vestdanmark'!J217+'Resultater - Østdanmark'!J217</f>
        <v>-11821436.524170002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62084.065298082889</v>
      </c>
      <c r="I218" s="276">
        <f>'Resultater - Vestdanmark'!I218+'Resultater - Østdanmark'!I218</f>
        <v>180131.95804437954</v>
      </c>
      <c r="J218" s="277">
        <f>'Resultater - Vestdanmark'!J218+'Resultater - Østdanmark'!J218</f>
        <v>222318.72324724757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124735.44154265925</v>
      </c>
      <c r="I219" s="276">
        <f>'Resultater - Vestdanmark'!I219+'Resultater - Østdanmark'!I219</f>
        <v>85977.766934504587</v>
      </c>
      <c r="J219" s="277">
        <f>'Resultater - Vestdanmark'!J219+'Resultater - Østdanmark'!J219</f>
        <v>119562.08952162138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-272329.83005081455</v>
      </c>
      <c r="I220" s="276">
        <f>'Resultater - Vestdanmark'!I220+'Resultater - Østdanmark'!I220</f>
        <v>-175104.26413449924</v>
      </c>
      <c r="J220" s="277">
        <f>'Resultater - Vestdanmark'!J220+'Resultater - Østdanmark'!J220</f>
        <v>-226987.00906323979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42948.869914417002</v>
      </c>
      <c r="I221" s="276">
        <f>'Resultater - Vestdanmark'!I221+'Resultater - Østdanmark'!I221</f>
        <v>27615.521444599188</v>
      </c>
      <c r="J221" s="277">
        <f>'Resultater - Vestdanmark'!J221+'Resultater - Østdanmark'!J221</f>
        <v>35797.898168924876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149768.77080700482</v>
      </c>
      <c r="I222" s="276">
        <f>'Resultater - Vestdanmark'!I222+'Resultater - Østdanmark'!I222</f>
        <v>112695.18028058953</v>
      </c>
      <c r="J222" s="277">
        <f>'Resultater - Vestdanmark'!J222+'Resultater - Østdanmark'!J222</f>
        <v>156715.7616878706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-226373.59553658532</v>
      </c>
      <c r="I223" s="276">
        <f>'Resultater - Vestdanmark'!I223+'Resultater - Østdanmark'!I223</f>
        <v>-158896.76694076881</v>
      </c>
      <c r="J223" s="277">
        <f>'Resultater - Vestdanmark'!J223+'Resultater - Østdanmark'!J223</f>
        <v>-205977.29047877432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113191.4810413066</v>
      </c>
      <c r="I224" s="276">
        <f>'Resultater - Vestdanmark'!I224+'Resultater - Østdanmark'!I224</f>
        <v>79451.670766055307</v>
      </c>
      <c r="J224" s="277">
        <f>'Resultater - Vestdanmark'!J224+'Resultater - Østdanmark'!J224</f>
        <v>102992.9065485902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252119.08822285215</v>
      </c>
      <c r="I225" s="276">
        <f>'Resultater - Vestdanmark'!I225+'Resultater - Østdanmark'!I225</f>
        <v>259226.00461819075</v>
      </c>
      <c r="J225" s="277">
        <f>'Resultater - Vestdanmark'!J225+'Resultater - Østdanmark'!J225</f>
        <v>252522.71613408579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74848.798129844407</v>
      </c>
      <c r="I226" s="276">
        <f>'Resultater - Vestdanmark'!I226+'Resultater - Østdanmark'!I226</f>
        <v>103425.67313497387</v>
      </c>
      <c r="J226" s="277">
        <f>'Resultater - Vestdanmark'!J226+'Resultater - Østdanmark'!J226</f>
        <v>93917.643445955939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148508.2256030748</v>
      </c>
      <c r="I228" s="276">
        <f>'Resultater - Vestdanmark'!I228+'Resultater - Østdanmark'!I228</f>
        <v>142438.88393350772</v>
      </c>
      <c r="J228" s="277">
        <f>'Resultater - Vestdanmark'!J228+'Resultater - Østdanmark'!J228</f>
        <v>129344.32920391996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9762.0012470722486</v>
      </c>
      <c r="I229" s="276">
        <f>'Resultater - Vestdanmark'!I229+'Resultater - Østdanmark'!I229</f>
        <v>5512.5244914058194</v>
      </c>
      <c r="J229" s="277">
        <f>'Resultater - Vestdanmark'!J229+'Resultater - Østdanmark'!J229</f>
        <v>5640.1600500617624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2898.1306645038535</v>
      </c>
      <c r="I230" s="276">
        <f>'Resultater - Vestdanmark'!I230+'Resultater - Østdanmark'!I230</f>
        <v>2199.3802552194566</v>
      </c>
      <c r="J230" s="277">
        <f>'Resultater - Vestdanmark'!J230+'Resultater - Østdanmark'!J230</f>
        <v>2097.674809891389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33702.707331215737</v>
      </c>
      <c r="I232" s="276">
        <f>'Resultater - Vestdanmark'!I232+'Resultater - Østdanmark'!I232</f>
        <v>17753.405668355132</v>
      </c>
      <c r="J232" s="277">
        <f>'Resultater - Vestdanmark'!J232+'Resultater - Østdanmark'!J232</f>
        <v>16932.438932246223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3876.3292971970382</v>
      </c>
      <c r="I233" s="276">
        <f>'Resultater - Vestdanmark'!I233+'Resultater - Østdanmark'!I233</f>
        <v>2388.921498273121</v>
      </c>
      <c r="J233" s="277">
        <f>'Resultater - Vestdanmark'!J233+'Resultater - Østdanmark'!J233</f>
        <v>2444.2339654544721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1150.7997712344754</v>
      </c>
      <c r="I234" s="276">
        <f>'Resultater - Vestdanmark'!I234+'Resultater - Østdanmark'!I234</f>
        <v>953.12896709348797</v>
      </c>
      <c r="J234" s="277">
        <f>'Resultater - Vestdanmark'!J234+'Resultater - Østdanmark'!J234</f>
        <v>909.05363913540759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29374.954227709619</v>
      </c>
      <c r="I236" s="276">
        <f>'Resultater - Vestdanmark'!I236+'Resultater - Østdanmark'!I236</f>
        <v>16887.432586074348</v>
      </c>
      <c r="J236" s="277">
        <f>'Resultater - Vestdanmark'!J236+'Resultater - Østdanmark'!J236</f>
        <v>16106.510847989985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18374.707188012384</v>
      </c>
      <c r="I237" s="276">
        <f>'Resultater - Vestdanmark'!I237+'Resultater - Østdanmark'!I237</f>
        <v>23060.625497537319</v>
      </c>
      <c r="J237" s="277">
        <f>'Resultater - Vestdanmark'!J237+'Resultater - Østdanmark'!J237</f>
        <v>30532.292041666737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5455.059982585959</v>
      </c>
      <c r="I238" s="276">
        <f>'Resultater - Vestdanmark'!I238+'Resultater - Østdanmark'!I238</f>
        <v>9200.7000551864039</v>
      </c>
      <c r="J238" s="277">
        <f>'Resultater - Vestdanmark'!J238+'Resultater - Østdanmark'!J238</f>
        <v>11355.496889374674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18988.48660920751</v>
      </c>
      <c r="I240" s="276">
        <f>'Resultater - Vestdanmark'!I240+'Resultater - Østdanmark'!I240</f>
        <v>22230.346047426061</v>
      </c>
      <c r="J240" s="277">
        <f>'Resultater - Vestdanmark'!J240+'Resultater - Østdanmark'!J240</f>
        <v>27436.675891740597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711.46502927780227</v>
      </c>
      <c r="I241" s="276">
        <f>'Resultater - Vestdanmark'!I241+'Resultater - Østdanmark'!I241</f>
        <v>490.39162961118819</v>
      </c>
      <c r="J241" s="277">
        <f>'Resultater - Vestdanmark'!J241+'Resultater - Østdanmark'!J241</f>
        <v>681.94662423474017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211.21884395277317</v>
      </c>
      <c r="I242" s="276">
        <f>'Resultater - Vestdanmark'!I242+'Resultater - Østdanmark'!I242</f>
        <v>195.65585044986958</v>
      </c>
      <c r="J242" s="277">
        <f>'Resultater - Vestdanmark'!J242+'Resultater - Østdanmark'!J242</f>
        <v>253.62795428686786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4309.2791948325566</v>
      </c>
      <c r="I244" s="276">
        <f>'Resultater - Vestdanmark'!I244+'Resultater - Østdanmark'!I244</f>
        <v>2770.762734367564</v>
      </c>
      <c r="J244" s="277">
        <f>'Resultater - Vestdanmark'!J244+'Resultater - Østdanmark'!J244</f>
        <v>3591.7294704764709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282.51100026726743</v>
      </c>
      <c r="I245" s="276">
        <f>'Resultater - Vestdanmark'!I245+'Resultater - Østdanmark'!I245</f>
        <v>212.51735178279381</v>
      </c>
      <c r="J245" s="277">
        <f>'Resultater - Vestdanmark'!J245+'Resultater - Østdanmark'!J245</f>
        <v>295.53010673222258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83.871510790861564</v>
      </c>
      <c r="I246" s="276">
        <f>'Resultater - Vestdanmark'!I246+'Resultater - Østdanmark'!I246</f>
        <v>84.789912159357115</v>
      </c>
      <c r="J246" s="277">
        <f>'Resultater - Vestdanmark'!J246+'Resultater - Østdanmark'!J246</f>
        <v>109.9128490954629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3755.926129571902</v>
      </c>
      <c r="I248" s="276">
        <f>'Resultater - Vestdanmark'!I248+'Resultater - Østdanmark'!I248</f>
        <v>2635.6108660347249</v>
      </c>
      <c r="J248" s="277">
        <f>'Resultater - Vestdanmark'!J248+'Resultater - Østdanmark'!J248</f>
        <v>3416.5326041190874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2432067.6197482329</v>
      </c>
      <c r="I249" s="276">
        <f>'Resultater - Vestdanmark'!I249+'Resultater - Østdanmark'!I249</f>
        <v>5895505.4827213306</v>
      </c>
      <c r="J249" s="277">
        <f>'Resultater - Vestdanmark'!J249+'Resultater - Østdanmark'!J249</f>
        <v>5743054.442678066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-4040788.3212018311</v>
      </c>
      <c r="I250" s="276">
        <f>'Resultater - Vestdanmark'!I250+'Resultater - Østdanmark'!I250</f>
        <v>-9137275.4427739233</v>
      </c>
      <c r="J250" s="277">
        <f>'Resultater - Vestdanmark'!J250+'Resultater - Østdanmark'!J250</f>
        <v>-8297276.2089932458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68055.686267538025</v>
      </c>
      <c r="I251" s="276">
        <f>'Resultater - Vestdanmark'!I251+'Resultater - Østdanmark'!I251</f>
        <v>153891.64228443176</v>
      </c>
      <c r="J251" s="277">
        <f>'Resultater - Vestdanmark'!J251+'Resultater - Østdanmark'!J251</f>
        <v>139744.22356932636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13122.873542371528</v>
      </c>
      <c r="I252" s="276">
        <f>'Resultater - Vestdanmark'!I252+'Resultater - Østdanmark'!I252</f>
        <v>7419.9074191128602</v>
      </c>
      <c r="J252" s="277">
        <f>'Resultater - Vestdanmark'!J252+'Resultater - Østdanmark'!J252</f>
        <v>7591.7060261014194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-14131.676367037673</v>
      </c>
      <c r="I253" s="276">
        <f>'Resultater - Vestdanmark'!I253+'Resultater - Østdanmark'!I253</f>
        <v>-7453.6404662515524</v>
      </c>
      <c r="J253" s="277">
        <f>'Resultater - Vestdanmark'!J253+'Resultater - Østdanmark'!J253</f>
        <v>-7108.9634504711339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2152.2804701131786</v>
      </c>
      <c r="I254" s="276">
        <f>'Resultater - Vestdanmark'!I254+'Resultater - Østdanmark'!I254</f>
        <v>1135.2032405849204</v>
      </c>
      <c r="J254" s="277">
        <f>'Resultater - Vestdanmark'!J254+'Resultater - Østdanmark'!J254</f>
        <v>1082.7082930434212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5615.3101846932177</v>
      </c>
      <c r="I255" s="276">
        <f>'Resultater - Vestdanmark'!I255+'Resultater - Østdanmark'!I255</f>
        <v>3539.4450210289142</v>
      </c>
      <c r="J255" s="277">
        <f>'Resultater - Vestdanmark'!J255+'Resultater - Østdanmark'!J255</f>
        <v>3621.3964106862882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-3702.2322974288109</v>
      </c>
      <c r="I256" s="276">
        <f>'Resultater - Vestdanmark'!I256+'Resultater - Østdanmark'!I256</f>
        <v>-2176.8589975953914</v>
      </c>
      <c r="J256" s="277">
        <f>'Resultater - Vestdanmark'!J256+'Resultater - Østdanmark'!J256</f>
        <v>-2076.1949977065869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2021.5024736231753</v>
      </c>
      <c r="I257" s="276">
        <f>'Resultater - Vestdanmark'!I257+'Resultater - Østdanmark'!I257</f>
        <v>1188.6141913418296</v>
      </c>
      <c r="J257" s="277">
        <f>'Resultater - Vestdanmark'!J257+'Resultater - Østdanmark'!J257</f>
        <v>1133.6493732450974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177251.6737598984</v>
      </c>
      <c r="I258" s="276">
        <f>'Resultater - Vestdanmark'!I258+'Resultater - Østdanmark'!I258</f>
        <v>524461.44149757968</v>
      </c>
      <c r="J258" s="277">
        <f>'Resultater - Vestdanmark'!J258+'Resultater - Østdanmark'!J258</f>
        <v>694387.49170562066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-294496.94877999288</v>
      </c>
      <c r="I259" s="276">
        <f>'Resultater - Vestdanmark'!I259+'Resultater - Østdanmark'!I259</f>
        <v>-812847.79805948352</v>
      </c>
      <c r="J259" s="277">
        <f>'Resultater - Vestdanmark'!J259+'Resultater - Østdanmark'!J259</f>
        <v>-1003216.1234510014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8701.7031017897862</v>
      </c>
      <c r="I260" s="276">
        <f>'Resultater - Vestdanmark'!I260+'Resultater - Østdanmark'!I260</f>
        <v>24017.77076115409</v>
      </c>
      <c r="J260" s="277">
        <f>'Resultater - Vestdanmark'!J260+'Resultater - Østdanmark'!J260</f>
        <v>29642.714090463167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956.40897524289744</v>
      </c>
      <c r="I261" s="276">
        <f>'Resultater - Vestdanmark'!I261+'Resultater - Østdanmark'!I261</f>
        <v>660.07153283321907</v>
      </c>
      <c r="J261" s="277">
        <f>'Resultater - Vestdanmark'!J261+'Resultater - Østdanmark'!J261</f>
        <v>917.9062740649897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-1029.9315976049757</v>
      </c>
      <c r="I262" s="276">
        <f>'Resultater - Vestdanmark'!I262+'Resultater - Østdanmark'!I262</f>
        <v>-663.07240910758037</v>
      </c>
      <c r="J262" s="277">
        <f>'Resultater - Vestdanmark'!J262+'Resultater - Østdanmark'!J262</f>
        <v>-859.5383081024188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275.19384007209339</v>
      </c>
      <c r="I263" s="276">
        <f>'Resultater - Vestdanmark'!I263+'Resultater - Østdanmark'!I263</f>
        <v>177.17044795255987</v>
      </c>
      <c r="J263" s="277">
        <f>'Resultater - Vestdanmark'!J263+'Resultater - Østdanmark'!J263</f>
        <v>229.66539549405906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409.24977613118875</v>
      </c>
      <c r="I264" s="276">
        <f>'Resultater - Vestdanmark'!I264+'Resultater - Østdanmark'!I264</f>
        <v>314.86739233315024</v>
      </c>
      <c r="J264" s="277">
        <f>'Resultater - Vestdanmark'!J264+'Resultater - Østdanmark'!J264</f>
        <v>437.85974783752397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-269.82262583436852</v>
      </c>
      <c r="I265" s="276">
        <f>'Resultater - Vestdanmark'!I265+'Resultater - Østdanmark'!I265</f>
        <v>-193.65236978608712</v>
      </c>
      <c r="J265" s="277">
        <f>'Resultater - Vestdanmark'!J265+'Resultater - Østdanmark'!J265</f>
        <v>-251.03084972270551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258.47236740588181</v>
      </c>
      <c r="I266" s="276">
        <f>'Resultater - Vestdanmark'!I266+'Resultater - Østdanmark'!I266</f>
        <v>185.50626107647051</v>
      </c>
      <c r="J266" s="277">
        <f>'Resultater - Vestdanmark'!J266+'Resultater - Østdanmark'!J266</f>
        <v>240.47107917320253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37068.149941239346</v>
      </c>
      <c r="I267" s="276">
        <f>'Resultater - Vestdanmark'!I267+'Resultater - Østdanmark'!I267</f>
        <v>37368.593812366278</v>
      </c>
      <c r="J267" s="277">
        <f>'Resultater - Vestdanmark'!J267+'Resultater - Østdanmark'!J267</f>
        <v>36402.284645434615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-611253.35592149675</v>
      </c>
      <c r="I268" s="276">
        <f>'Resultater - Vestdanmark'!I268+'Resultater - Østdanmark'!I268</f>
        <v>-574820.58938207361</v>
      </c>
      <c r="J268" s="277">
        <f>'Resultater - Vestdanmark'!J268+'Resultater - Østdanmark'!J268</f>
        <v>-521976.73481444624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8582.4091345819397</v>
      </c>
      <c r="I269" s="276">
        <f>'Resultater - Vestdanmark'!I269+'Resultater - Østdanmark'!I269</f>
        <v>8070.8685347358205</v>
      </c>
      <c r="J269" s="277">
        <f>'Resultater - Vestdanmark'!J269+'Resultater - Østdanmark'!J269</f>
        <v>7328.9051970229211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1090.1789727130877</v>
      </c>
      <c r="I270" s="276">
        <f>'Resultater - Vestdanmark'!I270+'Resultater - Østdanmark'!I270</f>
        <v>615.8085437161526</v>
      </c>
      <c r="J270" s="277">
        <f>'Resultater - Vestdanmark'!J270+'Resultater - Østdanmark'!J270</f>
        <v>630.06681460907134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-14980.865349414238</v>
      </c>
      <c r="I271" s="276">
        <f>'Resultater - Vestdanmark'!I271+'Resultater - Østdanmark'!I271</f>
        <v>-7893.8709830065436</v>
      </c>
      <c r="J271" s="277">
        <f>'Resultater - Vestdanmark'!J271+'Resultater - Østdanmark'!J271</f>
        <v>-7528.8364866825405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1140.8671979707708</v>
      </c>
      <c r="I272" s="276">
        <f>'Resultater - Vestdanmark'!I272+'Resultater - Østdanmark'!I272</f>
        <v>601.15742712269844</v>
      </c>
      <c r="J272" s="277">
        <f>'Resultater - Vestdanmark'!J272+'Resultater - Østdanmark'!J272</f>
        <v>573.35823974130199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734.97559696711278</v>
      </c>
      <c r="I273" s="276">
        <f>'Resultater - Vestdanmark'!I273+'Resultater - Østdanmark'!I273</f>
        <v>455.5440653732993</v>
      </c>
      <c r="J273" s="277">
        <f>'Resultater - Vestdanmark'!J273+'Resultater - Østdanmark'!J273</f>
        <v>466.09161420813308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-8656.9563835937897</v>
      </c>
      <c r="I274" s="276">
        <f>'Resultater - Vestdanmark'!I274+'Resultater - Østdanmark'!I274</f>
        <v>-5005.2747017265629</v>
      </c>
      <c r="J274" s="277">
        <f>'Resultater - Vestdanmark'!J274+'Resultater - Østdanmark'!J274</f>
        <v>-4773.8169120513467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1762.4137499845892</v>
      </c>
      <c r="I275" s="276">
        <f>'Resultater - Vestdanmark'!I275+'Resultater - Østdanmark'!I275</f>
        <v>1018.9914983851248</v>
      </c>
      <c r="J275" s="277">
        <f>'Resultater - Vestdanmark'!J275+'Resultater - Østdanmark'!J275</f>
        <v>971.87050424014797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2701.5661764156534</v>
      </c>
      <c r="I276" s="276">
        <f>'Resultater - Vestdanmark'!I276+'Resultater - Østdanmark'!I276</f>
        <v>3324.2928252735092</v>
      </c>
      <c r="J276" s="277">
        <f>'Resultater - Vestdanmark'!J276+'Resultater - Østdanmark'!J276</f>
        <v>4401.3671434934568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-44548.794428526671</v>
      </c>
      <c r="I277" s="276">
        <f>'Resultater - Vestdanmark'!I277+'Resultater - Østdanmark'!I277</f>
        <v>-51135.773818439964</v>
      </c>
      <c r="J277" s="277">
        <f>'Resultater - Vestdanmark'!J277+'Resultater - Østdanmark'!J277</f>
        <v>-63111.732482110318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1097.3598281506586</v>
      </c>
      <c r="I278" s="276">
        <f>'Resultater - Vestdanmark'!I278+'Resultater - Østdanmark'!I278</f>
        <v>1259.6153204500993</v>
      </c>
      <c r="J278" s="277">
        <f>'Resultater - Vestdanmark'!J278+'Resultater - Østdanmark'!J278</f>
        <v>1554.6162539139527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79.453402546120458</v>
      </c>
      <c r="I279" s="276">
        <f>'Resultater - Vestdanmark'!I279+'Resultater - Østdanmark'!I279</f>
        <v>54.782043282032305</v>
      </c>
      <c r="J279" s="277">
        <f>'Resultater - Vestdanmark'!J279+'Resultater - Østdanmark'!J279</f>
        <v>76.180805766369517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-1091.8213934488481</v>
      </c>
      <c r="I280" s="276">
        <f>'Resultater - Vestdanmark'!I280+'Resultater - Østdanmark'!I280</f>
        <v>-702.23511230329893</v>
      </c>
      <c r="J280" s="277">
        <f>'Resultater - Vestdanmark'!J280+'Resultater - Østdanmark'!J280</f>
        <v>-910.30477520797979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145.87300752924452</v>
      </c>
      <c r="I281" s="276">
        <f>'Resultater - Vestdanmark'!I281+'Resultater - Østdanmark'!I281</f>
        <v>93.822257412213062</v>
      </c>
      <c r="J281" s="277">
        <f>'Resultater - Vestdanmark'!J281+'Resultater - Østdanmark'!J281</f>
        <v>121.6214447936095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53.565802890212126</v>
      </c>
      <c r="I282" s="276">
        <f>'Resultater - Vestdanmark'!I282+'Resultater - Østdanmark'!I282</f>
        <v>40.524989399393505</v>
      </c>
      <c r="J282" s="277">
        <f>'Resultater - Vestdanmark'!J282+'Resultater - Østdanmark'!J282</f>
        <v>56.354713354256091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-630.92818480815231</v>
      </c>
      <c r="I283" s="276">
        <f>'Resultater - Vestdanmark'!I283+'Resultater - Østdanmark'!I283</f>
        <v>-445.26692288769829</v>
      </c>
      <c r="J283" s="277">
        <f>'Resultater - Vestdanmark'!J283+'Resultater - Østdanmark'!J283</f>
        <v>-577.19786300257181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225.34489086759828</v>
      </c>
      <c r="I284" s="276">
        <f>'Resultater - Vestdanmark'!I284+'Resultater - Østdanmark'!I284</f>
        <v>159.03335523929695</v>
      </c>
      <c r="J284" s="277">
        <f>'Resultater - Vestdanmark'!J284+'Resultater - Østdanmark'!J284</f>
        <v>206.15434938427381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1769792.6482433821</v>
      </c>
      <c r="I285" s="276">
        <f>'Resultater - Vestdanmark'!I285+'Resultater - Østdanmark'!I285</f>
        <v>1160740.5779352796</v>
      </c>
      <c r="J285" s="277">
        <f>'Resultater - Vestdanmark'!J285+'Resultater - Østdanmark'!J285</f>
        <v>1130725.1519730305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-8439338.016000744</v>
      </c>
      <c r="I286" s="276">
        <f>'Resultater - Vestdanmark'!I286+'Resultater - Østdanmark'!I286</f>
        <v>-5163288.3186839549</v>
      </c>
      <c r="J286" s="277">
        <f>'Resultater - Vestdanmark'!J286+'Resultater - Østdanmark'!J286</f>
        <v>-4688621.8539761165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135050.85263779573</v>
      </c>
      <c r="I287" s="276">
        <f>'Resultater - Vestdanmark'!I287+'Resultater - Østdanmark'!I287</f>
        <v>82625.733029174298</v>
      </c>
      <c r="J287" s="277">
        <f>'Resultater - Vestdanmark'!J287+'Resultater - Østdanmark'!J287</f>
        <v>75029.863465018658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59344.705933036988</v>
      </c>
      <c r="I288" s="276">
        <f>'Resultater - Vestdanmark'!I288+'Resultater - Østdanmark'!I288</f>
        <v>33514.846017662872</v>
      </c>
      <c r="J288" s="277">
        <f>'Resultater - Vestdanmark'!J288+'Resultater - Østdanmark'!J288</f>
        <v>34290.840047512778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-207469.18786644947</v>
      </c>
      <c r="I289" s="276">
        <f>'Resultater - Vestdanmark'!I289+'Resultater - Østdanmark'!I289</f>
        <v>-109298.46627893313</v>
      </c>
      <c r="J289" s="277">
        <f>'Resultater - Vestdanmark'!J289+'Resultater - Østdanmark'!J289</f>
        <v>-104244.20194233507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26542.270744245459</v>
      </c>
      <c r="I290" s="276">
        <f>'Resultater - Vestdanmark'!I290+'Resultater - Østdanmark'!I290</f>
        <v>13982.941340540916</v>
      </c>
      <c r="J290" s="277">
        <f>'Resultater - Vestdanmark'!J290+'Resultater - Østdanmark'!J290</f>
        <v>13336.331336354053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39757.754782963726</v>
      </c>
      <c r="I291" s="276">
        <f>'Resultater - Vestdanmark'!I291+'Resultater - Østdanmark'!I291</f>
        <v>24547.175218188691</v>
      </c>
      <c r="J291" s="277">
        <f>'Resultater - Vestdanmark'!J291+'Resultater - Østdanmark'!J291</f>
        <v>25115.534130205029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-102854.94948928599</v>
      </c>
      <c r="I292" s="276">
        <f>'Resultater - Vestdanmark'!I292+'Resultater - Østdanmark'!I292</f>
        <v>-59239.322330365954</v>
      </c>
      <c r="J292" s="277">
        <f>'Resultater - Vestdanmark'!J292+'Resultater - Østdanmark'!J292</f>
        <v>-56499.931702372152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39030.898430904032</v>
      </c>
      <c r="I293" s="276">
        <f>'Resultater - Vestdanmark'!I293+'Resultater - Østdanmark'!I293</f>
        <v>22479.85132920558</v>
      </c>
      <c r="J293" s="277">
        <f>'Resultater - Vestdanmark'!J293+'Resultater - Østdanmark'!J293</f>
        <v>21440.320631901275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128984.36974444673</v>
      </c>
      <c r="I294" s="276">
        <f>'Resultater - Vestdanmark'!I294+'Resultater - Østdanmark'!I294</f>
        <v>103258.9450544737</v>
      </c>
      <c r="J294" s="277">
        <f>'Resultater - Vestdanmark'!J294+'Resultater - Østdanmark'!J294</f>
        <v>136714.95019310279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-615067.9268187969</v>
      </c>
      <c r="I295" s="276">
        <f>'Resultater - Vestdanmark'!I295+'Resultater - Østdanmark'!I295</f>
        <v>-459323.74118234706</v>
      </c>
      <c r="J295" s="277">
        <f>'Resultater - Vestdanmark'!J295+'Resultater - Østdanmark'!J295</f>
        <v>-566897.00598074868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17267.806523585219</v>
      </c>
      <c r="I296" s="276">
        <f>'Resultater - Vestdanmark'!I296+'Resultater - Østdanmark'!I296</f>
        <v>12895.345617269975</v>
      </c>
      <c r="J296" s="277">
        <f>'Resultater - Vestdanmark'!J296+'Resultater - Østdanmark'!J296</f>
        <v>15915.425583488808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4325.1052602347863</v>
      </c>
      <c r="I297" s="276">
        <f>'Resultater - Vestdanmark'!I297+'Resultater - Østdanmark'!I297</f>
        <v>2981.4652035365989</v>
      </c>
      <c r="J297" s="277">
        <f>'Resultater - Vestdanmark'!J297+'Resultater - Østdanmark'!J297</f>
        <v>4146.0742966538164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-15120.574980864158</v>
      </c>
      <c r="I298" s="276">
        <f>'Resultater - Vestdanmark'!I298+'Resultater - Østdanmark'!I298</f>
        <v>-9723.1410175305264</v>
      </c>
      <c r="J298" s="277">
        <f>'Resultater - Vestdanmark'!J298+'Resultater - Østdanmark'!J298</f>
        <v>-12604.071689391423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3393.7349298895001</v>
      </c>
      <c r="I299" s="276">
        <f>'Resultater - Vestdanmark'!I299+'Resultater - Østdanmark'!I299</f>
        <v>2182.3087641306633</v>
      </c>
      <c r="J299" s="277">
        <f>'Resultater - Vestdanmark'!J299+'Resultater - Østdanmark'!J299</f>
        <v>2828.9187683175264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2897.587436711749</v>
      </c>
      <c r="I300" s="276">
        <f>'Resultater - Vestdanmark'!I300+'Resultater - Østdanmark'!I300</f>
        <v>2183.7053561151674</v>
      </c>
      <c r="J300" s="277">
        <f>'Resultater - Vestdanmark'!J300+'Resultater - Østdanmark'!J300</f>
        <v>3036.6963993793343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-7496.1780681710807</v>
      </c>
      <c r="I301" s="276">
        <f>'Resultater - Vestdanmark'!I301+'Resultater - Østdanmark'!I301</f>
        <v>-5269.9027206030751</v>
      </c>
      <c r="J301" s="277">
        <f>'Resultater - Vestdanmark'!J301+'Resultater - Østdanmark'!J301</f>
        <v>-6831.3553785595395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4990.5497772321014</v>
      </c>
      <c r="I302" s="276">
        <f>'Resultater - Vestdanmark'!I302+'Resultater - Østdanmark'!I302</f>
        <v>3508.4161034020271</v>
      </c>
      <c r="J302" s="277">
        <f>'Resultater - Vestdanmark'!J302+'Resultater - Østdanmark'!J302</f>
        <v>4547.9468007063306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6805636.3914233753</v>
      </c>
      <c r="I303" s="276">
        <f>'Resultater - Vestdanmark'!I303+'Resultater - Østdanmark'!I303</f>
        <v>6538656.3127026604</v>
      </c>
      <c r="J303" s="277">
        <f>'Resultater - Vestdanmark'!J303+'Resultater - Østdanmark'!J303</f>
        <v>6369574.1265731603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-24464206.304824531</v>
      </c>
      <c r="I304" s="276">
        <f>'Resultater - Vestdanmark'!I304+'Resultater - Østdanmark'!I304</f>
        <v>-21925833.579918846</v>
      </c>
      <c r="J304" s="277">
        <f>'Resultater - Vestdanmark'!J304+'Resultater - Østdanmark'!J304</f>
        <v>-19910168.897105791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347650.80050176143</v>
      </c>
      <c r="I305" s="276">
        <f>'Resultater - Vestdanmark'!I305+'Resultater - Østdanmark'!I305</f>
        <v>311579.02695678157</v>
      </c>
      <c r="J305" s="277">
        <f>'Resultater - Vestdanmark'!J305+'Resultater - Østdanmark'!J305</f>
        <v>282935.24298146024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271759.53465639014</v>
      </c>
      <c r="I306" s="276">
        <f>'Resultater - Vestdanmark'!I306+'Resultater - Østdanmark'!I306</f>
        <v>153453.82496259263</v>
      </c>
      <c r="J306" s="277">
        <f>'Resultater - Vestdanmark'!J306+'Resultater - Østdanmark'!J306</f>
        <v>157006.85492328065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-661438.24431458686</v>
      </c>
      <c r="I307" s="276">
        <f>'Resultater - Vestdanmark'!I307+'Resultater - Østdanmark'!I307</f>
        <v>-348407.45939507824</v>
      </c>
      <c r="J307" s="277">
        <f>'Resultater - Vestdanmark'!J307+'Resultater - Østdanmark'!J307</f>
        <v>-332296.13179299369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81365.524969577309</v>
      </c>
      <c r="I308" s="276">
        <f>'Resultater - Vestdanmark'!I308+'Resultater - Østdanmark'!I308</f>
        <v>42858.658507678403</v>
      </c>
      <c r="J308" s="277">
        <f>'Resultater - Vestdanmark'!J308+'Resultater - Østdanmark'!J308</f>
        <v>40876.75522408633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107772.91589565421</v>
      </c>
      <c r="I309" s="276">
        <f>'Resultater - Vestdanmark'!I309+'Resultater - Østdanmark'!I309</f>
        <v>66365.970991770519</v>
      </c>
      <c r="J309" s="277">
        <f>'Resultater - Vestdanmark'!J309+'Resultater - Østdanmark'!J309</f>
        <v>67902.591427014777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-172951.36870631672</v>
      </c>
      <c r="I310" s="276">
        <f>'Resultater - Vestdanmark'!I310+'Resultater - Østdanmark'!I310</f>
        <v>-99349.351718131846</v>
      </c>
      <c r="J310" s="277">
        <f>'Resultater - Vestdanmark'!J310+'Resultater - Østdanmark'!J310</f>
        <v>-94755.162043304925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70826.515916993711</v>
      </c>
      <c r="I311" s="276">
        <f>'Resultater - Vestdanmark'!I311+'Resultater - Østdanmark'!I311</f>
        <v>40685.242871687507</v>
      </c>
      <c r="J311" s="277">
        <f>'Resultater - Vestdanmark'!J311+'Resultater - Østdanmark'!J311</f>
        <v>38803.844357389826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722248.54897796328</v>
      </c>
      <c r="I312" s="276">
        <f>'Resultater - Vestdanmark'!I312+'Resultater - Østdanmark'!I312</f>
        <v>847001.66455298616</v>
      </c>
      <c r="J312" s="277">
        <f>'Resultater - Vestdanmark'!J312+'Resultater - Østdanmark'!J312</f>
        <v>1121431.0810724259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-2596265.2850252553</v>
      </c>
      <c r="I313" s="276">
        <f>'Resultater - Vestdanmark'!I313+'Resultater - Østdanmark'!I313</f>
        <v>-2840219.251595268</v>
      </c>
      <c r="J313" s="277">
        <f>'Resultater - Vestdanmark'!J313+'Resultater - Østdanmark'!J313</f>
        <v>-3505396.4027934736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44451.157794126186</v>
      </c>
      <c r="I314" s="276">
        <f>'Resultater - Vestdanmark'!I314+'Resultater - Østdanmark'!I314</f>
        <v>48627.940623312745</v>
      </c>
      <c r="J314" s="277">
        <f>'Resultater - Vestdanmark'!J314+'Resultater - Østdanmark'!J314</f>
        <v>60016.566693037021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28840.49606644551</v>
      </c>
      <c r="I315" s="276">
        <f>'Resultater - Vestdanmark'!I315+'Resultater - Østdanmark'!I315</f>
        <v>19878.035938795954</v>
      </c>
      <c r="J315" s="277">
        <f>'Resultater - Vestdanmark'!J315+'Resultater - Østdanmark'!J315</f>
        <v>27642.722033462447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-70195.171284316559</v>
      </c>
      <c r="I316" s="276">
        <f>'Resultater - Vestdanmark'!I316+'Resultater - Østdanmark'!I316</f>
        <v>-45131.856445339326</v>
      </c>
      <c r="J316" s="277">
        <f>'Resultater - Vestdanmark'!J316+'Resultater - Østdanmark'!J316</f>
        <v>-58504.258355069491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10403.519233105488</v>
      </c>
      <c r="I317" s="276">
        <f>'Resultater - Vestdanmark'!I317+'Resultater - Østdanmark'!I317</f>
        <v>6688.9235821232187</v>
      </c>
      <c r="J317" s="277">
        <f>'Resultater - Vestdanmark'!J317+'Resultater - Østdanmark'!J317</f>
        <v>8670.8268657152839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11437.406826914037</v>
      </c>
      <c r="I318" s="276">
        <f>'Resultater - Vestdanmark'!I318+'Resultater - Østdanmark'!I318</f>
        <v>8596.8867625755938</v>
      </c>
      <c r="J318" s="277">
        <f>'Resultater - Vestdanmark'!J318+'Resultater - Østdanmark'!J318</f>
        <v>11954.971399725935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-18354.473837201975</v>
      </c>
      <c r="I319" s="276">
        <f>'Resultater - Vestdanmark'!I319+'Resultater - Østdanmark'!I319</f>
        <v>-12869.473826608873</v>
      </c>
      <c r="J319" s="277">
        <f>'Resultater - Vestdanmark'!J319+'Resultater - Østdanmark'!J319</f>
        <v>-16682.651256715202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9055.9855765916054</v>
      </c>
      <c r="I320" s="276">
        <f>'Resultater - Vestdanmark'!I320+'Resultater - Østdanmark'!I320</f>
        <v>6349.7199857546993</v>
      </c>
      <c r="J320" s="277">
        <f>'Resultater - Vestdanmark'!J320+'Resultater - Østdanmark'!J320</f>
        <v>8231.1185000523856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614076.2528869072</v>
      </c>
      <c r="I321" s="276">
        <f>'Resultater - Vestdanmark'!I321+'Resultater - Østdanmark'!I321</f>
        <v>432411.76206732308</v>
      </c>
      <c r="J321" s="277">
        <f>'Resultater - Vestdanmark'!J321+'Resultater - Østdanmark'!J321</f>
        <v>421230.08764647687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327981.19704816159</v>
      </c>
      <c r="I322" s="276">
        <f>'Resultater - Vestdanmark'!I322+'Resultater - Østdanmark'!I322</f>
        <v>310380.78625631024</v>
      </c>
      <c r="J322" s="277">
        <f>'Resultater - Vestdanmark'!J322+'Resultater - Østdanmark'!J322</f>
        <v>281847.15779469587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-24423487.330729261</v>
      </c>
      <c r="I323" s="276">
        <f>'Resultater - Vestdanmark'!I323+'Resultater - Østdanmark'!I323</f>
        <v>-16043092.427446898</v>
      </c>
      <c r="J323" s="277">
        <f>'Resultater - Vestdanmark'!J323+'Resultater - Østdanmark'!J323</f>
        <v>-14568234.25654811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317323.11758989503</v>
      </c>
      <c r="I324" s="276">
        <f>'Resultater - Vestdanmark'!I324+'Resultater - Østdanmark'!I324</f>
        <v>208440.50793905521</v>
      </c>
      <c r="J324" s="277">
        <f>'Resultater - Vestdanmark'!J324+'Resultater - Østdanmark'!J324</f>
        <v>189278.35527612673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13323.118692618173</v>
      </c>
      <c r="I325" s="276">
        <f>'Resultater - Vestdanmark'!I325+'Resultater - Østdanmark'!I325</f>
        <v>7524.9184400166405</v>
      </c>
      <c r="J325" s="277">
        <f>'Resultater - Vestdanmark'!J325+'Resultater - Østdanmark'!J325</f>
        <v>7699.1484448772626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7115.9443093208292</v>
      </c>
      <c r="I326" s="276">
        <f>'Resultater - Vestdanmark'!I326+'Resultater - Østdanmark'!I326</f>
        <v>5401.3102945227929</v>
      </c>
      <c r="J326" s="277">
        <f>'Resultater - Vestdanmark'!J326+'Resultater - Østdanmark'!J326</f>
        <v>5151.5387202095999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-365881.10046015814</v>
      </c>
      <c r="I327" s="276">
        <f>'Resultater - Vestdanmark'!I327+'Resultater - Østdanmark'!I327</f>
        <v>-192770.72976778267</v>
      </c>
      <c r="J327" s="277">
        <f>'Resultater - Vestdanmark'!J327+'Resultater - Østdanmark'!J327</f>
        <v>-183856.47636811645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40352.129195848909</v>
      </c>
      <c r="I328" s="276">
        <f>'Resultater - Vestdanmark'!I328+'Resultater - Østdanmark'!I328</f>
        <v>21260.210989265601</v>
      </c>
      <c r="J328" s="277">
        <f>'Resultater - Vestdanmark'!J328+'Resultater - Østdanmark'!J328</f>
        <v>20277.079845253316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6434.7975318427207</v>
      </c>
      <c r="I329" s="276">
        <f>'Resultater - Vestdanmark'!I329+'Resultater - Østdanmark'!I329</f>
        <v>3979.7337616855807</v>
      </c>
      <c r="J329" s="277">
        <f>'Resultater - Vestdanmark'!J329+'Resultater - Østdanmark'!J329</f>
        <v>4071.879482356132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3436.8575357448558</v>
      </c>
      <c r="I330" s="276">
        <f>'Resultater - Vestdanmark'!I330+'Resultater - Østdanmark'!I330</f>
        <v>2856.6126141833251</v>
      </c>
      <c r="J330" s="277">
        <f>'Resultater - Vestdanmark'!J330+'Resultater - Østdanmark'!J330</f>
        <v>2724.5149210418995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-120130.14872758326</v>
      </c>
      <c r="I331" s="276">
        <f>'Resultater - Vestdanmark'!I331+'Resultater - Østdanmark'!I331</f>
        <v>-69306.882177057356</v>
      </c>
      <c r="J331" s="277">
        <f>'Resultater - Vestdanmark'!J331+'Resultater - Østdanmark'!J331</f>
        <v>-66101.939648638509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42778.549000109218</v>
      </c>
      <c r="I332" s="276">
        <f>'Resultater - Vestdanmark'!I332+'Resultater - Østdanmark'!I332</f>
        <v>24680.297882418934</v>
      </c>
      <c r="J332" s="277">
        <f>'Resultater - Vestdanmark'!J332+'Resultater - Østdanmark'!J332</f>
        <v>23539.012431208808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43184.19576890875</v>
      </c>
      <c r="I333" s="276">
        <f>'Resultater - Vestdanmark'!I333+'Resultater - Østdanmark'!I333</f>
        <v>37117.425819073687</v>
      </c>
      <c r="J333" s="277">
        <f>'Resultater - Vestdanmark'!J333+'Resultater - Østdanmark'!J333</f>
        <v>49143.510225422295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23064.894881153006</v>
      </c>
      <c r="I334" s="276">
        <f>'Resultater - Vestdanmark'!I334+'Resultater - Østdanmark'!I334</f>
        <v>26642.512577492525</v>
      </c>
      <c r="J334" s="277">
        <f>'Resultater - Vestdanmark'!J334+'Resultater - Østdanmark'!J334</f>
        <v>32882.168409381178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-1717553.2408088709</v>
      </c>
      <c r="I335" s="276">
        <f>'Resultater - Vestdanmark'!I335+'Resultater - Østdanmark'!I335</f>
        <v>-1377109.3788877833</v>
      </c>
      <c r="J335" s="277">
        <f>'Resultater - Vestdanmark'!J335+'Resultater - Østdanmark'!J335</f>
        <v>-1699627.3299306131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40573.414332296394</v>
      </c>
      <c r="I336" s="276">
        <f>'Resultater - Vestdanmark'!I336+'Resultater - Østdanmark'!I336</f>
        <v>32531.177539621334</v>
      </c>
      <c r="J336" s="277">
        <f>'Resultater - Vestdanmark'!J336+'Resultater - Østdanmark'!J336</f>
        <v>40149.954149481418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936.9327720614383</v>
      </c>
      <c r="I337" s="276">
        <f>'Resultater - Vestdanmark'!I337+'Resultater - Østdanmark'!I337</f>
        <v>645.92507996674658</v>
      </c>
      <c r="J337" s="277">
        <f>'Resultater - Vestdanmark'!J337+'Resultater - Østdanmark'!J337</f>
        <v>898.23398523568062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500.42047822187442</v>
      </c>
      <c r="I338" s="276">
        <f>'Resultater - Vestdanmark'!I338+'Resultater - Østdanmark'!I338</f>
        <v>463.63848481886413</v>
      </c>
      <c r="J338" s="277">
        <f>'Resultater - Vestdanmark'!J338+'Resultater - Østdanmark'!J338</f>
        <v>601.01285069111998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-25730.161353959949</v>
      </c>
      <c r="I339" s="276">
        <f>'Resultater - Vestdanmark'!I339+'Resultater - Østdanmark'!I339</f>
        <v>-16547.082873130483</v>
      </c>
      <c r="J339" s="277">
        <f>'Resultater - Vestdanmark'!J339+'Resultater - Østdanmark'!J339</f>
        <v>-21449.922242946916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5159.4843435562807</v>
      </c>
      <c r="I340" s="276">
        <f>'Resultater - Vestdanmark'!I340+'Resultater - Østdanmark'!I340</f>
        <v>3318.0676110414529</v>
      </c>
      <c r="J340" s="277">
        <f>'Resultater - Vestdanmark'!J340+'Resultater - Østdanmark'!J340</f>
        <v>4301.1987550537342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452.51962609204435</v>
      </c>
      <c r="I341" s="276">
        <f>'Resultater - Vestdanmark'!I341+'Resultater - Østdanmark'!I341</f>
        <v>341.61298474584328</v>
      </c>
      <c r="J341" s="277">
        <f>'Resultater - Vestdanmark'!J341+'Resultater - Østdanmark'!J341</f>
        <v>475.05260627488212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241.69299489389135</v>
      </c>
      <c r="I342" s="276">
        <f>'Resultater - Vestdanmark'!I342+'Resultater - Østdanmark'!I342</f>
        <v>245.20634289377099</v>
      </c>
      <c r="J342" s="277">
        <f>'Resultater - Vestdanmark'!J342+'Resultater - Østdanmark'!J342</f>
        <v>317.86007412155504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-8448.0125000949847</v>
      </c>
      <c r="I343" s="276">
        <f>'Resultater - Vestdanmark'!I343+'Resultater - Østdanmark'!I343</f>
        <v>-5949.174568377467</v>
      </c>
      <c r="J343" s="277">
        <f>'Resultater - Vestdanmark'!J343+'Resultater - Østdanmark'!J343</f>
        <v>-7711.8929590078278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5469.7300540171764</v>
      </c>
      <c r="I344" s="276">
        <f>'Resultater - Vestdanmark'!I344+'Resultater - Østdanmark'!I344</f>
        <v>3851.838397834169</v>
      </c>
      <c r="J344" s="277">
        <f>'Resultater - Vestdanmark'!J344+'Resultater - Østdanmark'!J344</f>
        <v>4993.1238490442929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1244876.7164053498</v>
      </c>
      <c r="I345" s="276">
        <f>'Resultater - Vestdanmark'!I345+'Resultater - Østdanmark'!I345</f>
        <v>1251384.0274078758</v>
      </c>
      <c r="J345" s="277">
        <f>'Resultater - Vestdanmark'!J345+'Resultater - Østdanmark'!J345</f>
        <v>1219024.6653428269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206810.63376166133</v>
      </c>
      <c r="I346" s="276">
        <f>'Resultater - Vestdanmark'!I346+'Resultater - Østdanmark'!I346</f>
        <v>279388.04278637352</v>
      </c>
      <c r="J346" s="277">
        <f>'Resultater - Vestdanmark'!J346+'Resultater - Østdanmark'!J346</f>
        <v>253703.6094629112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-13068327.181838907</v>
      </c>
      <c r="I347" s="276">
        <f>'Resultater - Vestdanmark'!I347+'Resultater - Østdanmark'!I347</f>
        <v>-12254327.333482277</v>
      </c>
      <c r="J347" s="277">
        <f>'Resultater - Vestdanmark'!J347+'Resultater - Østdanmark'!J347</f>
        <v>-11127774.277804911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198089.21270536177</v>
      </c>
      <c r="I348" s="276">
        <f>'Resultater - Vestdanmark'!I348+'Resultater - Østdanmark'!I348</f>
        <v>185750.63356974517</v>
      </c>
      <c r="J348" s="277">
        <f>'Resultater - Vestdanmark'!J348+'Resultater - Østdanmark'!J348</f>
        <v>168674.38465396411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83193.972065214504</v>
      </c>
      <c r="I349" s="276">
        <f>'Resultater - Vestdanmark'!I349+'Resultater - Østdanmark'!I349</f>
        <v>46996.376065825483</v>
      </c>
      <c r="J349" s="277">
        <f>'Resultater - Vestdanmark'!J349+'Resultater - Østdanmark'!J349</f>
        <v>48084.517936817268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13820.965450810663</v>
      </c>
      <c r="I350" s="276">
        <f>'Resultater - Vestdanmark'!I350+'Resultater - Østdanmark'!I350</f>
        <v>10492.5628260426</v>
      </c>
      <c r="J350" s="277">
        <f>'Resultater - Vestdanmark'!J350+'Resultater - Østdanmark'!J350</f>
        <v>10007.357608653347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-655008.26237096614</v>
      </c>
      <c r="I351" s="276">
        <f>'Resultater - Vestdanmark'!I351+'Resultater - Østdanmark'!I351</f>
        <v>-345163.21320102591</v>
      </c>
      <c r="J351" s="277">
        <f>'Resultater - Vestdanmark'!J351+'Resultater - Østdanmark'!J351</f>
        <v>-329201.90854433109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77590.310666771984</v>
      </c>
      <c r="I352" s="276">
        <f>'Resultater - Vestdanmark'!I352+'Resultater - Østdanmark'!I352</f>
        <v>40886.997128963179</v>
      </c>
      <c r="J352" s="277">
        <f>'Resultater - Vestdanmark'!J352+'Resultater - Østdanmark'!J352</f>
        <v>38996.268938028465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72418.22612376757</v>
      </c>
      <c r="I353" s="276">
        <f>'Resultater - Vestdanmark'!I353+'Resultater - Østdanmark'!I353</f>
        <v>44931.017565096816</v>
      </c>
      <c r="J353" s="277">
        <f>'Resultater - Vestdanmark'!J353+'Resultater - Østdanmark'!J353</f>
        <v>45971.338662416529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12030.797140939529</v>
      </c>
      <c r="I354" s="276">
        <f>'Resultater - Vestdanmark'!I354+'Resultater - Østdanmark'!I354</f>
        <v>10031.444211346794</v>
      </c>
      <c r="J354" s="277">
        <f>'Resultater - Vestdanmark'!J354+'Resultater - Østdanmark'!J354</f>
        <v>9567.5623981053213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-434413.67575579346</v>
      </c>
      <c r="I355" s="276">
        <f>'Resultater - Vestdanmark'!I355+'Resultater - Østdanmark'!I355</f>
        <v>-251424.19894858479</v>
      </c>
      <c r="J355" s="277">
        <f>'Resultater - Vestdanmark'!J355+'Resultater - Østdanmark'!J355</f>
        <v>-239797.64639604904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148249.80065505981</v>
      </c>
      <c r="I356" s="276">
        <f>'Resultater - Vestdanmark'!I356+'Resultater - Østdanmark'!I356</f>
        <v>85802.057932769181</v>
      </c>
      <c r="J356" s="277">
        <f>'Resultater - Vestdanmark'!J356+'Resultater - Østdanmark'!J356</f>
        <v>81834.332710444578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90727.938572043873</v>
      </c>
      <c r="I357" s="276">
        <f>'Resultater - Vestdanmark'!I357+'Resultater - Østdanmark'!I357</f>
        <v>111322.54440350988</v>
      </c>
      <c r="J357" s="277">
        <f>'Resultater - Vestdanmark'!J357+'Resultater - Østdanmark'!J357</f>
        <v>147391.16408235996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15072.578857570828</v>
      </c>
      <c r="I358" s="276">
        <f>'Resultater - Vestdanmark'!I358+'Resultater - Østdanmark'!I358</f>
        <v>24854.231089492998</v>
      </c>
      <c r="J358" s="277">
        <f>'Resultater - Vestdanmark'!J358+'Resultater - Østdanmark'!J358</f>
        <v>30675.072780515624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-952433.57849676628</v>
      </c>
      <c r="I359" s="276">
        <f>'Resultater - Vestdanmark'!I359+'Resultater - Østdanmark'!I359</f>
        <v>-1090139.2928456198</v>
      </c>
      <c r="J359" s="277">
        <f>'Resultater - Vestdanmark'!J359+'Resultater - Østdanmark'!J359</f>
        <v>-1345449.0717709572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25327.986699790868</v>
      </c>
      <c r="I360" s="276">
        <f>'Resultater - Vestdanmark'!I360+'Resultater - Østdanmark'!I360</f>
        <v>28989.983273890866</v>
      </c>
      <c r="J360" s="277">
        <f>'Resultater - Vestdanmark'!J360+'Resultater - Østdanmark'!J360</f>
        <v>35779.414926598445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6063.2651310986303</v>
      </c>
      <c r="I361" s="276">
        <f>'Resultater - Vestdanmark'!I361+'Resultater - Østdanmark'!I361</f>
        <v>4180.7758823875965</v>
      </c>
      <c r="J361" s="277">
        <f>'Resultater - Vestdanmark'!J361+'Resultater - Østdanmark'!J361</f>
        <v>5813.8553505424516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1007.2866557006012</v>
      </c>
      <c r="I362" s="276">
        <f>'Resultater - Vestdanmark'!I362+'Resultater - Østdanmark'!I362</f>
        <v>933.4135369525759</v>
      </c>
      <c r="J362" s="277">
        <f>'Resultater - Vestdanmark'!J362+'Resultater - Østdanmark'!J362</f>
        <v>1209.98051086445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-47737.698528232206</v>
      </c>
      <c r="I363" s="276">
        <f>'Resultater - Vestdanmark'!I363+'Resultater - Østdanmark'!I363</f>
        <v>-30705.5598333167</v>
      </c>
      <c r="J363" s="277">
        <f>'Resultater - Vestdanmark'!J363+'Resultater - Østdanmark'!J363</f>
        <v>-39803.503487632755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9920.8146156029889</v>
      </c>
      <c r="I364" s="276">
        <f>'Resultater - Vestdanmark'!I364+'Resultater - Østdanmark'!I364</f>
        <v>6381.2076444046597</v>
      </c>
      <c r="J364" s="277">
        <f>'Resultater - Vestdanmark'!J364+'Resultater - Østdanmark'!J364</f>
        <v>8271.9358353393727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5277.9173107404822</v>
      </c>
      <c r="I365" s="276">
        <f>'Resultater - Vestdanmark'!I365+'Resultater - Østdanmark'!I365</f>
        <v>3997.0425452418499</v>
      </c>
      <c r="J365" s="277">
        <f>'Resultater - Vestdanmark'!J365+'Resultater - Østdanmark'!J365</f>
        <v>5558.352765546726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876.81728607450714</v>
      </c>
      <c r="I366" s="276">
        <f>'Resultater - Vestdanmark'!I366+'Resultater - Østdanmark'!I366</f>
        <v>892.39263822327825</v>
      </c>
      <c r="J366" s="277">
        <f>'Resultater - Vestdanmark'!J366+'Resultater - Østdanmark'!J366</f>
        <v>1156.8052717709163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-31660.530532401586</v>
      </c>
      <c r="I367" s="276">
        <f>'Resultater - Vestdanmark'!I367+'Resultater - Østdanmark'!I367</f>
        <v>-22366.580472940572</v>
      </c>
      <c r="J367" s="277">
        <f>'Resultater - Vestdanmark'!J367+'Resultater - Østdanmark'!J367</f>
        <v>-28993.715427885927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18955.444004025605</v>
      </c>
      <c r="I368" s="276">
        <f>'Resultater - Vestdanmark'!I368+'Resultater - Østdanmark'!I368</f>
        <v>13391.072625345478</v>
      </c>
      <c r="J368" s="277">
        <f>'Resultater - Vestdanmark'!J368+'Resultater - Østdanmark'!J368</f>
        <v>17358.797847670063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803523.26097451104</v>
      </c>
      <c r="I369" s="276">
        <f>'Resultater - Vestdanmark'!I369+'Resultater - Østdanmark'!I369</f>
        <v>822429.07045355951</v>
      </c>
      <c r="J369" s="277">
        <f>'Resultater - Vestdanmark'!J369+'Resultater - Østdanmark'!J369</f>
        <v>801161.99377626216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-1767751.1741439244</v>
      </c>
      <c r="I370" s="276">
        <f>'Resultater - Vestdanmark'!I370+'Resultater - Østdanmark'!I370</f>
        <v>-1687820.8535427526</v>
      </c>
      <c r="J370" s="277">
        <f>'Resultater - Vestdanmark'!J370+'Resultater - Østdanmark'!J370</f>
        <v>-1532657.7272241539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31589.622964822924</v>
      </c>
      <c r="I371" s="276">
        <f>'Resultater - Vestdanmark'!I371+'Resultater - Østdanmark'!I371</f>
        <v>30161.272228486283</v>
      </c>
      <c r="J371" s="277">
        <f>'Resultater - Vestdanmark'!J371+'Resultater - Østdanmark'!J371</f>
        <v>27388.51510625079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27634.888548227009</v>
      </c>
      <c r="I372" s="276">
        <f>'Resultater - Vestdanmark'!I372+'Resultater - Østdanmark'!I372</f>
        <v>15606.173335078131</v>
      </c>
      <c r="J372" s="277">
        <f>'Resultater - Vestdanmark'!J372+'Resultater - Østdanmark'!J372</f>
        <v>15967.514614415682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-46058.147580378347</v>
      </c>
      <c r="I373" s="276">
        <f>'Resultater - Vestdanmark'!I373+'Resultater - Østdanmark'!I373</f>
        <v>-24263.329190109031</v>
      </c>
      <c r="J373" s="277">
        <f>'Resultater - Vestdanmark'!J373+'Resultater - Østdanmark'!J373</f>
        <v>-23141.325528138674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4910.5789263453398</v>
      </c>
      <c r="I374" s="276">
        <f>'Resultater - Vestdanmark'!I374+'Resultater - Østdanmark'!I374</f>
        <v>2586.8820016263107</v>
      </c>
      <c r="J374" s="277">
        <f>'Resultater - Vestdanmark'!J374+'Resultater - Østdanmark'!J374</f>
        <v>2467.2574003950358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18493.012942248984</v>
      </c>
      <c r="I375" s="276">
        <f>'Resultater - Vestdanmark'!I375+'Resultater - Østdanmark'!I375</f>
        <v>11409.983786663341</v>
      </c>
      <c r="J375" s="277">
        <f>'Resultater - Vestdanmark'!J375+'Resultater - Østdanmark'!J375</f>
        <v>11674.167584329265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-23776.730925748692</v>
      </c>
      <c r="I376" s="276">
        <f>'Resultater - Vestdanmark'!I376+'Resultater - Østdanmark'!I376</f>
        <v>-13684.682046904327</v>
      </c>
      <c r="J376" s="277">
        <f>'Resultater - Vestdanmark'!J376+'Resultater - Østdanmark'!J376</f>
        <v>-13051.864379995453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7529.7457544847666</v>
      </c>
      <c r="I377" s="276">
        <f>'Resultater - Vestdanmark'!I377+'Resultater - Østdanmark'!I377</f>
        <v>4333.7402801898061</v>
      </c>
      <c r="J377" s="277">
        <f>'Resultater - Vestdanmark'!J377+'Resultater - Østdanmark'!J377</f>
        <v>4133.3361053833396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58561.6295189554</v>
      </c>
      <c r="I378" s="276">
        <f>'Resultater - Vestdanmark'!I378+'Resultater - Østdanmark'!I378</f>
        <v>73162.909793527637</v>
      </c>
      <c r="J378" s="277">
        <f>'Resultater - Vestdanmark'!J378+'Resultater - Østdanmark'!J378</f>
        <v>96867.768338402588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-128835.58494170189</v>
      </c>
      <c r="I379" s="276">
        <f>'Resultater - Vestdanmark'!I379+'Resultater - Østdanmark'!I379</f>
        <v>-150147.7626359709</v>
      </c>
      <c r="J379" s="277">
        <f>'Resultater - Vestdanmark'!J379+'Resultater - Østdanmark'!J379</f>
        <v>-185312.25247346587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4039.0970279361727</v>
      </c>
      <c r="I380" s="276">
        <f>'Resultater - Vestdanmark'!I380+'Resultater - Østdanmark'!I380</f>
        <v>4707.2505790123105</v>
      </c>
      <c r="J380" s="277">
        <f>'Resultater - Vestdanmark'!J380+'Resultater - Østdanmark'!J380</f>
        <v>5809.6850225380458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2014.0600571988041</v>
      </c>
      <c r="I381" s="276">
        <f>'Resultater - Vestdanmark'!I381+'Resultater - Østdanmark'!I381</f>
        <v>1388.3179631609967</v>
      </c>
      <c r="J381" s="277">
        <f>'Resultater - Vestdanmark'!J381+'Resultater - Østdanmark'!J381</f>
        <v>1930.6176761066235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-3356.766761998007</v>
      </c>
      <c r="I382" s="276">
        <f>'Resultater - Vestdanmark'!I382+'Resultater - Østdanmark'!I382</f>
        <v>-2158.4545447154796</v>
      </c>
      <c r="J382" s="277">
        <f>'Resultater - Vestdanmark'!J382+'Resultater - Østdanmark'!J382</f>
        <v>-2797.9966320385847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627.87405753257133</v>
      </c>
      <c r="I383" s="276">
        <f>'Resultater - Vestdanmark'!I383+'Resultater - Østdanmark'!I383</f>
        <v>403.73302915555138</v>
      </c>
      <c r="J383" s="277">
        <f>'Resultater - Vestdanmark'!J383+'Resultater - Østdanmark'!J383</f>
        <v>523.3576303868258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1347.7904439254141</v>
      </c>
      <c r="I384" s="276">
        <f>'Resultater - Vestdanmark'!I384+'Resultater - Østdanmark'!I384</f>
        <v>1015.0268813684903</v>
      </c>
      <c r="J384" s="277">
        <f>'Resultater - Vestdanmark'!J384+'Resultater - Østdanmark'!J384</f>
        <v>1411.5129897416293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-1732.8734279041039</v>
      </c>
      <c r="I385" s="276">
        <f>'Resultater - Vestdanmark'!I385+'Resultater - Østdanmark'!I385</f>
        <v>-1217.3829867159398</v>
      </c>
      <c r="J385" s="277">
        <f>'Resultater - Vestdanmark'!J385+'Resultater - Østdanmark'!J385</f>
        <v>-1578.0890568539955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962.76469434034368</v>
      </c>
      <c r="I386" s="276">
        <f>'Resultater - Vestdanmark'!I386+'Resultater - Østdanmark'!I386</f>
        <v>676.36408997181934</v>
      </c>
      <c r="J386" s="277">
        <f>'Resultater - Vestdanmark'!J386+'Resultater - Østdanmark'!J386</f>
        <v>876.76826477828422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151119.96541178104</v>
      </c>
      <c r="I387" s="276">
        <f>'Resultater - Vestdanmark'!I387+'Resultater - Østdanmark'!I387</f>
        <v>154273.20639446744</v>
      </c>
      <c r="J387" s="277">
        <f>'Resultater - Vestdanmark'!J387+'Resultater - Østdanmark'!J387</f>
        <v>150283.87743284131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-743510.2298259628</v>
      </c>
      <c r="I388" s="276">
        <f>'Resultater - Vestdanmark'!I388+'Resultater - Østdanmark'!I388</f>
        <v>-708044.93979550339</v>
      </c>
      <c r="J388" s="277">
        <f>'Resultater - Vestdanmark'!J388+'Resultater - Østdanmark'!J388</f>
        <v>-642953.63214746024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12179.28225780596</v>
      </c>
      <c r="I389" s="276">
        <f>'Resultater - Vestdanmark'!I389+'Resultater - Østdanmark'!I389</f>
        <v>11598.332917355026</v>
      </c>
      <c r="J389" s="277">
        <f>'Resultater - Vestdanmark'!J389+'Resultater - Østdanmark'!J389</f>
        <v>10532.086110554845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22625.724932981873</v>
      </c>
      <c r="I390" s="276">
        <f>'Resultater - Vestdanmark'!I390+'Resultater - Østdanmark'!I390</f>
        <v>12777.848929313532</v>
      </c>
      <c r="J390" s="277">
        <f>'Resultater - Vestdanmark'!J390+'Resultater - Østdanmark'!J390</f>
        <v>13073.703920807318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-92765.472225225691</v>
      </c>
      <c r="I391" s="276">
        <f>'Resultater - Vestdanmark'!I391+'Resultater - Østdanmark'!I391</f>
        <v>-48870.504300546156</v>
      </c>
      <c r="J391" s="277">
        <f>'Resultater - Vestdanmark'!J391+'Resultater - Østdanmark'!J391</f>
        <v>-46610.596587226108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8241.9759393401473</v>
      </c>
      <c r="I392" s="276">
        <f>'Resultater - Vestdanmark'!I392+'Resultater - Østdanmark'!I392</f>
        <v>4342.019836977558</v>
      </c>
      <c r="J392" s="277">
        <f>'Resultater - Vestdanmark'!J392+'Resultater - Østdanmark'!J392</f>
        <v>4141.2327924930469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21786.130098302907</v>
      </c>
      <c r="I393" s="276">
        <f>'Resultater - Vestdanmark'!I393+'Resultater - Østdanmark'!I393</f>
        <v>13451.160805450048</v>
      </c>
      <c r="J393" s="277">
        <f>'Resultater - Vestdanmark'!J393+'Resultater - Østdanmark'!J393</f>
        <v>13762.605485043063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-76562.685774035956</v>
      </c>
      <c r="I394" s="276">
        <f>'Resultater - Vestdanmark'!I394+'Resultater - Østdanmark'!I394</f>
        <v>-44096.289420851703</v>
      </c>
      <c r="J394" s="277">
        <f>'Resultater - Vestdanmark'!J394+'Resultater - Østdanmark'!J394</f>
        <v>-42057.154649945267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18184.718915711666</v>
      </c>
      <c r="I395" s="276">
        <f>'Resultater - Vestdanmark'!I395+'Resultater - Østdanmark'!I395</f>
        <v>10473.491365110818</v>
      </c>
      <c r="J395" s="277">
        <f>'Resultater - Vestdanmark'!J395+'Resultater - Østdanmark'!J395</f>
        <v>9989.1680649900845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11013.783741156445</v>
      </c>
      <c r="I396" s="276">
        <f>'Resultater - Vestdanmark'!I396+'Resultater - Østdanmark'!I396</f>
        <v>13724.073100640773</v>
      </c>
      <c r="J396" s="277">
        <f>'Resultater - Vestdanmark'!J396+'Resultater - Østdanmark'!J396</f>
        <v>18170.686998698082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-54187.816006489709</v>
      </c>
      <c r="I397" s="276">
        <f>'Resultater - Vestdanmark'!I397+'Resultater - Østdanmark'!I397</f>
        <v>-62987.350424582641</v>
      </c>
      <c r="J397" s="277">
        <f>'Resultater - Vestdanmark'!J397+'Resultater - Østdanmark'!J397</f>
        <v>-77738.93915964746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1557.2614723727386</v>
      </c>
      <c r="I398" s="276">
        <f>'Resultater - Vestdanmark'!I398+'Resultater - Østdanmark'!I398</f>
        <v>1810.1444437490504</v>
      </c>
      <c r="J398" s="277">
        <f>'Resultater - Vestdanmark'!J398+'Resultater - Østdanmark'!J398</f>
        <v>2234.0788719358761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1648.986887468722</v>
      </c>
      <c r="I399" s="276">
        <f>'Resultater - Vestdanmark'!I399+'Resultater - Østdanmark'!I399</f>
        <v>1136.711531919857</v>
      </c>
      <c r="J399" s="277">
        <f>'Resultater - Vestdanmark'!J399+'Resultater - Østdanmark'!J399</f>
        <v>1580.7296558794301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-6760.8462386217598</v>
      </c>
      <c r="I400" s="276">
        <f>'Resultater - Vestdanmark'!I400+'Resultater - Østdanmark'!I400</f>
        <v>-4347.4974634994524</v>
      </c>
      <c r="J400" s="277">
        <f>'Resultater - Vestdanmark'!J400+'Resultater - Østdanmark'!J400</f>
        <v>-5635.644860091882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1053.8315242945746</v>
      </c>
      <c r="I401" s="276">
        <f>'Resultater - Vestdanmark'!I401+'Resultater - Østdanmark'!I401</f>
        <v>677.65627513522588</v>
      </c>
      <c r="J401" s="277">
        <f>'Resultater - Vestdanmark'!J401+'Resultater - Østdanmark'!J401</f>
        <v>878.44331961973717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1587.7963233089895</v>
      </c>
      <c r="I402" s="276">
        <f>'Resultater - Vestdanmark'!I402+'Resultater - Østdanmark'!I402</f>
        <v>1196.6090450628683</v>
      </c>
      <c r="J402" s="277">
        <f>'Resultater - Vestdanmark'!J402+'Resultater - Østdanmark'!J402</f>
        <v>1664.0241177370244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-5579.9699362001647</v>
      </c>
      <c r="I403" s="276">
        <f>'Resultater - Vestdanmark'!I403+'Resultater - Østdanmark'!I403</f>
        <v>-3922.7855155312582</v>
      </c>
      <c r="J403" s="277">
        <f>'Resultater - Vestdanmark'!J403+'Resultater - Østdanmark'!J403</f>
        <v>-5085.0923349479272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2325.1256973879313</v>
      </c>
      <c r="I404" s="276">
        <f>'Resultater - Vestdanmark'!I404+'Resultater - Østdanmark'!I404</f>
        <v>1634.5911379074687</v>
      </c>
      <c r="J404" s="277">
        <f>'Resultater - Vestdanmark'!J404+'Resultater - Østdanmark'!J404</f>
        <v>2118.9144380282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2073397.5877193159</v>
      </c>
      <c r="I405" s="276">
        <f>'Resultater - Vestdanmark'!I405+'Resultater - Østdanmark'!I405</f>
        <v>2115889.3802333996</v>
      </c>
      <c r="J405" s="277">
        <f>'Resultater - Vestdanmark'!J405+'Resultater - Østdanmark'!J405</f>
        <v>2061174.8968734099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-7517757.7509764899</v>
      </c>
      <c r="I406" s="276">
        <f>'Resultater - Vestdanmark'!I406+'Resultater - Østdanmark'!I406</f>
        <v>-7156553.3246343043</v>
      </c>
      <c r="J406" s="277">
        <f>'Resultater - Vestdanmark'!J406+'Resultater - Østdanmark'!J406</f>
        <v>-6498643.9350298261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295552.28134429298</v>
      </c>
      <c r="I407" s="276">
        <f>'Resultater - Vestdanmark'!I407+'Resultater - Østdanmark'!I407</f>
        <v>281351.93121685996</v>
      </c>
      <c r="J407" s="277">
        <f>'Resultater - Vestdanmark'!J407+'Resultater - Østdanmark'!J407</f>
        <v>255486.95558763357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362721.58612359717</v>
      </c>
      <c r="I408" s="276">
        <f>'Resultater - Vestdanmark'!I408+'Resultater - Østdanmark'!I408</f>
        <v>799165.48722017289</v>
      </c>
      <c r="J408" s="277">
        <f>'Resultater - Vestdanmark'!J408+'Resultater - Østdanmark'!J408</f>
        <v>817669.15710479999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-1095968.0508931505</v>
      </c>
      <c r="I409" s="276">
        <f>'Resultater - Vestdanmark'!I409+'Resultater - Østdanmark'!I409</f>
        <v>-2252508.44</v>
      </c>
      <c r="J409" s="277">
        <f>'Resultater - Vestdanmark'!J409+'Resultater - Østdanmark'!J409</f>
        <v>-2148346.1999999997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233697.52790303045</v>
      </c>
      <c r="I410" s="276">
        <f>'Resultater - Vestdanmark'!I410+'Resultater - Østdanmark'!I410</f>
        <v>480311.13094922929</v>
      </c>
      <c r="J410" s="277">
        <f>'Resultater - Vestdanmark'!J410+'Resultater - Østdanmark'!J410</f>
        <v>458100.21159897582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457088.33107391914</v>
      </c>
      <c r="I411" s="276">
        <f>'Resultater - Vestdanmark'!I411+'Resultater - Østdanmark'!I411</f>
        <v>721761.95915080293</v>
      </c>
      <c r="J411" s="277">
        <f>'Resultater - Vestdanmark'!J411+'Resultater - Østdanmark'!J411</f>
        <v>738473.44787369971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-1183798.6405105125</v>
      </c>
      <c r="I412" s="276">
        <f>'Resultater - Vestdanmark'!I412+'Resultater - Østdanmark'!I412</f>
        <v>-1743720.6299999992</v>
      </c>
      <c r="J412" s="277">
        <f>'Resultater - Vestdanmark'!J412+'Resultater - Østdanmark'!J412</f>
        <v>-1663086.1499999994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674805.3408895086</v>
      </c>
      <c r="I413" s="276">
        <f>'Resultater - Vestdanmark'!I413+'Resultater - Østdanmark'!I413</f>
        <v>993979.84917078388</v>
      </c>
      <c r="J413" s="277">
        <f>'Resultater - Vestdanmark'!J413+'Resultater - Østdanmark'!J413</f>
        <v>948015.4630819615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265107.75527814421</v>
      </c>
      <c r="I414" s="276">
        <f>'Resultater - Vestdanmark'!I414+'Resultater - Østdanmark'!I414</f>
        <v>330225.51020983694</v>
      </c>
      <c r="J414" s="277">
        <f>'Resultater - Vestdanmark'!J414+'Resultater - Østdanmark'!J414</f>
        <v>437218.9175186021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-961231.89005853585</v>
      </c>
      <c r="I415" s="276">
        <f>'Resultater - Vestdanmark'!I415+'Resultater - Østdanmark'!I415</f>
        <v>-1116918.7269660474</v>
      </c>
      <c r="J415" s="277">
        <f>'Resultater - Vestdanmark'!J415+'Resultater - Østdanmark'!J415</f>
        <v>-1378500.2286426905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37789.762242709345</v>
      </c>
      <c r="I416" s="276">
        <f>'Resultater - Vestdanmark'!I416+'Resultater - Østdanmark'!I416</f>
        <v>43910.41701072381</v>
      </c>
      <c r="J416" s="277">
        <f>'Resultater - Vestdanmark'!J416+'Resultater - Østdanmark'!J416</f>
        <v>54194.202700407128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46378.13126518044</v>
      </c>
      <c r="I417" s="276">
        <f>'Resultater - Vestdanmark'!I417+'Resultater - Østdanmark'!I417</f>
        <v>124725.24945054723</v>
      </c>
      <c r="J417" s="277">
        <f>'Resultater - Vestdanmark'!J417+'Resultater - Østdanmark'!J417</f>
        <v>173444.97271919998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-140132.13459384954</v>
      </c>
      <c r="I418" s="276">
        <f>'Resultater - Vestdanmark'!I418+'Resultater - Østdanmark'!I418</f>
        <v>-351547.56</v>
      </c>
      <c r="J418" s="277">
        <f>'Resultater - Vestdanmark'!J418+'Resultater - Østdanmark'!J418</f>
        <v>-455709.79999999993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29880.919802059198</v>
      </c>
      <c r="I419" s="276">
        <f>'Resultater - Vestdanmark'!I419+'Resultater - Østdanmark'!I419</f>
        <v>74961.852807105141</v>
      </c>
      <c r="J419" s="277">
        <f>'Resultater - Vestdanmark'!J419+'Resultater - Østdanmark'!J419</f>
        <v>97172.7721573585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58444.006172560563</v>
      </c>
      <c r="I420" s="276">
        <f>'Resultater - Vestdanmark'!I420+'Resultater - Østdanmark'!I420</f>
        <v>112644.93004087679</v>
      </c>
      <c r="J420" s="277">
        <f>'Resultater - Vestdanmark'!J420+'Resultater - Østdanmark'!J420</f>
        <v>156645.88288229995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-151362.28678276329</v>
      </c>
      <c r="I421" s="276">
        <f>'Resultater - Vestdanmark'!I421+'Resultater - Østdanmark'!I421</f>
        <v>-272141.36999999994</v>
      </c>
      <c r="J421" s="277">
        <f>'Resultater - Vestdanmark'!J421+'Resultater - Østdanmark'!J421</f>
        <v>-352775.84999999986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86281.632732920101</v>
      </c>
      <c r="I422" s="276">
        <f>'Resultater - Vestdanmark'!I422+'Resultater - Østdanmark'!I422</f>
        <v>155129.80304977554</v>
      </c>
      <c r="J422" s="277">
        <f>'Resultater - Vestdanmark'!J422+'Resultater - Østdanmark'!J422</f>
        <v>201094.1891385979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827693.20492220437</v>
      </c>
      <c r="I423" s="276">
        <f ca="1">'Resultater - Vestdanmark'!I423+'Resultater - Østdanmark'!I423</f>
        <v>792502.62774827308</v>
      </c>
      <c r="J423" s="277">
        <f ca="1">'Resultater - Vestdanmark'!J423+'Resultater - Østdanmark'!J423</f>
        <v>897333.94736170489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896667.6386657214</v>
      </c>
      <c r="I424" s="276">
        <f ca="1">'Resultater - Vestdanmark'!I424+'Resultater - Østdanmark'!I424</f>
        <v>858544.51339396252</v>
      </c>
      <c r="J424" s="277">
        <f ca="1">'Resultater - Vestdanmark'!J424+'Resultater - Østdanmark'!J424</f>
        <v>972111.7763085136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-605900.32409827493</v>
      </c>
      <c r="I425" s="276">
        <f ca="1">'Resultater - Vestdanmark'!I425+'Resultater - Østdanmark'!I425</f>
        <v>-631434.34313339414</v>
      </c>
      <c r="J425" s="277">
        <f ca="1">'Resultater - Vestdanmark'!J425+'Resultater - Østdanmark'!J425</f>
        <v>-1708017.489143146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2679978.7351939101</v>
      </c>
      <c r="J426" s="277">
        <f>'Resultater - Vestdanmark'!J426+'Resultater - Østdanmark'!J426</f>
        <v>2630197.4122624523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104331.85268210551</v>
      </c>
      <c r="J427" s="277">
        <f>'Resultater - Vestdanmark'!J427+'Resultater - Østdanmark'!J427</f>
        <v>102393.86056963103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13709.205442428665</v>
      </c>
      <c r="J428" s="277">
        <f>'Resultater - Vestdanmark'!J428+'Resultater - Østdanmark'!J428</f>
        <v>13454.553278849517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1388963.5194082048</v>
      </c>
      <c r="J429" s="277">
        <f>'Resultater - Vestdanmark'!J429+'Resultater - Østdanmark'!J429</f>
        <v>1363163.1499531572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1262146.510248078</v>
      </c>
      <c r="J430" s="277">
        <f>'Resultater - Vestdanmark'!J430+'Resultater - Østdanmark'!J430</f>
        <v>1227467.8963796864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24180.745341776219</v>
      </c>
      <c r="J431" s="277">
        <f>'Resultater - Vestdanmark'!J431+'Resultater - Østdanmark'!J431</f>
        <v>23516.35755165149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112563.08046776136</v>
      </c>
      <c r="J432" s="277">
        <f>'Resultater - Vestdanmark'!J432+'Resultater - Østdanmark'!J432</f>
        <v>109470.30829616069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111066.04139884243</v>
      </c>
      <c r="J433" s="277">
        <f>'Resultater - Vestdanmark'!J433+'Resultater - Østdanmark'!J433</f>
        <v>108014.40172604074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90971.147089593054</v>
      </c>
      <c r="J434" s="277">
        <f>'Resultater - Vestdanmark'!J434+'Resultater - Østdanmark'!J434</f>
        <v>88074.943427410559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44121.743543858545</v>
      </c>
      <c r="J435" s="277">
        <f>'Resultater - Vestdanmark'!J435+'Resultater - Østdanmark'!J435</f>
        <v>42717.06129765416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5823.9227067081456</v>
      </c>
      <c r="J436" s="277">
        <f>'Resultater - Vestdanmark'!J436+'Resultater - Østdanmark'!J436</f>
        <v>5638.5093442183434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59861.078960088766</v>
      </c>
      <c r="J437" s="277">
        <f>'Resultater - Vestdanmark'!J437+'Resultater - Østdanmark'!J437</f>
        <v>57955.311234244218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157498.34817848625</v>
      </c>
      <c r="J438" s="277">
        <f>'Resultater - Vestdanmark'!J438+'Resultater - Østdanmark'!J438</f>
        <v>150587.0929141927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580.93006043583182</v>
      </c>
      <c r="J439" s="280">
        <f>'Resultater - Vestdanmark'!J439+'Resultater - Østdanmark'!J439</f>
        <v>555.43800934572437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4621984182.6829443</v>
      </c>
      <c r="J440" s="274">
        <f>'Resultater - Vestdanmark'!J440+'Resultater - Østdanmark'!J440</f>
        <v>4621984182.6829443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131956390.2838318</v>
      </c>
      <c r="J441" s="277">
        <f>'Resultater - Vestdanmark'!J441+'Resultater - Østdanmark'!J441</f>
        <v>131956390.2838318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62759746.598407798</v>
      </c>
      <c r="J443" s="277">
        <f>'Resultater - Vestdanmark'!J443+'Resultater - Østdanmark'!J443</f>
        <v>62759746.598407805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245119623.8785325</v>
      </c>
      <c r="J444" s="277">
        <f>'Resultater - Vestdanmark'!J444+'Resultater - Østdanmark'!J444</f>
        <v>245119623.8785325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1346116103.3222597</v>
      </c>
      <c r="J445" s="277">
        <f>'Resultater - Vestdanmark'!J445+'Resultater - Østdanmark'!J445</f>
        <v>1346116103.3222597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193911524.74636257</v>
      </c>
      <c r="J446" s="277">
        <f>'Resultater - Vestdanmark'!J446+'Resultater - Østdanmark'!J446</f>
        <v>193911524.74636257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1828078772.7125964</v>
      </c>
      <c r="J449" s="277">
        <f>'Resultater - Vestdanmark'!J449+'Resultater - Østdanmark'!J449</f>
        <v>1828078772.7125964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131151778.14795476</v>
      </c>
      <c r="J450" s="277">
        <f>'Resultater - Vestdanmark'!J450+'Resultater - Østdanmark'!J450</f>
        <v>131151778.14795476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97358068.441119805</v>
      </c>
      <c r="J453" s="277">
        <f>'Resultater - Vestdanmark'!J453+'Resultater - Østdanmark'!J453</f>
        <v>97358068.441119805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3223276216.3233547</v>
      </c>
      <c r="J454" s="277">
        <f>'Resultater - Vestdanmark'!J454+'Resultater - Østdanmark'!J454</f>
        <v>3223276216.3233547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12195000.399999999</v>
      </c>
      <c r="I455" s="276">
        <f>'Resultater - Vestdanmark'!I455+'Resultater - Østdanmark'!I455</f>
        <v>12195000.4</v>
      </c>
      <c r="J455" s="277">
        <f>'Resultater - Vestdanmark'!J455+'Resultater - Østdanmark'!J455</f>
        <v>12195000.400000004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361184.39999999997</v>
      </c>
      <c r="I456" s="276">
        <f>'Resultater - Vestdanmark'!I456+'Resultater - Østdanmark'!I456</f>
        <v>361184.39999999991</v>
      </c>
      <c r="J456" s="277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4390946.2499999991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4390946.2500000009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149118909.24030262</v>
      </c>
      <c r="J458" s="277">
        <f>'Resultater - Vestdanmark'!J458+'Resultater - Østdanmark'!J458</f>
        <v>142762946.76763344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-158160.48633148483</v>
      </c>
      <c r="J459" s="283">
        <f>'Resultater - Vestdanmark'!J459+'Resultater - Østdanmark'!J459</f>
        <v>-151419.14064364813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141176614.29438826</v>
      </c>
      <c r="J460" s="277">
        <f>'Resultater - Vestdanmark'!J460+'Resultater - Østdanmark'!J460</f>
        <v>138478994.65503407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-294632.13715648063</v>
      </c>
      <c r="J461" s="283">
        <f>'Resultater - Vestdanmark'!J461+'Resultater - Østdanmark'!J461</f>
        <v>-289002.27102354687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85292.897468506708</v>
      </c>
      <c r="J462" s="277">
        <f>'Resultater - Vestdanmark'!J462+'Resultater - Østdanmark'!J462</f>
        <v>88081.959290434388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72263542.273224667</v>
      </c>
      <c r="J463" s="277">
        <f>'Resultater - Vestdanmark'!J463+'Resultater - Østdanmark'!J463</f>
        <v>75720860.032909796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33002599.999999996</v>
      </c>
      <c r="I464" s="276">
        <f>'Resultater - Vestdanmark'!I464+'Resultater - Østdanmark'!I464</f>
        <v>33002600</v>
      </c>
      <c r="J464" s="277">
        <f>'Resultater - Vestdanmark'!J464+'Resultater - Østdanmark'!J464</f>
        <v>33002599.999999993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2165562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74480686.960000008</v>
      </c>
      <c r="J467" s="277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38439586.355437025</v>
      </c>
      <c r="J473" s="277">
        <f>'Resultater - Vestdanmark'!J473+'Resultater - Østdanmark'!J473</f>
        <v>40045479.800409868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25898789.647342868</v>
      </c>
      <c r="J474" s="283">
        <f ca="1">'Resultater - Vestdanmark'!J474+'Resultater - Østdanmark'!J474</f>
        <v>25397981.38157519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7317872.3979037385</v>
      </c>
      <c r="J475" s="283">
        <f>'Resultater - Vestdanmark'!J475+'Resultater - Østdanmark'!J475</f>
        <v>7005959.4247079352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8900022.9657612741</v>
      </c>
      <c r="J476" s="283">
        <f>'Resultater - Vestdanmark'!J476+'Resultater - Østdanmark'!J476</f>
        <v>8729960.2619406786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5064.0397139910665</v>
      </c>
      <c r="J477" s="283">
        <f>'Resultater - Vestdanmark'!J477+'Resultater - Østdanmark'!J477</f>
        <v>5229.6328671165447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6383279.5674681785</v>
      </c>
      <c r="J478" s="283">
        <f>'Resultater - Vestdanmark'!J478+'Resultater - Østdanmark'!J478</f>
        <v>6688675.969573698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161405388.41149431</v>
      </c>
      <c r="J479" s="283">
        <f ca="1">'Resultater - Vestdanmark'!J479+'Resultater - Østdanmark'!J479</f>
        <v>156969822.85358676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151170414.18881321</v>
      </c>
      <c r="I480" s="282">
        <f ca="1">'Resultater - Vestdanmark'!I480+'Resultater - Østdanmark'!I480</f>
        <v>177096411.00864595</v>
      </c>
      <c r="J480" s="283">
        <f ca="1">'Resultater - Vestdanmark'!J480+'Resultater - Østdanmark'!J480</f>
        <v>160639549.95006317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19.573590488557194</v>
      </c>
      <c r="I481" s="286">
        <f>'Resultater - Vestdanmark'!I481+'Resultater - Østdanmark'!I481</f>
        <v>25.012939850295552</v>
      </c>
      <c r="J481" s="287">
        <f>'Resultater - Vestdanmark'!J481+'Resultater - Østdanmark'!J481</f>
        <v>22.637713676562761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3.951047127829578</v>
      </c>
      <c r="I482" s="286">
        <f>'Resultater - Vestdanmark'!I482+'Resultater - Østdanmark'!I482</f>
        <v>5.3986394353114884</v>
      </c>
      <c r="J482" s="287">
        <f>'Resultater - Vestdanmark'!J482+'Resultater - Østdanmark'!J482</f>
        <v>5.4154006187752017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3.8599959280679998</v>
      </c>
      <c r="I483" s="286">
        <f>'Resultater - Vestdanmark'!I483+'Resultater - Østdanmark'!I483</f>
        <v>3.6166968204461223</v>
      </c>
      <c r="J483" s="287">
        <f>'Resultater - Vestdanmark'!J483+'Resultater - Østdanmark'!J483</f>
        <v>3.6530555480425138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43.629098996273854</v>
      </c>
      <c r="I484" s="286">
        <f ca="1">'Resultater - Vestdanmark'!I484+'Resultater - Østdanmark'!I484</f>
        <v>41.502762983133671</v>
      </c>
      <c r="J484" s="287">
        <f ca="1">'Resultater - Vestdanmark'!J484+'Resultater - Østdanmark'!J484</f>
        <v>42.045385896115839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22.337166696777263</v>
      </c>
      <c r="J489" s="290">
        <f ca="1">'Resultater - Vestdanmark'!J489+'Resultater - Østdanmark'!J489</f>
        <v>22.203341629418617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339203.90863921517</v>
      </c>
      <c r="I493" s="292">
        <f>'Resultater - Vestdanmark'!I493+'Resultater - Østdanmark'!I493</f>
        <v>241010.68907640575</v>
      </c>
      <c r="J493" s="293">
        <f>'Resultater - Vestdanmark'!J493+'Resultater - Østdanmark'!J493</f>
        <v>241758.95619532152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217090.50152909773</v>
      </c>
      <c r="I494" s="292">
        <f>'Resultater - Vestdanmark'!I494+'Resultater - Østdanmark'!I494</f>
        <v>154246.84100889968</v>
      </c>
      <c r="J494" s="293">
        <f>'Resultater - Vestdanmark'!J494+'Resultater - Østdanmark'!J494</f>
        <v>154725.73196500578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38" t="s">
        <v>248</v>
      </c>
      <c r="B1" s="438"/>
      <c r="C1" s="438"/>
      <c r="F1" s="439" t="s">
        <v>250</v>
      </c>
      <c r="G1" s="439"/>
      <c r="H1" s="439"/>
      <c r="I1" s="439"/>
      <c r="J1" s="439"/>
      <c r="K1" s="439"/>
      <c r="L1" s="439"/>
      <c r="M1" s="440"/>
      <c r="N1" s="441" t="s">
        <v>251</v>
      </c>
      <c r="O1" s="442"/>
      <c r="P1" s="443"/>
      <c r="Q1" s="435" t="s">
        <v>122</v>
      </c>
      <c r="R1" s="435"/>
      <c r="S1" s="435"/>
      <c r="T1" s="436"/>
      <c r="U1" s="437" t="s">
        <v>229</v>
      </c>
      <c r="V1" s="435"/>
      <c r="W1" s="435"/>
      <c r="X1" s="436"/>
    </row>
    <row r="2" spans="1:26" x14ac:dyDescent="0.25">
      <c r="A2" s="194" t="s">
        <v>128</v>
      </c>
      <c r="B2" s="194" t="s">
        <v>314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287</v>
      </c>
      <c r="U2" s="195" t="s">
        <v>235</v>
      </c>
      <c r="V2" s="194" t="s">
        <v>234</v>
      </c>
      <c r="W2" s="194" t="s">
        <v>236</v>
      </c>
      <c r="X2" s="196" t="s">
        <v>286</v>
      </c>
      <c r="Y2" s="95" t="s">
        <v>281</v>
      </c>
      <c r="Z2" s="194" t="s">
        <v>303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193587.85406079434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352020257.59705466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2569365.51571796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890042.58416558511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-223630.22327361835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3550175.4953867961</v>
      </c>
      <c r="O16" s="190">
        <f t="shared" si="1"/>
        <v>3550175.4953867961</v>
      </c>
      <c r="P16" s="200">
        <f t="shared" ref="P16:P81" si="10">SUM(J16,L16)</f>
        <v>75746.163899662715</v>
      </c>
      <c r="Q16" s="187">
        <f>IFERROR(VLOOKUP(A16,[1]Energiindhold!$A$2:$C$11,3,FALSE),IFERROR(VLOOKUP(A16,[1]Biogasudbytte!$A$2:$B$18,2,FALSE)*[1]Energiindhold!$C$10,0))*O16</f>
        <v>6.5318791395747819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7">
        <f>IFERROR(VLOOKUP(A16,[1]Biogasudbytte!$A$2:$B$18,2,FALSE)*[1]Energiindhold!$C$10,0)*J16*IFERROR(VLOOKUP(A16,Biogasanlæg!$F$3:$G$8,2,FALSE),1)</f>
        <v>0.13936347330489193</v>
      </c>
      <c r="T16" s="188">
        <f t="shared" ref="T16:T81" si="11">R16-S16</f>
        <v>0</v>
      </c>
      <c r="U16" s="186">
        <f>O16*IFERROR(VLOOKUP(A16,[1]Tørstofindhold!A$2:B$24,2,FALSE),0)</f>
        <v>994049.13870830298</v>
      </c>
      <c r="V16" s="187">
        <f>IF(D16=År1,P16,SUM(O16,P16))*IFERROR(VLOOKUP(A16,[1]Tørstofindhold!A$2:B$24,2,FALSE),0)</f>
        <v>21208.925891905561</v>
      </c>
      <c r="W16" s="187">
        <f>J16*IFERROR(VLOOKUP(A16,[1]Tørstofindhold!A$2:B$24,2,FALSE),0)</f>
        <v>21208.925891905561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-76844.925452788419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1212729.2061799087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7">
        <f>IFERROR(VLOOKUP(A19,[1]Biogasudbytte!$A$2:$B$18,2,FALSE)*[1]Energiindhold!$C$10,0)*J19*IFERROR(VLOOKUP(A19,Biogasanlæg!$F$3:$G$8,2,FALSE),1)</f>
        <v>0.3063744116894675</v>
      </c>
      <c r="T19" s="188">
        <f t="shared" si="11"/>
        <v>11.985300912376998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1030819.8252529224</v>
      </c>
      <c r="W19" s="187">
        <f>J19*IFERROR(VLOOKUP(A19,[1]Tørstofindhold!A$2:B$24,2,FALSE),0)</f>
        <v>45168.058835086973</v>
      </c>
      <c r="X19" s="188">
        <f t="shared" si="12"/>
        <v>985651.76641783537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765723.03528474667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2026381.0153085976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665604.70837060641</v>
      </c>
      <c r="O25" s="190">
        <f t="shared" si="1"/>
        <v>665604.70837060641</v>
      </c>
      <c r="P25" s="200">
        <f t="shared" si="10"/>
        <v>2840.1853290986264</v>
      </c>
      <c r="Q25" s="187">
        <f>IFERROR(VLOOKUP(A25,[1]Energiindhold!$A$2:$C$11,3,FALSE),IFERROR(VLOOKUP(A25,[1]Biogasudbytte!$A$2:$B$18,2,FALSE)*[1]Energiindhold!$C$10,0))*O25</f>
        <v>2.2796029415101553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7">
        <f>IFERROR(VLOOKUP(A25,[1]Biogasudbytte!$A$2:$B$18,2,FALSE)*[1]Energiindhold!$C$10,0)*J25*IFERROR(VLOOKUP(A25,Biogasanlæg!$F$3:$G$8,2,FALSE),1)</f>
        <v>9.7272371262167243E-3</v>
      </c>
      <c r="T25" s="188">
        <f t="shared" si="11"/>
        <v>0</v>
      </c>
      <c r="U25" s="186">
        <f>O25*IFERROR(VLOOKUP(A25,[1]Tørstofindhold!A$2:B$24,2,FALSE),0)</f>
        <v>206337.459594888</v>
      </c>
      <c r="V25" s="187">
        <f>IF(D25=År1,P25,SUM(O25,P25))*IFERROR(VLOOKUP(A25,[1]Tørstofindhold!A$2:B$24,2,FALSE),0)</f>
        <v>880.45745202057424</v>
      </c>
      <c r="W25" s="187">
        <f>J25*IFERROR(VLOOKUP(A25,[1]Tørstofindhold!A$2:B$24,2,FALSE),0)</f>
        <v>880.45745202057424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-567745.18896312197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1609663.314373374</v>
      </c>
      <c r="O29" s="190">
        <f t="shared" si="1"/>
        <v>1266262.2462674922</v>
      </c>
      <c r="P29" s="200">
        <f t="shared" si="10"/>
        <v>314821.43493156106</v>
      </c>
      <c r="Q29" s="187">
        <f>IFERROR(VLOOKUP(A29,[1]Energiindhold!$A$2:$C$11,3,FALSE),IFERROR(VLOOKUP(A29,[1]Biogasudbytte!$A$2:$B$18,2,FALSE)*[1]Energiindhold!$C$10,0))*O29</f>
        <v>4.5458814641002974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7">
        <f>IFERROR(VLOOKUP(A29,[1]Biogasudbytte!$A$2:$B$18,2,FALSE)*[1]Energiindhold!$C$10,0)*J29*IFERROR(VLOOKUP(A29,Biogasanlæg!$F$3:$G$8,2,FALSE),1)</f>
        <v>1.1302089514043043</v>
      </c>
      <c r="T29" s="188">
        <f t="shared" si="11"/>
        <v>0</v>
      </c>
      <c r="U29" s="186">
        <f>O29*IFERROR(VLOOKUP(A29,[1]Tørstofindhold!A$2:B$24,2,FALSE),0)</f>
        <v>379878.67388024763</v>
      </c>
      <c r="V29" s="187">
        <f>IF(D29=År1,P29,SUM(O29,P29))*IFERROR(VLOOKUP(A29,[1]Tørstofindhold!A$2:B$24,2,FALSE),0)</f>
        <v>94446.430479468312</v>
      </c>
      <c r="W29" s="187">
        <f>J29*IFERROR(VLOOKUP(A29,[1]Tørstofindhold!A$2:B$24,2,FALSE),0)</f>
        <v>94446.430479468312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1609044.2994914718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172205.06744997756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3.1685732410795864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71465.1029917407</v>
      </c>
      <c r="W34" s="187">
        <f>J34*IFERROR(VLOOKUP(A34,[1]Tørstofindhold!A$2:B$24,2,FALSE),0)</f>
        <v>0</v>
      </c>
      <c r="X34" s="188">
        <f t="shared" si="12"/>
        <v>71465.1029917407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309</v>
      </c>
      <c r="B35" s="189" t="s">
        <v>315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310</v>
      </c>
      <c r="B36" s="189" t="s">
        <v>315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28317.736356098671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199">
        <f t="shared" si="9"/>
        <v>0</v>
      </c>
      <c r="O40" s="190">
        <f t="shared" si="1"/>
        <v>0</v>
      </c>
      <c r="P40" s="200">
        <f t="shared" si="10"/>
        <v>80676.325166481722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2.8236713808268599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-468819.27146385383</v>
      </c>
      <c r="O41" s="190">
        <f t="shared" si="1"/>
        <v>0</v>
      </c>
      <c r="P41" s="200">
        <f t="shared" si="10"/>
        <v>4101.0489241972273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7">
        <f>IFERROR(VLOOKUP(A41,[1]Biogasudbytte!$A$2:$B$18,2,FALSE)*[1]Energiindhold!$C$10,0)*J41*IFERROR(VLOOKUP(A41,Biogasanlæg!$F$3:$G$8,2,FALSE),1)</f>
        <v>1.1130410822228242E-2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820.20978483944555</v>
      </c>
      <c r="W41" s="187">
        <f>J41*IFERROR(VLOOKUP(A41,[1]Tørstofindhold!A$2:B$24,2,FALSE),0)</f>
        <v>820.20978483944555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2328635.6388303456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33.750241076188566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1151704.3763715085</v>
      </c>
      <c r="W49" s="187">
        <f>J49*IFERROR(VLOOKUP(A49,[1]Tørstofindhold!A$2:B$24,2,FALSE),0)</f>
        <v>0</v>
      </c>
      <c r="X49" s="188">
        <f t="shared" ca="1" si="12"/>
        <v>1151704.3763715085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171033.55988230981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138453.77532930995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224570.40950584275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51598.780380153592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172971.62912568916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505656960.63475704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505656960.63475704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505656960.63475704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22052758.669106159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19633758.54900625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2419000.1200999096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2122340.654767077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1061170.3273835385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401728.76679519669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659441.56058834167</v>
      </c>
      <c r="O57" s="190">
        <f t="shared" si="1"/>
        <v>659441.56058834167</v>
      </c>
      <c r="P57" s="200">
        <f t="shared" si="10"/>
        <v>1061170.3273835385</v>
      </c>
      <c r="Q57" s="187">
        <f>IFERROR(VLOOKUP(A57,[1]Energiindhold!$A$2:$C$11,3,FALSE),IFERROR(VLOOKUP(A57,[1]Biogasudbytte!$A$2:$B$18,2,FALSE)*[1]Energiindhold!$C$10,0))*O57</f>
        <v>1.420437121507288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3.7061980066914297</v>
      </c>
      <c r="S57" s="187">
        <f>IFERROR(VLOOKUP(A57,[1]Biogasudbytte!$A$2:$B$18,2,FALSE)*[1]Energiindhold!$C$10,0)*J57*IFERROR(VLOOKUP(A57,Biogasanlæg!$F$3:$G$8,2,FALSE),1)</f>
        <v>2.2857608851841418</v>
      </c>
      <c r="T57" s="188">
        <f t="shared" si="11"/>
        <v>1.420437121507288</v>
      </c>
      <c r="U57" s="186">
        <f>O57*IFERROR(VLOOKUP(A57,[1]Tørstofindhold!A$2:B$24,2,FALSE),0)</f>
        <v>197832.4681765025</v>
      </c>
      <c r="V57" s="187">
        <f>IF(D57=År1,P57,SUM(O57,P57))*IFERROR(VLOOKUP(A57,[1]Tørstofindhold!A$2:B$24,2,FALSE),0)</f>
        <v>516183.56639156403</v>
      </c>
      <c r="W57" s="187">
        <f>J57*IFERROR(VLOOKUP(A57,[1]Tørstofindhold!A$2:B$24,2,FALSE),0)</f>
        <v>318351.09821506153</v>
      </c>
      <c r="X57" s="188">
        <f t="shared" si="12"/>
        <v>197832.4681765025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6674.1809084363849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6006.7628175927466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667.41809084363831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6006.7628175927466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2.8249204854856927E-3</v>
      </c>
      <c r="S59" s="187">
        <f>IFERROR(VLOOKUP(A59,[1]Biogasudbytte!$A$2:$B$18,2,FALSE)*[1]Energiindhold!$C$10,0)*J59*IFERROR(VLOOKUP(A59,Biogasanlæg!$F$3:$G$8,2,FALSE),1)</f>
        <v>2.8249204854856927E-3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378.42605750834304</v>
      </c>
      <c r="W59" s="187">
        <f>J59*IFERROR(VLOOKUP(A59,[1]Tørstofindhold!A$2:B$24,2,FALSE),0)</f>
        <v>378.42605750834304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145303.11165081069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110008.34505172751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1120053.9852881476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1120053.9852881476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32105.259581147304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-225818.0347967683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28408153.283469509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9790151.9274066389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67006.096493213583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18550995.259569656</v>
      </c>
      <c r="O64" s="190">
        <f t="shared" si="1"/>
        <v>18550995.259569656</v>
      </c>
      <c r="P64" s="200">
        <f t="shared" si="10"/>
        <v>67006.096493213583</v>
      </c>
      <c r="Q64" s="187">
        <f>IFERROR(VLOOKUP(A64,[1]Energiindhold!$A$2:$C$11,3,FALSE),IFERROR(VLOOKUP(A64,[1]Biogasudbytte!$A$2:$B$18,2,FALSE)*[1]Energiindhold!$C$10,0))*O64</f>
        <v>34.131512403200723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34.254795244986177</v>
      </c>
      <c r="S64" s="187">
        <f>IFERROR(VLOOKUP(A64,[1]Biogasudbytte!$A$2:$B$18,2,FALSE)*[1]Energiindhold!$C$10,0)*J64*IFERROR(VLOOKUP(A64,Biogasanlæg!$F$3:$G$8,2,FALSE),1)</f>
        <v>0.12328284178545135</v>
      </c>
      <c r="T64" s="188">
        <f t="shared" si="11"/>
        <v>34.131512403200723</v>
      </c>
      <c r="U64" s="186">
        <f>O64*IFERROR(VLOOKUP(A64,[1]Tørstofindhold!A$2:B$24,2,FALSE),0)</f>
        <v>5194278.6726795044</v>
      </c>
      <c r="V64" s="187">
        <f>IF(D64=År1,P64,SUM(O64,P64))*IFERROR(VLOOKUP(A64,[1]Tørstofindhold!A$2:B$24,2,FALSE),0)</f>
        <v>5213040.3796976041</v>
      </c>
      <c r="W64" s="187">
        <f>J64*IFERROR(VLOOKUP(A64,[1]Tørstofindhold!A$2:B$24,2,FALSE),0)</f>
        <v>18761.707018099805</v>
      </c>
      <c r="X64" s="188">
        <f t="shared" si="12"/>
        <v>5194278.6726795044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217805.88377635827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-52334.829808932322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2966243.8763621217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618468.71483434096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581579.9632190367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56757.88331613881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1709437.3149926052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1766195.198308744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17.99565288322793</v>
      </c>
      <c r="S67" s="187">
        <f>IFERROR(VLOOKUP(A67,[1]Biogasudbytte!$A$2:$B$18,2,FALSE)*[1]Energiindhold!$C$10,0)*J67*IFERROR(VLOOKUP(A67,Biogasanlæg!$F$3:$G$8,2,FALSE),1)</f>
        <v>0.32723984657453098</v>
      </c>
      <c r="T67" s="188">
        <f t="shared" si="11"/>
        <v>17.668413036653398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1501265.9185624323</v>
      </c>
      <c r="W67" s="187">
        <f>J67*IFERROR(VLOOKUP(A67,[1]Tørstofindhold!A$2:B$24,2,FALSE),0)</f>
        <v>48244.200818717989</v>
      </c>
      <c r="X67" s="188">
        <f t="shared" si="12"/>
        <v>1453021.7177437143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3862742.0312364982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-3862742.0312364982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456500.14494289405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508461.98144503916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-51961.836502145103</v>
      </c>
      <c r="O70" s="190">
        <f t="shared" si="20"/>
        <v>0</v>
      </c>
      <c r="P70" s="200">
        <f t="shared" si="10"/>
        <v>508461.98144503916</v>
      </c>
      <c r="Q70" s="187">
        <f>IFERROR(VLOOKUP(A70,[1]Energiindhold!$A$2:$C$11,3,FALSE),IFERROR(VLOOKUP(A70,[1]Biogasudbytte!$A$2:$B$18,2,FALSE)*[1]Energiindhold!$C$10,0))*O70</f>
        <v>0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1.8727470858101014</v>
      </c>
      <c r="S70" s="187">
        <f>IFERROR(VLOOKUP(A70,[1]Biogasudbytte!$A$2:$B$18,2,FALSE)*[1]Energiindhold!$C$10,0)*J70*IFERROR(VLOOKUP(A70,Biogasanlæg!$F$3:$G$8,2,FALSE),1)</f>
        <v>1.8727470858101014</v>
      </c>
      <c r="T70" s="188">
        <f t="shared" si="11"/>
        <v>0</v>
      </c>
      <c r="U70" s="186">
        <f>O70*IFERROR(VLOOKUP(A70,[1]Tørstofindhold!A$2:B$24,2,FALSE),0)</f>
        <v>0</v>
      </c>
      <c r="V70" s="187">
        <f>IF(D70=År1,P70,SUM(O70,P70))*IFERROR(VLOOKUP(A70,[1]Tørstofindhold!A$2:B$24,2,FALSE),0)</f>
        <v>213554.03220691642</v>
      </c>
      <c r="W70" s="187">
        <f>J70*IFERROR(VLOOKUP(A70,[1]Tørstofindhold!A$2:B$24,2,FALSE),0)</f>
        <v>213554.03220691642</v>
      </c>
      <c r="X70" s="188">
        <f t="shared" si="12"/>
        <v>0</v>
      </c>
      <c r="Y70" s="168">
        <f t="shared" si="21"/>
        <v>1</v>
      </c>
      <c r="Z70" s="103">
        <f t="shared" si="22"/>
        <v>0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713505.92728443746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713505.92728443746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1778992.2257450195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1655460.5426482284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5381619.5037339376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4574649.0044539375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2914.9101192356643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508122.54613768216</v>
      </c>
      <c r="O73" s="190">
        <f t="shared" si="20"/>
        <v>508122.54613768216</v>
      </c>
      <c r="P73" s="200">
        <f t="shared" si="10"/>
        <v>2914.9101192356643</v>
      </c>
      <c r="Q73" s="187">
        <f>IFERROR(VLOOKUP(A73,[1]Energiindhold!$A$2:$C$11,3,FALSE),IFERROR(VLOOKUP(A73,[1]Biogasudbytte!$A$2:$B$18,2,FALSE)*[1]Energiindhold!$C$10,0))*O73</f>
        <v>1.7402485833651025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1.7502317424360678</v>
      </c>
      <c r="S73" s="187">
        <f>IFERROR(VLOOKUP(A73,[1]Biogasudbytte!$A$2:$B$18,2,FALSE)*[1]Energiindhold!$C$10,0)*J73*IFERROR(VLOOKUP(A73,Biogasanlæg!$F$3:$G$8,2,FALSE),1)</f>
        <v>9.9831590709654593E-3</v>
      </c>
      <c r="T73" s="188">
        <f t="shared" si="11"/>
        <v>1.7402485833651025</v>
      </c>
      <c r="U73" s="186">
        <f>O73*IFERROR(VLOOKUP(A73,[1]Tørstofindhold!A$2:B$24,2,FALSE),0)</f>
        <v>157517.98930268147</v>
      </c>
      <c r="V73" s="187">
        <f>IF(D73=År1,P73,SUM(O73,P73))*IFERROR(VLOOKUP(A73,[1]Tørstofindhold!A$2:B$24,2,FALSE),0)</f>
        <v>158421.61143964453</v>
      </c>
      <c r="W73" s="187">
        <f>J73*IFERROR(VLOOKUP(A73,[1]Tørstofindhold!A$2:B$24,2,FALSE),0)</f>
        <v>903.62213696305594</v>
      </c>
      <c r="X73" s="188">
        <f t="shared" si="12"/>
        <v>157517.98930268147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754340.44222441351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-754340.44222441351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10386797.369068628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9348117.6321617663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1038679.7369068626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9348117.6321617663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4.7319236642239648</v>
      </c>
      <c r="S75" s="187">
        <f>IFERROR(VLOOKUP(A75,[1]Biogasudbytte!$A$2:$B$18,2,FALSE)*[1]Energiindhold!$C$10,0)*J75*IFERROR(VLOOKUP(A75,Biogasanlæg!$F$3:$G$8,2,FALSE),1)</f>
        <v>4.7319236642239648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710456.94004429423</v>
      </c>
      <c r="W75" s="187">
        <f>J75*IFERROR(VLOOKUP(A75,[1]Tørstofindhold!A$2:B$24,2,FALSE),0)</f>
        <v>710456.94004429423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1296795.0922933305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1212571.3389336092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84223.753359721275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5903489.3992296383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4525643.0291759707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255215.75389295255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1122630.616160715</v>
      </c>
      <c r="O77" s="190">
        <f t="shared" si="20"/>
        <v>1122630.616160715</v>
      </c>
      <c r="P77" s="200">
        <f t="shared" si="10"/>
        <v>255215.75389295255</v>
      </c>
      <c r="Q77" s="187">
        <f>IFERROR(VLOOKUP(A77,[1]Energiindhold!$A$2:$C$11,3,FALSE),IFERROR(VLOOKUP(A77,[1]Biogasudbytte!$A$2:$B$18,2,FALSE)*[1]Energiindhold!$C$10,0))*O77</f>
        <v>4.0302439120169673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4.9464684684926672</v>
      </c>
      <c r="S77" s="187">
        <f>IFERROR(VLOOKUP(A77,[1]Biogasudbytte!$A$2:$B$18,2,FALSE)*[1]Energiindhold!$C$10,0)*J77*IFERROR(VLOOKUP(A77,Biogasanlæg!$F$3:$G$8,2,FALSE),1)</f>
        <v>0.91622455647569978</v>
      </c>
      <c r="T77" s="188">
        <f t="shared" si="11"/>
        <v>4.0302439120169673</v>
      </c>
      <c r="U77" s="186">
        <f>O77*IFERROR(VLOOKUP(A77,[1]Tørstofindhold!A$2:B$24,2,FALSE),0)</f>
        <v>336789.1848482145</v>
      </c>
      <c r="V77" s="187">
        <f>IF(D77=År1,P77,SUM(O77,P77))*IFERROR(VLOOKUP(A77,[1]Tørstofindhold!A$2:B$24,2,FALSE),0)</f>
        <v>413353.91101610026</v>
      </c>
      <c r="W77" s="187">
        <f>J77*IFERROR(VLOOKUP(A77,[1]Tørstofindhold!A$2:B$24,2,FALSE),0)</f>
        <v>76564.726167885761</v>
      </c>
      <c r="X77" s="188">
        <f t="shared" si="12"/>
        <v>336789.1848482145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2502141.5052936058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2029734.6292751078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84934.510833187902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24906.257794285637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1</v>
      </c>
      <c r="Z80" s="103">
        <f t="shared" si="22"/>
        <v>0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1025729.6203575714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1025729.6203575714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154484.73733408173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154484.73733408173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154484.73733408173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2.8425191669471035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2.8425191669471035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64111.165993643925</v>
      </c>
      <c r="W82" s="187">
        <f>J82*IFERROR(VLOOKUP(A82,[1]Tørstofindhold!A$2:B$24,2,FALSE),0)</f>
        <v>0</v>
      </c>
      <c r="X82" s="188">
        <f t="shared" ref="X82:X149" si="26">V82-W82</f>
        <v>64111.165993643925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3896345.2282942934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3896345.2282942934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370490.27594297461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370490.27594297461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185245.1379714873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171279.2848730098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13965.853098477499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118556.88830175188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118556.88830175188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118556.88830175188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4.1494910905613152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4.1494910905613152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4923583.0761439931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1433600.0178498654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21927.581361856195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3468055.4769322714</v>
      </c>
      <c r="O89" s="190">
        <f t="shared" si="20"/>
        <v>3468055.4769322714</v>
      </c>
      <c r="P89" s="200">
        <f t="shared" si="24"/>
        <v>21927.581361856195</v>
      </c>
      <c r="Q89" s="187">
        <f>IFERROR(VLOOKUP(A89,[1]Energiindhold!$A$2:$C$11,3,FALSE),IFERROR(VLOOKUP(A89,[1]Biogasudbytte!$A$2:$B$18,2,FALSE)*[1]Energiindhold!$C$10,0))*O89</f>
        <v>9.4124412866132623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9.4719536195325951</v>
      </c>
      <c r="S89" s="187">
        <f>IFERROR(VLOOKUP(A89,[1]Biogasudbytte!$A$2:$B$18,2,FALSE)*[1]Energiindhold!$C$10,0)*J89*IFERROR(VLOOKUP(A89,Biogasanlæg!$F$3:$G$8,2,FALSE),1)</f>
        <v>5.9512332919332188E-2</v>
      </c>
      <c r="T89" s="188">
        <f t="shared" si="25"/>
        <v>9.4124412866132623</v>
      </c>
      <c r="U89" s="186">
        <f>O89*IFERROR(VLOOKUP(A89,[1]Tørstofindhold!A$2:B$24,2,FALSE),0)</f>
        <v>693611.09538645437</v>
      </c>
      <c r="V89" s="187">
        <f>IF(D89=År1,P89,SUM(O89,P89))*IFERROR(VLOOKUP(A89,[1]Tørstofindhold!A$2:B$24,2,FALSE),0)</f>
        <v>697996.61165882554</v>
      </c>
      <c r="W89" s="187">
        <f>J89*IFERROR(VLOOKUP(A89,[1]Tørstofindhold!A$2:B$24,2,FALSE),0)</f>
        <v>4385.5162723712392</v>
      </c>
      <c r="X89" s="188">
        <f t="shared" si="26"/>
        <v>693611.09538645425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152898.46172507474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152898.46172507474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103754.66217102103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31532.588010093863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72222.074160927164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3949558.8398278607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1497865.6247316466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2451693.2150962139</v>
      </c>
      <c r="O92" s="190">
        <f t="shared" si="20"/>
        <v>2451693.2150962139</v>
      </c>
      <c r="P92" s="200">
        <f t="shared" si="24"/>
        <v>1497865.6247316466</v>
      </c>
      <c r="Q92" s="187">
        <f>IFERROR(VLOOKUP(A92,[1]Energiindhold!$A$2:$C$11,3,FALSE),IFERROR(VLOOKUP(A92,[1]Biogasudbytte!$A$2:$B$18,2,FALSE)*[1]Energiindhold!$C$10,0))*O92</f>
        <v>1.2234194312651618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1.9708693566625008</v>
      </c>
      <c r="S92" s="187">
        <f>IFERROR(VLOOKUP(A92,[1]Biogasudbytte!$A$2:$B$18,2,FALSE)*[1]Energiindhold!$C$10,0)*J92*IFERROR(VLOOKUP(A92,Biogasanlæg!$F$3:$G$8,2,FALSE),1)</f>
        <v>0.74744992539733912</v>
      </c>
      <c r="T92" s="188">
        <f t="shared" si="25"/>
        <v>1.2234194312651616</v>
      </c>
      <c r="U92" s="186">
        <f>O92*IFERROR(VLOOKUP(A92,[1]Tørstofindhold!A$2:B$24,2,FALSE),0)</f>
        <v>147101.59290577282</v>
      </c>
      <c r="V92" s="187">
        <f>IF(D92=År1,P92,SUM(O92,P92))*IFERROR(VLOOKUP(A92,[1]Tørstofindhold!A$2:B$24,2,FALSE),0)</f>
        <v>236973.53038967162</v>
      </c>
      <c r="W92" s="187">
        <f>J92*IFERROR(VLOOKUP(A92,[1]Tørstofindhold!A$2:B$24,2,FALSE),0)</f>
        <v>89871.937483898801</v>
      </c>
      <c r="X92" s="188">
        <f t="shared" si="26"/>
        <v>147101.59290577282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12059866.540704856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10853879.88663437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1205986.6540704854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10853879.88663437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4.6758514551620873</v>
      </c>
      <c r="S93" s="187">
        <f>IFERROR(VLOOKUP(A93,[1]Biogasudbytte!$A$2:$B$18,2,FALSE)*[1]Energiindhold!$C$10,0)*J93*IFERROR(VLOOKUP(A93,Biogasanlæg!$F$3:$G$8,2,FALSE),1)</f>
        <v>4.6758514551620873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542693.99433171854</v>
      </c>
      <c r="W93" s="187">
        <f>J93*IFERROR(VLOOKUP(A93,[1]Tørstofindhold!A$2:B$24,2,FALSE),0)</f>
        <v>542693.99433171854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1102410.4206254377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980534.87657675741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2216416.4234337742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2216416.4234337742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2216416.4234337742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32.123784145847409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32.123784145847409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1096202.6227566209</v>
      </c>
      <c r="W97" s="187">
        <f>J97*IFERROR(VLOOKUP(A97,[1]Tørstofindhold!A$2:B$24,2,FALSE),0)</f>
        <v>0</v>
      </c>
      <c r="X97" s="188">
        <f t="shared" ca="1" si="26"/>
        <v>1096202.6227566209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613849.80345809902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613849.80345809902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166578.5911943354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132728.62230789059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223655.47079475562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51598.780380153592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172056.69041460202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500890849.83000368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500890849.83000368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500890849.83000368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21557060.018007066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19033053.068458591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2524006.9495484754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2222382.1821508599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1111191.0910754299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420665.19876426988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690525.89231115999</v>
      </c>
      <c r="O105" s="190">
        <f t="shared" si="20"/>
        <v>690525.89231115999</v>
      </c>
      <c r="P105" s="200">
        <f t="shared" si="24"/>
        <v>1111191.0910754299</v>
      </c>
      <c r="Q105" s="187">
        <f>IFERROR(VLOOKUP(A105,[1]Energiindhold!$A$2:$C$11,3,FALSE),IFERROR(VLOOKUP(A105,[1]Biogasudbytte!$A$2:$B$18,2,FALSE)*[1]Energiindhold!$C$10,0))*O105</f>
        <v>1.4873927720382387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3.8808983822147152</v>
      </c>
      <c r="S105" s="187">
        <f>IFERROR(VLOOKUP(A105,[1]Biogasudbytte!$A$2:$B$18,2,FALSE)*[1]Energiindhold!$C$10,0)*J105*IFERROR(VLOOKUP(A105,Biogasanlæg!$F$3:$G$8,2,FALSE),1)</f>
        <v>2.3935056101764762</v>
      </c>
      <c r="T105" s="188">
        <f t="shared" si="25"/>
        <v>1.4873927720382389</v>
      </c>
      <c r="U105" s="186">
        <f>O105*IFERROR(VLOOKUP(A105,[1]Tørstofindhold!A$2:B$24,2,FALSE),0)</f>
        <v>207157.767693348</v>
      </c>
      <c r="V105" s="187">
        <f>IF(D105=År1,P105,SUM(O105,P105))*IFERROR(VLOOKUP(A105,[1]Tørstofindhold!A$2:B$24,2,FALSE),0)</f>
        <v>540515.09501597693</v>
      </c>
      <c r="W105" s="187">
        <f>J105*IFERROR(VLOOKUP(A105,[1]Tørstofindhold!A$2:B$24,2,FALSE),0)</f>
        <v>333357.32732262899</v>
      </c>
      <c r="X105" s="188">
        <f t="shared" si="26"/>
        <v>207157.76769334794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6892.4253779859373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6203.1828401873436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689.24253779859362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6203.1828401873436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2.917294857911706E-3</v>
      </c>
      <c r="S107" s="187">
        <f>IFERROR(VLOOKUP(A107,[1]Biogasudbytte!$A$2:$B$18,2,FALSE)*[1]Energiindhold!$C$10,0)*J107*IFERROR(VLOOKUP(A107,Biogasanlæg!$F$3:$G$8,2,FALSE),1)</f>
        <v>2.917294857911706E-3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390.80051893180263</v>
      </c>
      <c r="W107" s="187">
        <f>J107*IFERROR(VLOOKUP(A107,[1]Tørstofindhold!A$2:B$24,2,FALSE),0)</f>
        <v>390.80051893180263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138927.00099994309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102256.20137296121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1117549.622505489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1117549.622505489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31959.139430497853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-236019.7809205236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28726652.266058438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9790151.9274066389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66543.89398922697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18869956.444662571</v>
      </c>
      <c r="O112" s="190">
        <f t="shared" si="20"/>
        <v>18869956.444662571</v>
      </c>
      <c r="P112" s="200">
        <f t="shared" si="24"/>
        <v>66543.89398922697</v>
      </c>
      <c r="Q112" s="187">
        <f>IFERROR(VLOOKUP(A112,[1]Energiindhold!$A$2:$C$11,3,FALSE),IFERROR(VLOOKUP(A112,[1]Biogasudbytte!$A$2:$B$18,2,FALSE)*[1]Energiindhold!$C$10,0))*O112</f>
        <v>34.718361113623551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34.840793560576984</v>
      </c>
      <c r="S112" s="187">
        <f>IFERROR(VLOOKUP(A112,[1]Biogasudbytte!$A$2:$B$18,2,FALSE)*[1]Energiindhold!$C$10,0)*J112*IFERROR(VLOOKUP(A112,Biogasanlæg!$F$3:$G$8,2,FALSE),1)</f>
        <v>0.12243244695342897</v>
      </c>
      <c r="T112" s="188">
        <f t="shared" si="25"/>
        <v>34.718361113623551</v>
      </c>
      <c r="U112" s="186">
        <f>O112*IFERROR(VLOOKUP(A112,[1]Tørstofindhold!A$2:B$24,2,FALSE),0)</f>
        <v>5283587.8045055205</v>
      </c>
      <c r="V112" s="187">
        <f>IF(D112=År1,P112,SUM(O112,P112))*IFERROR(VLOOKUP(A112,[1]Tørstofindhold!A$2:B$24,2,FALSE),0)</f>
        <v>5302220.0948225046</v>
      </c>
      <c r="W112" s="187">
        <f>J112*IFERROR(VLOOKUP(A112,[1]Tørstofindhold!A$2:B$24,2,FALSE),0)</f>
        <v>18632.290316983552</v>
      </c>
      <c r="X112" s="188">
        <f t="shared" si="26"/>
        <v>5283587.8045055214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215100.32143170634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-65572.337251731922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2763935.1567625329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618468.71483434096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579210.80448009283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56035.402394015458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1510220.2350540829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1566255.6374480985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15.932418232879773</v>
      </c>
      <c r="S115" s="187">
        <f>IFERROR(VLOOKUP(A115,[1]Biogasudbytte!$A$2:$B$18,2,FALSE)*[1]Energiindhold!$C$10,0)*J115*IFERROR(VLOOKUP(A115,Biogasanlæg!$F$3:$G$8,2,FALSE),1)</f>
        <v>0.32307435391879191</v>
      </c>
      <c r="T115" s="188">
        <f t="shared" si="25"/>
        <v>15.609343878960981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1331317.2918308836</v>
      </c>
      <c r="W115" s="187">
        <f>J115*IFERROR(VLOOKUP(A115,[1]Tørstofindhold!A$2:B$24,2,FALSE),0)</f>
        <v>47630.092034913141</v>
      </c>
      <c r="X115" s="188">
        <f t="shared" si="26"/>
        <v>1283687.1997959705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3862742.0312364982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-3862742.0312364982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453678.05576738477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505095.54922592157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-51417.493458536803</v>
      </c>
      <c r="O118" s="190">
        <f t="shared" si="20"/>
        <v>0</v>
      </c>
      <c r="P118" s="200">
        <f t="shared" si="24"/>
        <v>505095.54922592157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1.8603479756347201</v>
      </c>
      <c r="S118" s="187">
        <f>IFERROR(VLOOKUP(A118,[1]Biogasudbytte!$A$2:$B$18,2,FALSE)*[1]Energiindhold!$C$10,0)*J118*IFERROR(VLOOKUP(A118,Biogasanlæg!$F$3:$G$8,2,FALSE),1)</f>
        <v>1.8603479756347201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212140.13067488704</v>
      </c>
      <c r="W118" s="187">
        <f>J118*IFERROR(VLOOKUP(A118,[1]Tørstofindhold!A$2:B$24,2,FALSE),0)</f>
        <v>212140.13067488704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710657.73610137182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710657.73610137182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1773593.0585347696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1645245.2598403329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5384297.8300240729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4574649.0044539375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2890.4979416445458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499287.77690995019</v>
      </c>
      <c r="O121" s="190">
        <f t="shared" si="20"/>
        <v>499287.77690995019</v>
      </c>
      <c r="P121" s="200">
        <f t="shared" si="24"/>
        <v>2890.4979416445458</v>
      </c>
      <c r="Q121" s="187">
        <f>IFERROR(VLOOKUP(A121,[1]Energiindhold!$A$2:$C$11,3,FALSE),IFERROR(VLOOKUP(A121,[1]Biogasudbytte!$A$2:$B$18,2,FALSE)*[1]Energiindhold!$C$10,0))*O121</f>
        <v>1.7099907356278123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1.719890286408233</v>
      </c>
      <c r="S121" s="187">
        <f>IFERROR(VLOOKUP(A121,[1]Biogasudbytte!$A$2:$B$18,2,FALSE)*[1]Energiindhold!$C$10,0)*J121*IFERROR(VLOOKUP(A121,Biogasanlæg!$F$3:$G$8,2,FALSE),1)</f>
        <v>9.8995507804207402E-3</v>
      </c>
      <c r="T121" s="188">
        <f t="shared" si="25"/>
        <v>1.7099907356278123</v>
      </c>
      <c r="U121" s="186">
        <f>O121*IFERROR(VLOOKUP(A121,[1]Tørstofindhold!A$2:B$24,2,FALSE),0)</f>
        <v>154779.21084208455</v>
      </c>
      <c r="V121" s="187">
        <f>IF(D121=År1,P121,SUM(O121,P121))*IFERROR(VLOOKUP(A121,[1]Tørstofindhold!A$2:B$24,2,FALSE),0)</f>
        <v>155675.26520399438</v>
      </c>
      <c r="W121" s="187">
        <f>J121*IFERROR(VLOOKUP(A121,[1]Tørstofindhold!A$2:B$24,2,FALSE),0)</f>
        <v>896.05436190980924</v>
      </c>
      <c r="X121" s="188">
        <f t="shared" si="26"/>
        <v>154779.21084208458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666631.0841294959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-666631.0841294959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10188325.202039858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9169492.6818358731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1018832.5202039856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9169492.6818358731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4.6415055006185009</v>
      </c>
      <c r="S123" s="187">
        <f>IFERROR(VLOOKUP(A123,[1]Biogasudbytte!$A$2:$B$18,2,FALSE)*[1]Energiindhold!$C$10,0)*J123*IFERROR(VLOOKUP(A123,Biogasanlæg!$F$3:$G$8,2,FALSE),1)</f>
        <v>4.6415055006185009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696881.44381952635</v>
      </c>
      <c r="W123" s="187">
        <f>J123*IFERROR(VLOOKUP(A123,[1]Tørstofindhold!A$2:B$24,2,FALSE),0)</f>
        <v>696881.44381952635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1272706.7760624508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1212571.3389336092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60135.437128841644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5948728.1077614166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4525643.0291759707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253140.58627511252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1169944.4923103331</v>
      </c>
      <c r="O125" s="190">
        <f t="shared" si="20"/>
        <v>1169944.4923103331</v>
      </c>
      <c r="P125" s="200">
        <f t="shared" si="24"/>
        <v>253140.58627511252</v>
      </c>
      <c r="Q125" s="187">
        <f>IFERROR(VLOOKUP(A125,[1]Energiindhold!$A$2:$C$11,3,FALSE),IFERROR(VLOOKUP(A125,[1]Biogasudbytte!$A$2:$B$18,2,FALSE)*[1]Energiindhold!$C$10,0))*O125</f>
        <v>4.200100727394096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5.1088754321217502</v>
      </c>
      <c r="S125" s="187">
        <f>IFERROR(VLOOKUP(A125,[1]Biogasudbytte!$A$2:$B$18,2,FALSE)*[1]Energiindhold!$C$10,0)*J125*IFERROR(VLOOKUP(A125,Biogasanlæg!$F$3:$G$8,2,FALSE),1)</f>
        <v>0.90877470472765409</v>
      </c>
      <c r="T125" s="188">
        <f t="shared" si="25"/>
        <v>4.200100727394096</v>
      </c>
      <c r="U125" s="186">
        <f>O125*IFERROR(VLOOKUP(A125,[1]Tørstofindhold!A$2:B$24,2,FALSE),0)</f>
        <v>350983.34769309993</v>
      </c>
      <c r="V125" s="187">
        <f>IF(D125=År1,P125,SUM(O125,P125))*IFERROR(VLOOKUP(A125,[1]Tørstofindhold!A$2:B$24,2,FALSE),0)</f>
        <v>426925.52357563371</v>
      </c>
      <c r="W125" s="187">
        <f>J125*IFERROR(VLOOKUP(A125,[1]Tørstofindhold!A$2:B$24,2,FALSE),0)</f>
        <v>75942.17588253376</v>
      </c>
      <c r="X125" s="188">
        <f t="shared" si="26"/>
        <v>350983.34769309993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2455663.5565474145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1964839.0076939645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82230.492590145455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19861.924916870877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1022705.1142750654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1022705.1142750654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155048.14004123484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155048.14004123484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155048.14004123484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2.8528857767587206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2.8528857767587206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64344.978117112463</v>
      </c>
      <c r="W130" s="187">
        <f>J130*IFERROR(VLOOKUP(A130,[1]Tørstofindhold!A$2:B$24,2,FALSE),0)</f>
        <v>0</v>
      </c>
      <c r="X130" s="188">
        <f t="shared" si="26"/>
        <v>64344.978117112463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3823969.5719075543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3823969.5719075543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368467.16262994817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368467.16262994817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184233.58131497409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171279.2848730098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12954.296441964281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117909.49204158342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117909.49204158342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117909.49204158342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4.1268322214554196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4.1268322214554196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4893003.8959338032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1433600.0178498654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21730.211139686518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3437673.6669442514</v>
      </c>
      <c r="O137" s="190">
        <f t="shared" si="39"/>
        <v>3437673.6669442514</v>
      </c>
      <c r="P137" s="200">
        <f t="shared" si="24"/>
        <v>21730.211139686518</v>
      </c>
      <c r="Q137" s="187">
        <f>IFERROR(VLOOKUP(A137,[1]Energiindhold!$A$2:$C$11,3,FALSE),IFERROR(VLOOKUP(A137,[1]Biogasudbytte!$A$2:$B$18,2,FALSE)*[1]Energiindhold!$C$10,0))*O137</f>
        <v>9.3299838390333765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9.3889605012749318</v>
      </c>
      <c r="S137" s="187">
        <f>IFERROR(VLOOKUP(A137,[1]Biogasudbytte!$A$2:$B$18,2,FALSE)*[1]Energiindhold!$C$10,0)*J137*IFERROR(VLOOKUP(A137,Biogasanlæg!$F$3:$G$8,2,FALSE),1)</f>
        <v>5.8976662241554796E-2</v>
      </c>
      <c r="T137" s="188">
        <f t="shared" si="25"/>
        <v>9.3299838390333765</v>
      </c>
      <c r="U137" s="186">
        <f>O137*IFERROR(VLOOKUP(A137,[1]Tørstofindhold!A$2:B$24,2,FALSE),0)</f>
        <v>687534.73338885035</v>
      </c>
      <c r="V137" s="187">
        <f>IF(D137=År1,P137,SUM(O137,P137))*IFERROR(VLOOKUP(A137,[1]Tørstofindhold!A$2:B$24,2,FALSE),0)</f>
        <v>691880.77561678761</v>
      </c>
      <c r="W137" s="187">
        <f>J137*IFERROR(VLOOKUP(A137,[1]Tørstofindhold!A$2:B$24,2,FALSE),0)</f>
        <v>4346.0422279373042</v>
      </c>
      <c r="X137" s="188">
        <f t="shared" si="26"/>
        <v>687534.73338885035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148453.72937457461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148453.72937457461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100880.19861397019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31532.588010093863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69347.610603876325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4097932.7879593684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1554136.2730559006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2543796.5149034681</v>
      </c>
      <c r="O140" s="190">
        <f t="shared" si="39"/>
        <v>2543796.5149034681</v>
      </c>
      <c r="P140" s="200">
        <f t="shared" si="24"/>
        <v>1554136.2730559006</v>
      </c>
      <c r="Q140" s="187">
        <f>IFERROR(VLOOKUP(A140,[1]Energiindhold!$A$2:$C$11,3,FALSE),IFERROR(VLOOKUP(A140,[1]Biogasudbytte!$A$2:$B$18,2,FALSE)*[1]Energiindhold!$C$10,0))*O140</f>
        <v>1.2693798989019798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2.0449094405196049</v>
      </c>
      <c r="S140" s="187">
        <f>IFERROR(VLOOKUP(A140,[1]Biogasudbytte!$A$2:$B$18,2,FALSE)*[1]Energiindhold!$C$10,0)*J140*IFERROR(VLOOKUP(A140,Biogasanlæg!$F$3:$G$8,2,FALSE),1)</f>
        <v>0.77552954161762511</v>
      </c>
      <c r="T140" s="188">
        <f t="shared" si="25"/>
        <v>1.2693798989019798</v>
      </c>
      <c r="U140" s="186">
        <f>O140*IFERROR(VLOOKUP(A140,[1]Tørstofindhold!A$2:B$24,2,FALSE),0)</f>
        <v>152627.79089420807</v>
      </c>
      <c r="V140" s="187">
        <f>IF(D140=År1,P140,SUM(O140,P140))*IFERROR(VLOOKUP(A140,[1]Tørstofindhold!A$2:B$24,2,FALSE),0)</f>
        <v>245875.96727756213</v>
      </c>
      <c r="W140" s="187">
        <f>J140*IFERROR(VLOOKUP(A140,[1]Tørstofindhold!A$2:B$24,2,FALSE),0)</f>
        <v>93248.176383354032</v>
      </c>
      <c r="X140" s="188">
        <f t="shared" si="26"/>
        <v>152627.7908942081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11545833.414063649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10391250.072657285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1154583.3414063647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10391250.072657285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4.4765505313007594</v>
      </c>
      <c r="S141" s="187">
        <f>IFERROR(VLOOKUP(A141,[1]Biogasudbytte!$A$2:$B$18,2,FALSE)*[1]Energiindhold!$C$10,0)*J141*IFERROR(VLOOKUP(A141,Biogasanlæg!$F$3:$G$8,2,FALSE),1)</f>
        <v>4.4765505313007594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519562.50363286427</v>
      </c>
      <c r="W141" s="187">
        <f>J141*IFERROR(VLOOKUP(A141,[1]Tørstofindhold!A$2:B$24,2,FALSE),0)</f>
        <v>519562.50363286427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1072120.6999068451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945493.60796413617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2272415.0469047958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2272415.0469047958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2272415.0469047958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32.935404053473235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32.935404053473235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1123898.608614997</v>
      </c>
      <c r="W145" s="187">
        <f>J145*IFERROR(VLOOKUP(A145,[1]Tørstofindhold!A$2:B$24,2,FALSE),0)</f>
        <v>0</v>
      </c>
      <c r="X145" s="188">
        <f t="shared" ca="1" si="26"/>
        <v>1123898.608614997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710655.3500452661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710655.3500452661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19123.155694952475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110817031.25294524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661163.5565235524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612515.4514426298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-196999.76656780957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567828.21491337055</v>
      </c>
      <c r="O160" s="190">
        <f t="shared" si="39"/>
        <v>567828.21491337055</v>
      </c>
      <c r="P160" s="200">
        <f t="shared" si="49"/>
        <v>9930.836100337272</v>
      </c>
      <c r="Q160" s="187">
        <f>IFERROR(VLOOKUP(A160,[1]Energiindhold!$A$2:$C$11,3,FALSE),IFERROR(VLOOKUP(A160,[1]Biogasudbytte!$A$2:$B$18,2,FALSE)*[1]Energiindhold!$C$10,0))*O160</f>
        <v>1.0447329369137377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7">
        <f>IFERROR(VLOOKUP(A160,[1]Biogasudbytte!$A$2:$B$18,2,FALSE)*[1]Energiindhold!$C$10,0)*J160*IFERROR(VLOOKUP(A160,Biogasanlæg!$F$3:$G$8,2,FALSE),1)</f>
        <v>1.8271497070108039E-2</v>
      </c>
      <c r="T160" s="188">
        <f t="shared" si="50"/>
        <v>0</v>
      </c>
      <c r="U160" s="186">
        <f>O160*IFERROR(VLOOKUP(A160,[1]Tørstofindhold!A$2:B$24,2,FALSE),0)</f>
        <v>158991.90017574377</v>
      </c>
      <c r="V160" s="187">
        <f>IF(D160=År1,P160,SUM(O160,P160))*IFERROR(VLOOKUP(A160,[1]Tørstofindhold!A$2:B$24,2,FALSE),0)</f>
        <v>2780.6341080944362</v>
      </c>
      <c r="W160" s="187">
        <f>J160*IFERROR(VLOOKUP(A160,[1]Tørstofindhold!A$2:B$24,2,FALSE),0)</f>
        <v>2780.6341080944362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-126804.69555271766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756970.00635565282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7">
        <f>IFERROR(VLOOKUP(A163,[1]Biogasudbytte!$A$2:$B$18,2,FALSE)*[1]Energiindhold!$C$10,0)*J163*IFERROR(VLOOKUP(A163,Biogasanlæg!$F$3:$G$8,2,FALSE),1)</f>
        <v>0.13142610267053248</v>
      </c>
      <c r="T163" s="188">
        <f t="shared" si="50"/>
        <v>7.5882895761801983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643424.50540230493</v>
      </c>
      <c r="W163" s="187">
        <f>J163*IFERROR(VLOOKUP(A163,[1]Tørstofindhold!A$2:B$24,2,FALSE),0)</f>
        <v>19375.841164913018</v>
      </c>
      <c r="X163" s="188">
        <f t="shared" si="51"/>
        <v>624048.6642373919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145851.60720031991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14492.735557536857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1309065.6209408126</v>
      </c>
      <c r="O169" s="190">
        <f t="shared" si="39"/>
        <v>1309065.6209408126</v>
      </c>
      <c r="P169" s="200">
        <f t="shared" si="49"/>
        <v>945.81467090137289</v>
      </c>
      <c r="Q169" s="187">
        <f>IFERROR(VLOOKUP(A169,[1]Energiindhold!$A$2:$C$11,3,FALSE),IFERROR(VLOOKUP(A169,[1]Biogasudbytte!$A$2:$B$18,2,FALSE)*[1]Energiindhold!$C$10,0))*O169</f>
        <v>4.4833664825353523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7">
        <f>IFERROR(VLOOKUP(A169,[1]Biogasudbytte!$A$2:$B$18,2,FALSE)*[1]Energiindhold!$C$10,0)*J169*IFERROR(VLOOKUP(A169,Biogasanlæg!$F$3:$G$8,2,FALSE),1)</f>
        <v>3.2392828337832764E-3</v>
      </c>
      <c r="T169" s="188">
        <f t="shared" si="50"/>
        <v>0</v>
      </c>
      <c r="U169" s="186">
        <f>O169*IFERROR(VLOOKUP(A169,[1]Tørstofindhold!A$2:B$24,2,FALSE),0)</f>
        <v>405810.34249165189</v>
      </c>
      <c r="V169" s="187">
        <f>IF(D169=År1,P169,SUM(O169,P169))*IFERROR(VLOOKUP(A169,[1]Tørstofindhold!A$2:B$24,2,FALSE),0)</f>
        <v>293.20254797942562</v>
      </c>
      <c r="W169" s="187">
        <f>J169*IFERROR(VLOOKUP(A169,[1]Tørstofindhold!A$2:B$24,2,FALSE),0)</f>
        <v>293.20254797942562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-377069.89971696056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-343401.0681058818</v>
      </c>
      <c r="O173" s="190">
        <f t="shared" si="39"/>
        <v>0</v>
      </c>
      <c r="P173" s="200">
        <f t="shared" si="49"/>
        <v>15204.565068438918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7">
        <f>IFERROR(VLOOKUP(A173,[1]Biogasudbytte!$A$2:$B$18,2,FALSE)*[1]Energiindhold!$C$10,0)*J173*IFERROR(VLOOKUP(A173,Biogasanlæg!$F$3:$G$8,2,FALSE),1)</f>
        <v>5.4584388595695719E-2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4561.3695205316753</v>
      </c>
      <c r="W173" s="187">
        <f>J173*IFERROR(VLOOKUP(A173,[1]Tørstofindhold!A$2:B$24,2,FALSE),0)</f>
        <v>4561.3695205316753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396057.87190930446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37577.319945022478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0.69142268698841347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15594.58777718433</v>
      </c>
      <c r="W178" s="187">
        <f>J178*IFERROR(VLOOKUP(A178,[1]Tørstofindhold!A$2:B$24,2,FALSE),0)</f>
        <v>0</v>
      </c>
      <c r="X178" s="188">
        <f t="shared" si="51"/>
        <v>15594.58777718433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309</v>
      </c>
      <c r="B179" s="189" t="s">
        <v>315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310</v>
      </c>
      <c r="B180" s="189" t="s">
        <v>315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70508.296689855866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199">
        <f t="shared" si="48"/>
        <v>0</v>
      </c>
      <c r="O184" s="190">
        <f t="shared" si="39"/>
        <v>0</v>
      </c>
      <c r="P184" s="200">
        <f t="shared" si="49"/>
        <v>32210.735628649098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1.1273757470027184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2125183.9129647682</v>
      </c>
      <c r="O185" s="190">
        <f t="shared" si="39"/>
        <v>1656364.6415009145</v>
      </c>
      <c r="P185" s="200">
        <f t="shared" si="49"/>
        <v>24543.951075802775</v>
      </c>
      <c r="Q185" s="187">
        <f>IFERROR(VLOOKUP(A185,[1]Energiindhold!$A$2:$C$11,3,FALSE),IFERROR(VLOOKUP(A185,[1]Biogasudbytte!$A$2:$B$18,2,FALSE)*[1]Energiindhold!$C$10,0))*O185</f>
        <v>4.4954398916191423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7">
        <f>IFERROR(VLOOKUP(A185,[1]Biogasudbytte!$A$2:$B$18,2,FALSE)*[1]Energiindhold!$C$10,0)*J185*IFERROR(VLOOKUP(A185,Biogasanlæg!$F$3:$G$8,2,FALSE),1)</f>
        <v>6.6613264977771772E-2</v>
      </c>
      <c r="T185" s="188">
        <f t="shared" si="50"/>
        <v>0</v>
      </c>
      <c r="U185" s="186">
        <f>O185*IFERROR(VLOOKUP(A185,[1]Tørstofindhold!A$2:B$24,2,FALSE),0)</f>
        <v>331272.92830018292</v>
      </c>
      <c r="V185" s="187">
        <f>IF(D185=År1,P185,SUM(O185,P185))*IFERROR(VLOOKUP(A185,[1]Tørstofindhold!A$2:B$24,2,FALSE),0)</f>
        <v>4908.7902151605549</v>
      </c>
      <c r="W185" s="187">
        <f>J185*IFERROR(VLOOKUP(A185,[1]Tørstofindhold!A$2:B$24,2,FALSE),0)</f>
        <v>4908.7902151605549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681602.85349434032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9.878857920085288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337109.41129074246</v>
      </c>
      <c r="W193" s="187">
        <f>J193*IFERROR(VLOOKUP(A193,[1]Tørstofindhold!A$2:B$24,2,FALSE),0)</f>
        <v>0</v>
      </c>
      <c r="X193" s="188">
        <f t="shared" ca="1" si="51"/>
        <v>337109.41129074246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14354.783550318367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-13854.556574310172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66320.575580958233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6333.2934029920762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59987.282177966161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117001032.45606402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117001032.45606402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117001032.45606402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3846030.9782367097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3424154.0812072256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421876.89702948416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286444.08767374518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143222.04383687259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54219.773738244621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89002.270098627952</v>
      </c>
      <c r="O201" s="190">
        <f t="shared" si="59"/>
        <v>89002.270098627952</v>
      </c>
      <c r="P201" s="200">
        <f t="shared" si="49"/>
        <v>143222.04383687259</v>
      </c>
      <c r="Q201" s="187">
        <f>IFERROR(VLOOKUP(A201,[1]Energiindhold!$A$2:$C$11,3,FALSE),IFERROR(VLOOKUP(A201,[1]Biogasudbytte!$A$2:$B$18,2,FALSE)*[1]Energiindhold!$C$10,0))*O201</f>
        <v>0.19171088979244461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0.50021117221706812</v>
      </c>
      <c r="S201" s="187">
        <f>IFERROR(VLOOKUP(A201,[1]Biogasudbytte!$A$2:$B$18,2,FALSE)*[1]Energiindhold!$C$10,0)*J201*IFERROR(VLOOKUP(A201,Biogasanlæg!$F$3:$G$8,2,FALSE),1)</f>
        <v>0.30850028242462357</v>
      </c>
      <c r="T201" s="188">
        <f t="shared" si="50"/>
        <v>0.19171088979244455</v>
      </c>
      <c r="U201" s="186">
        <f>O201*IFERROR(VLOOKUP(A201,[1]Tørstofindhold!A$2:B$24,2,FALSE),0)</f>
        <v>26700.681029588384</v>
      </c>
      <c r="V201" s="187">
        <f>IF(D201=År1,P201,SUM(O201,P201))*IFERROR(VLOOKUP(A201,[1]Tørstofindhold!A$2:B$24,2,FALSE),0)</f>
        <v>69667.294180650162</v>
      </c>
      <c r="W201" s="187">
        <f>J201*IFERROR(VLOOKUP(A201,[1]Tørstofindhold!A$2:B$24,2,FALSE),0)</f>
        <v>42966.613151061778</v>
      </c>
      <c r="X201" s="188">
        <f t="shared" si="51"/>
        <v>26700.681029588384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560.16154012228367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504.14538611005531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56.016154012228355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504.14538611005531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2.3709453363369792E-4</v>
      </c>
      <c r="S203" s="187">
        <f>IFERROR(VLOOKUP(A203,[1]Biogasudbytte!$A$2:$B$18,2,FALSE)*[1]Energiindhold!$C$10,0)*J203*IFERROR(VLOOKUP(A203,Biogasanlæg!$F$3:$G$8,2,FALSE),1)</f>
        <v>2.3709453363369792E-4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31.761159324933484</v>
      </c>
      <c r="W203" s="187">
        <f>J203*IFERROR(VLOOKUP(A203,[1]Tørstofindhold!A$2:B$24,2,FALSE),0)</f>
        <v>31.761159324933484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12195.236527675561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-18364.881940672021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342757.79858178977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342757.79858178977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9754.2866982633659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-213569.65595504592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7915785.5258047525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1201654.4608093714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18670.90350678641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6695460.1614885945</v>
      </c>
      <c r="O208" s="190">
        <f t="shared" si="59"/>
        <v>6695460.1614885945</v>
      </c>
      <c r="P208" s="200">
        <f t="shared" si="49"/>
        <v>18670.90350678641</v>
      </c>
      <c r="Q208" s="187">
        <f>IFERROR(VLOOKUP(A208,[1]Energiindhold!$A$2:$C$11,3,FALSE),IFERROR(VLOOKUP(A208,[1]Biogasudbytte!$A$2:$B$18,2,FALSE)*[1]Energiindhold!$C$10,0))*O208</f>
        <v>12.318809764618829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12.353161893208377</v>
      </c>
      <c r="S208" s="187">
        <f>IFERROR(VLOOKUP(A208,[1]Biogasudbytte!$A$2:$B$18,2,FALSE)*[1]Energiindhold!$C$10,0)*J208*IFERROR(VLOOKUP(A208,Biogasanlæg!$F$3:$G$8,2,FALSE),1)</f>
        <v>3.4352128589548649E-2</v>
      </c>
      <c r="T208" s="188">
        <f t="shared" si="50"/>
        <v>12.318809764618829</v>
      </c>
      <c r="U208" s="186">
        <f>O208*IFERROR(VLOOKUP(A208,[1]Tørstofindhold!A$2:B$24,2,FALSE),0)</f>
        <v>1874728.8452168067</v>
      </c>
      <c r="V208" s="187">
        <f>IF(D208=År1,P208,SUM(O208,P208))*IFERROR(VLOOKUP(A208,[1]Tørstofindhold!A$2:B$24,2,FALSE),0)</f>
        <v>1879956.6981987068</v>
      </c>
      <c r="W208" s="187">
        <f>J208*IFERROR(VLOOKUP(A208,[1]Tørstofindhold!A$2:B$24,2,FALSE),0)</f>
        <v>5227.8529819001951</v>
      </c>
      <c r="X208" s="188">
        <f t="shared" si="51"/>
        <v>1874728.8452168067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66219.734583524318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-167682.71061652066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888494.96140285372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75911.558427530035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82816.687681498166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19176.116683861201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710590.59860996436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729766.7152938256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7.455087481427622</v>
      </c>
      <c r="S211" s="187">
        <f>IFERROR(VLOOKUP(A211,[1]Biogasudbytte!$A$2:$B$18,2,FALSE)*[1]Energiindhold!$C$10,0)*J211*IFERROR(VLOOKUP(A211,Biogasanlæg!$F$3:$G$8,2,FALSE),1)</f>
        <v>0.11056066778546911</v>
      </c>
      <c r="T211" s="188">
        <f t="shared" si="50"/>
        <v>7.3445268136421529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620301.70799975179</v>
      </c>
      <c r="W211" s="187">
        <f>J211*IFERROR(VLOOKUP(A211,[1]Tørstofindhold!A$2:B$24,2,FALSE),0)</f>
        <v>16299.69918128202</v>
      </c>
      <c r="X211" s="188">
        <f t="shared" si="51"/>
        <v>604002.00881846971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474117.38114065683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-474117.38114065683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195278.17736560528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217506.01855496093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-22227.841189355648</v>
      </c>
      <c r="O214" s="190">
        <f t="shared" si="59"/>
        <v>0</v>
      </c>
      <c r="P214" s="200">
        <f t="shared" si="49"/>
        <v>217506.01855496093</v>
      </c>
      <c r="Q214" s="187">
        <f>IFERROR(VLOOKUP(A214,[1]Energiindhold!$A$2:$C$11,3,FALSE),IFERROR(VLOOKUP(A214,[1]Biogasudbytte!$A$2:$B$18,2,FALSE)*[1]Energiindhold!$C$10,0))*O214</f>
        <v>0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0.80110957605389932</v>
      </c>
      <c r="S214" s="187">
        <f>IFERROR(VLOOKUP(A214,[1]Biogasudbytte!$A$2:$B$18,2,FALSE)*[1]Energiindhold!$C$10,0)*J214*IFERROR(VLOOKUP(A214,Biogasanlæg!$F$3:$G$8,2,FALSE),1)</f>
        <v>0.80110957605389932</v>
      </c>
      <c r="T214" s="188">
        <f t="shared" si="50"/>
        <v>0</v>
      </c>
      <c r="U214" s="186">
        <f>O214*IFERROR(VLOOKUP(A214,[1]Tørstofindhold!A$2:B$24,2,FALSE),0)</f>
        <v>0</v>
      </c>
      <c r="V214" s="187">
        <f>IF(D214=År1,P214,SUM(O214,P214))*IFERROR(VLOOKUP(A214,[1]Tørstofindhold!A$2:B$24,2,FALSE),0)</f>
        <v>91352.527793083587</v>
      </c>
      <c r="W214" s="187">
        <f>J214*IFERROR(VLOOKUP(A214,[1]Tørstofindhold!A$2:B$24,2,FALSE),0)</f>
        <v>91352.527793083587</v>
      </c>
      <c r="X214" s="188">
        <f t="shared" si="51"/>
        <v>0</v>
      </c>
      <c r="Y214" s="168">
        <f t="shared" si="60"/>
        <v>1</v>
      </c>
      <c r="Z214" s="103">
        <f t="shared" si="61"/>
        <v>0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211505.55492892067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211505.55492892067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515263.04540454788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408302.63076533133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1608239.7398434528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561497.65842248674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871.08988076433457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789636.15207482583</v>
      </c>
      <c r="O217" s="190">
        <f t="shared" si="59"/>
        <v>789636.15207482583</v>
      </c>
      <c r="P217" s="200">
        <f t="shared" si="63"/>
        <v>871.08988076433457</v>
      </c>
      <c r="Q217" s="187">
        <f>IFERROR(VLOOKUP(A217,[1]Energiindhold!$A$2:$C$11,3,FALSE),IFERROR(VLOOKUP(A217,[1]Biogasudbytte!$A$2:$B$18,2,FALSE)*[1]Energiindhold!$C$10,0))*O217</f>
        <v>2.7043932717949883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2.707376632684023</v>
      </c>
      <c r="S217" s="187">
        <f>IFERROR(VLOOKUP(A217,[1]Biogasudbytte!$A$2:$B$18,2,FALSE)*[1]Energiindhold!$C$10,0)*J217*IFERROR(VLOOKUP(A217,Biogasanlæg!$F$3:$G$8,2,FALSE),1)</f>
        <v>2.9833608890345396E-3</v>
      </c>
      <c r="T217" s="188">
        <f t="shared" si="64"/>
        <v>2.7043932717949883</v>
      </c>
      <c r="U217" s="186">
        <f>O217*IFERROR(VLOOKUP(A217,[1]Tørstofindhold!A$2:B$24,2,FALSE),0)</f>
        <v>244787.20714319599</v>
      </c>
      <c r="V217" s="187">
        <f>IF(D217=År1,P217,SUM(O217,P217))*IFERROR(VLOOKUP(A217,[1]Tørstofindhold!A$2:B$24,2,FALSE),0)</f>
        <v>245057.24500623296</v>
      </c>
      <c r="W217" s="187">
        <f>J217*IFERROR(VLOOKUP(A217,[1]Tørstofindhold!A$2:B$24,2,FALSE),0)</f>
        <v>270.03786303694369</v>
      </c>
      <c r="X217" s="188">
        <f t="shared" si="65"/>
        <v>244787.20714319602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352512.12657962355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-352512.12657962355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738231.33813296724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664408.20431967056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73823.133813296707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664408.20431967056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0.33631678894457406</v>
      </c>
      <c r="S219" s="187">
        <f>IFERROR(VLOOKUP(A219,[1]Biogasudbytte!$A$2:$B$18,2,FALSE)*[1]Energiindhold!$C$10,0)*J219*IFERROR(VLOOKUP(A219,Biogasanlæg!$F$3:$G$8,2,FALSE),1)</f>
        <v>0.33631678894457406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50495.023528294958</v>
      </c>
      <c r="W219" s="187">
        <f>J219*IFERROR(VLOOKUP(A219,[1]Tørstofindhold!A$2:B$24,2,FALSE),0)</f>
        <v>50495.023528294958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92168.427114874314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148832.39497031379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-56663.967855439478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1730463.2966817433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555482.60888742993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74810.246107047482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1100170.4416872659</v>
      </c>
      <c r="O221" s="190">
        <f t="shared" si="59"/>
        <v>1100170.4416872659</v>
      </c>
      <c r="P221" s="200">
        <f t="shared" si="63"/>
        <v>74810.246107047482</v>
      </c>
      <c r="Q221" s="187">
        <f>IFERROR(VLOOKUP(A221,[1]Energiindhold!$A$2:$C$11,3,FALSE),IFERROR(VLOOKUP(A221,[1]Biogasudbytte!$A$2:$B$18,2,FALSE)*[1]Energiindhold!$C$10,0))*O221</f>
        <v>3.9496118856572848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4.2181806691815851</v>
      </c>
      <c r="S221" s="187">
        <f>IFERROR(VLOOKUP(A221,[1]Biogasudbytte!$A$2:$B$18,2,FALSE)*[1]Energiindhold!$C$10,0)*J221*IFERROR(VLOOKUP(A221,Biogasanlæg!$F$3:$G$8,2,FALSE),1)</f>
        <v>0.26856878352430047</v>
      </c>
      <c r="T221" s="188">
        <f t="shared" si="64"/>
        <v>3.9496118856572844</v>
      </c>
      <c r="U221" s="186">
        <f>O221*IFERROR(VLOOKUP(A221,[1]Tørstofindhold!A$2:B$24,2,FALSE),0)</f>
        <v>330051.13250617974</v>
      </c>
      <c r="V221" s="187">
        <f>IF(D221=År1,P221,SUM(O221,P221))*IFERROR(VLOOKUP(A221,[1]Tørstofindhold!A$2:B$24,2,FALSE),0)</f>
        <v>352494.20633829397</v>
      </c>
      <c r="W221" s="187">
        <f>J221*IFERROR(VLOOKUP(A221,[1]Tørstofindhold!A$2:B$24,2,FALSE),0)</f>
        <v>22443.073832114245</v>
      </c>
      <c r="X221" s="188">
        <f t="shared" si="65"/>
        <v>330051.13250617974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177837.22990030446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-231198.20190680941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6036.6362564051497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-45939.072923222928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1</v>
      </c>
      <c r="Z224" s="103">
        <f t="shared" si="61"/>
        <v>0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301497.09442768525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301497.09442768525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42074.872472772768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42074.872472772768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42074.872472772768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0.77417765349901879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0.77417765349901879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17461.0720762007</v>
      </c>
      <c r="W226" s="187">
        <f>J226*IFERROR(VLOOKUP(A226,[1]Tørstofindhold!A$2:B$24,2,FALSE),0)</f>
        <v>0</v>
      </c>
      <c r="X226" s="188">
        <f t="shared" si="65"/>
        <v>17461.0720762007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276928.87898992695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276928.87898992695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111531.10220983687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111531.10220983687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55765.551104918435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21023.015601598698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34742.535503319741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35689.952707147801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35689.952707147801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35689.952707147801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1.249148344750173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1.249148344750173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1508318.1394402247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175961.7081777011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6717.4186381438076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1325639.0126243797</v>
      </c>
      <c r="O233" s="190">
        <f t="shared" si="59"/>
        <v>1325639.0126243797</v>
      </c>
      <c r="P233" s="200">
        <f t="shared" si="63"/>
        <v>6717.4186381438076</v>
      </c>
      <c r="Q233" s="187">
        <f>IFERROR(VLOOKUP(A233,[1]Energiindhold!$A$2:$C$11,3,FALSE),IFERROR(VLOOKUP(A233,[1]Biogasudbytte!$A$2:$B$18,2,FALSE)*[1]Energiindhold!$C$10,0))*O233</f>
        <v>3.5978373058230715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3.6160686487037395</v>
      </c>
      <c r="S233" s="187">
        <f>IFERROR(VLOOKUP(A233,[1]Biogasudbytte!$A$2:$B$18,2,FALSE)*[1]Energiindhold!$C$10,0)*J233*IFERROR(VLOOKUP(A233,Biogasanlæg!$F$3:$G$8,2,FALSE),1)</f>
        <v>1.8231342880667821E-2</v>
      </c>
      <c r="T233" s="188">
        <f t="shared" si="64"/>
        <v>3.5978373058230715</v>
      </c>
      <c r="U233" s="186">
        <f>O233*IFERROR(VLOOKUP(A233,[1]Tørstofindhold!A$2:B$24,2,FALSE),0)</f>
        <v>265127.80252487597</v>
      </c>
      <c r="V233" s="187">
        <f>IF(D233=År1,P233,SUM(O233,P233))*IFERROR(VLOOKUP(A233,[1]Tørstofindhold!A$2:B$24,2,FALSE),0)</f>
        <v>266471.28625250474</v>
      </c>
      <c r="W233" s="187">
        <f>J233*IFERROR(VLOOKUP(A233,[1]Tørstofindhold!A$2:B$24,2,FALSE),0)</f>
        <v>1343.4837276287617</v>
      </c>
      <c r="X233" s="188">
        <f t="shared" si="65"/>
        <v>265127.80252487597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18028.658633856463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18028.658633856463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14632.341003448482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3870.3459684951581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10761.995034953325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3342323.2852705466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1267572.2425659813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2074751.0427045652</v>
      </c>
      <c r="O236" s="190">
        <f t="shared" si="59"/>
        <v>2074751.0427045652</v>
      </c>
      <c r="P236" s="200">
        <f t="shared" si="63"/>
        <v>1267572.2425659813</v>
      </c>
      <c r="Q236" s="187">
        <f>IFERROR(VLOOKUP(A236,[1]Energiindhold!$A$2:$C$11,3,FALSE),IFERROR(VLOOKUP(A236,[1]Biogasudbytte!$A$2:$B$18,2,FALSE)*[1]Energiindhold!$C$10,0))*O236</f>
        <v>1.0353215178200053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1.6678527425828555</v>
      </c>
      <c r="S236" s="187">
        <f>IFERROR(VLOOKUP(A236,[1]Biogasudbytte!$A$2:$B$18,2,FALSE)*[1]Energiindhold!$C$10,0)*J236*IFERROR(VLOOKUP(A236,Biogasanlæg!$F$3:$G$8,2,FALSE),1)</f>
        <v>0.6325312247628504</v>
      </c>
      <c r="T236" s="188">
        <f t="shared" si="64"/>
        <v>1.0353215178200053</v>
      </c>
      <c r="U236" s="186">
        <f>O236*IFERROR(VLOOKUP(A236,[1]Tørstofindhold!A$2:B$24,2,FALSE),0)</f>
        <v>124485.0625622739</v>
      </c>
      <c r="V236" s="187">
        <f>IF(D236=År1,P236,SUM(O236,P236))*IFERROR(VLOOKUP(A236,[1]Tørstofindhold!A$2:B$24,2,FALSE),0)</f>
        <v>200539.39711623278</v>
      </c>
      <c r="W236" s="187">
        <f>J236*IFERROR(VLOOKUP(A236,[1]Tørstofindhold!A$2:B$24,2,FALSE),0)</f>
        <v>76054.334553958877</v>
      </c>
      <c r="X236" s="188">
        <f t="shared" si="65"/>
        <v>124485.0625622739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1747439.8704342765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1572695.883390849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174743.98704342762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1572695.883390849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0.67751738656477789</v>
      </c>
      <c r="S237" s="187">
        <f>IFERROR(VLOOKUP(A237,[1]Biogasudbytte!$A$2:$B$18,2,FALSE)*[1]Energiindhold!$C$10,0)*J237*IFERROR(VLOOKUP(A237,Biogasanlæg!$F$3:$G$8,2,FALSE),1)</f>
        <v>0.67751738656477789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78634.794169542452</v>
      </c>
      <c r="W237" s="187">
        <f>J237*IFERROR(VLOOKUP(A237,[1]Tørstofindhold!A$2:B$24,2,FALSE),0)</f>
        <v>78634.794169542452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159736.08962264023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54209.6497730923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647113.13697101502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647113.13697101502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647113.13697101502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9.3789788372862635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9.3789788372862635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320051.37232691451</v>
      </c>
      <c r="W241" s="187">
        <f>J241*IFERROR(VLOOKUP(A241,[1]Tørstofindhold!A$2:B$24,2,FALSE),0)</f>
        <v>0</v>
      </c>
      <c r="X241" s="188">
        <f t="shared" ca="1" si="65"/>
        <v>320051.37232691451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178652.82429017409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178652.82429017409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13980.879672720754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-15551.122347381201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68461.408127480128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6333.293402992078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62128.114724488049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118027054.2952739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118027054.2952739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118027054.2952739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3840921.3635681234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3391207.3391966592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449714.02437146427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301646.48561279988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150823.24280639994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57097.370490994261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93725.872315405693</v>
      </c>
      <c r="O249" s="190">
        <f t="shared" si="59"/>
        <v>93725.872315405693</v>
      </c>
      <c r="P249" s="200">
        <f t="shared" si="63"/>
        <v>150823.24280639994</v>
      </c>
      <c r="Q249" s="187">
        <f>IFERROR(VLOOKUP(A249,[1]Energiindhold!$A$2:$C$11,3,FALSE),IFERROR(VLOOKUP(A249,[1]Biogasudbytte!$A$2:$B$18,2,FALSE)*[1]Energiindhold!$C$10,0))*O249</f>
        <v>0.20188552896738388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0.52675879397236935</v>
      </c>
      <c r="S249" s="187">
        <f>IFERROR(VLOOKUP(A249,[1]Biogasudbytte!$A$2:$B$18,2,FALSE)*[1]Energiindhold!$C$10,0)*J249*IFERROR(VLOOKUP(A249,Biogasanlæg!$F$3:$G$8,2,FALSE),1)</f>
        <v>0.32487326500498548</v>
      </c>
      <c r="T249" s="188">
        <f t="shared" si="64"/>
        <v>0.20188552896738388</v>
      </c>
      <c r="U249" s="186">
        <f>O249*IFERROR(VLOOKUP(A249,[1]Tørstofindhold!A$2:B$24,2,FALSE),0)</f>
        <v>28117.761694621706</v>
      </c>
      <c r="V249" s="187">
        <f>IF(D249=År1,P249,SUM(O249,P249))*IFERROR(VLOOKUP(A249,[1]Tørstofindhold!A$2:B$24,2,FALSE),0)</f>
        <v>73364.734536541684</v>
      </c>
      <c r="W249" s="187">
        <f>J249*IFERROR(VLOOKUP(A249,[1]Tørstofindhold!A$2:B$24,2,FALSE),0)</f>
        <v>45246.972841919982</v>
      </c>
      <c r="X249" s="188">
        <f t="shared" si="65"/>
        <v>28117.761694621702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578.47871789484248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520.63084610535827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57.847871789484238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520.63084610535827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2.4484748061488895E-4</v>
      </c>
      <c r="S251" s="187">
        <f>IFERROR(VLOOKUP(A251,[1]Biogasudbytte!$A$2:$B$18,2,FALSE)*[1]Energiindhold!$C$10,0)*J251*IFERROR(VLOOKUP(A251,Biogasanlæg!$F$3:$G$8,2,FALSE),1)</f>
        <v>2.4484748061488895E-4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32.799743304637573</v>
      </c>
      <c r="W251" s="187">
        <f>J251*IFERROR(VLOOKUP(A251,[1]Tørstofindhold!A$2:B$24,2,FALSE),0)</f>
        <v>32.799743304637573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11660.091914249606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-20332.910274194179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354294.27163502085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354294.27163502085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10073.206306368047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-223721.80968610576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8259662.159688036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1201654.4608093717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19133.106010773055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7038874.5928678913</v>
      </c>
      <c r="O256" s="190">
        <f t="shared" si="59"/>
        <v>7038874.5928678913</v>
      </c>
      <c r="P256" s="200">
        <f t="shared" si="63"/>
        <v>19133.106010773055</v>
      </c>
      <c r="Q256" s="187">
        <f>IFERROR(VLOOKUP(A256,[1]Energiindhold!$A$2:$C$11,3,FALSE),IFERROR(VLOOKUP(A256,[1]Biogasudbytte!$A$2:$B$18,2,FALSE)*[1]Energiindhold!$C$10,0))*O256</f>
        <v>12.950649391552812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12.985851914974383</v>
      </c>
      <c r="S256" s="187">
        <f>IFERROR(VLOOKUP(A256,[1]Biogasudbytte!$A$2:$B$18,2,FALSE)*[1]Energiindhold!$C$10,0)*J256*IFERROR(VLOOKUP(A256,Biogasanlæg!$F$3:$G$8,2,FALSE),1)</f>
        <v>3.5202523421571076E-2</v>
      </c>
      <c r="T256" s="188">
        <f t="shared" si="64"/>
        <v>12.950649391552812</v>
      </c>
      <c r="U256" s="186">
        <f>O256*IFERROR(VLOOKUP(A256,[1]Tørstofindhold!A$2:B$24,2,FALSE),0)</f>
        <v>1970884.8860030097</v>
      </c>
      <c r="V256" s="187">
        <f>IF(D256=År1,P256,SUM(O256,P256))*IFERROR(VLOOKUP(A256,[1]Tørstofindhold!A$2:B$24,2,FALSE),0)</f>
        <v>1976242.1556860262</v>
      </c>
      <c r="W256" s="187">
        <f>J256*IFERROR(VLOOKUP(A256,[1]Tørstofindhold!A$2:B$24,2,FALSE),0)</f>
        <v>5357.2696830164559</v>
      </c>
      <c r="X256" s="188">
        <f t="shared" si="65"/>
        <v>1970884.8860030097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67896.085122154822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-176973.43162785721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858262.17444810341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75911.55842753005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82449.939525946174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19898.597605984571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680002.07888864272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699900.67649462726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7.1430959580429878</v>
      </c>
      <c r="S259" s="187">
        <f>IFERROR(VLOOKUP(A259,[1]Biogasudbytte!$A$2:$B$18,2,FALSE)*[1]Energiindhold!$C$10,0)*J259*IFERROR(VLOOKUP(A259,Biogasanlæg!$F$3:$G$8,2,FALSE),1)</f>
        <v>0.11472616044120829</v>
      </c>
      <c r="T259" s="188">
        <f t="shared" si="64"/>
        <v>7.0283697976017798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594915.57502043317</v>
      </c>
      <c r="W259" s="187">
        <f>J259*IFERROR(VLOOKUP(A259,[1]Tørstofindhold!A$2:B$24,2,FALSE),0)</f>
        <v>16913.807965086886</v>
      </c>
      <c r="X259" s="188">
        <f t="shared" si="65"/>
        <v>578001.76705534628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474117.381140657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-474117.381140657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195751.05229011617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217936.45077407858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-22185.398483962403</v>
      </c>
      <c r="O262" s="190">
        <f t="shared" si="75"/>
        <v>0</v>
      </c>
      <c r="P262" s="200">
        <f t="shared" si="63"/>
        <v>217936.45077407858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0.80269492700128076</v>
      </c>
      <c r="S262" s="187">
        <f>IFERROR(VLOOKUP(A262,[1]Biogasudbytte!$A$2:$B$18,2,FALSE)*[1]Energiindhold!$C$10,0)*J262*IFERROR(VLOOKUP(A262,Biogasanlæg!$F$3:$G$8,2,FALSE),1)</f>
        <v>0.80269492700128076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91533.309325113005</v>
      </c>
      <c r="W262" s="187">
        <f>J262*IFERROR(VLOOKUP(A262,[1]Tørstofindhold!A$2:B$24,2,FALSE),0)</f>
        <v>91533.309325113005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218355.83887788613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218355.83887788613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531883.75371629221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419908.24605673895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1668103.5195071232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561497.65842248686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895.50205835545398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837461.34067702142</v>
      </c>
      <c r="O265" s="190">
        <f t="shared" si="75"/>
        <v>837461.34067702142</v>
      </c>
      <c r="P265" s="200">
        <f t="shared" si="63"/>
        <v>895.50205835545398</v>
      </c>
      <c r="Q265" s="187">
        <f>IFERROR(VLOOKUP(A265,[1]Energiindhold!$A$2:$C$11,3,FALSE),IFERROR(VLOOKUP(A265,[1]Biogasudbytte!$A$2:$B$18,2,FALSE)*[1]Energiindhold!$C$10,0))*O265</f>
        <v>2.8681878472311042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2.8712548164106835</v>
      </c>
      <c r="S265" s="187">
        <f>IFERROR(VLOOKUP(A265,[1]Biogasudbytte!$A$2:$B$18,2,FALSE)*[1]Energiindhold!$C$10,0)*J265*IFERROR(VLOOKUP(A265,Biogasanlæg!$F$3:$G$8,2,FALSE),1)</f>
        <v>3.0669691795792609E-3</v>
      </c>
      <c r="T265" s="188">
        <f t="shared" si="64"/>
        <v>2.8681878472311042</v>
      </c>
      <c r="U265" s="186">
        <f>O265*IFERROR(VLOOKUP(A265,[1]Tørstofindhold!A$2:B$24,2,FALSE),0)</f>
        <v>259613.01560987663</v>
      </c>
      <c r="V265" s="187">
        <f>IF(D265=År1,P265,SUM(O265,P265))*IFERROR(VLOOKUP(A265,[1]Tørstofindhold!A$2:B$24,2,FALSE),0)</f>
        <v>259890.62124796683</v>
      </c>
      <c r="W265" s="187">
        <f>J265*IFERROR(VLOOKUP(A265,[1]Tørstofindhold!A$2:B$24,2,FALSE),0)</f>
        <v>277.60563809019072</v>
      </c>
      <c r="X265" s="188">
        <f t="shared" si="65"/>
        <v>259613.01560987663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337366.10305839882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-337366.10305839882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724125.12538599269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651712.6128473935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72412.512538599258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651712.6128473935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0.32989040749722215</v>
      </c>
      <c r="S267" s="187">
        <f>IFERROR(VLOOKUP(A267,[1]Biogasudbytte!$A$2:$B$18,2,FALSE)*[1]Energiindhold!$C$10,0)*J267*IFERROR(VLOOKUP(A267,Biogasanlæg!$F$3:$G$8,2,FALSE),1)</f>
        <v>0.32989040749722215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49530.158576401904</v>
      </c>
      <c r="W267" s="187">
        <f>J267*IFERROR(VLOOKUP(A267,[1]Tørstofindhold!A$2:B$24,2,FALSE),0)</f>
        <v>49530.158576401904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90456.37389070644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148832.39497031382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-58376.021079607381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1806784.2396676533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555482.60888743005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76885.413724887418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1174416.2170553359</v>
      </c>
      <c r="O269" s="190">
        <f t="shared" si="75"/>
        <v>1174416.2170553359</v>
      </c>
      <c r="P269" s="200">
        <f t="shared" si="63"/>
        <v>76885.413724887418</v>
      </c>
      <c r="Q269" s="187">
        <f>IFERROR(VLOOKUP(A269,[1]Energiindhold!$A$2:$C$11,3,FALSE),IFERROR(VLOOKUP(A269,[1]Biogasudbytte!$A$2:$B$18,2,FALSE)*[1]Energiindhold!$C$10,0))*O269</f>
        <v>4.2161542192286561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4.4921728545010016</v>
      </c>
      <c r="S269" s="187">
        <f>IFERROR(VLOOKUP(A269,[1]Biogasudbytte!$A$2:$B$18,2,FALSE)*[1]Energiindhold!$C$10,0)*J269*IFERROR(VLOOKUP(A269,Biogasanlæg!$F$3:$G$8,2,FALSE),1)</f>
        <v>0.27601863527234588</v>
      </c>
      <c r="T269" s="188">
        <f t="shared" si="64"/>
        <v>4.2161542192286561</v>
      </c>
      <c r="U269" s="186">
        <f>O269*IFERROR(VLOOKUP(A269,[1]Tørstofindhold!A$2:B$24,2,FALSE),0)</f>
        <v>352324.86511660076</v>
      </c>
      <c r="V269" s="187">
        <f>IF(D269=År1,P269,SUM(O269,P269))*IFERROR(VLOOKUP(A269,[1]Tørstofindhold!A$2:B$24,2,FALSE),0)</f>
        <v>375390.48923406698</v>
      </c>
      <c r="W269" s="187">
        <f>J269*IFERROR(VLOOKUP(A269,[1]Tørstofindhold!A$2:B$24,2,FALSE),0)</f>
        <v>23065.624117466225</v>
      </c>
      <c r="X269" s="188">
        <f t="shared" si="65"/>
        <v>352324.86511660076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174533.85571503793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-253680.1735764404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5844.4508372651044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-48568.262884772746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311324.13276481908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311324.13276481908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43487.487569771387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43487.487569771387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43487.487569771387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0.80016977128379341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0.80016977128379341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18047.307341455125</v>
      </c>
      <c r="W274" s="187">
        <f>J274*IFERROR(VLOOKUP(A274,[1]Tørstofindhold!A$2:B$24,2,FALSE),0)</f>
        <v>0</v>
      </c>
      <c r="X274" s="188">
        <f t="shared" si="65"/>
        <v>18047.307341455125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271784.85087768652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271784.85087768652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115050.74976069485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115050.74976069485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57525.374880347423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21023.015601598701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36502.359278748721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36816.239923422349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36816.239923422349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36816.239923422349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1.2885683973197821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1.2885683973197821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1557006.906908574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175961.70817770113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6914.7888603134843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1374130.4098705593</v>
      </c>
      <c r="O281" s="190">
        <f t="shared" si="89"/>
        <v>1374130.4098705593</v>
      </c>
      <c r="P281" s="200">
        <f t="shared" si="63"/>
        <v>6914.7888603134843</v>
      </c>
      <c r="Q281" s="187">
        <f>IFERROR(VLOOKUP(A281,[1]Energiindhold!$A$2:$C$11,3,FALSE),IFERROR(VLOOKUP(A281,[1]Biogasudbytte!$A$2:$B$18,2,FALSE)*[1]Energiindhold!$C$10,0))*O281</f>
        <v>3.7294448976050929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3.7482119111635379</v>
      </c>
      <c r="S281" s="187">
        <f>IFERROR(VLOOKUP(A281,[1]Biogasudbytte!$A$2:$B$18,2,FALSE)*[1]Energiindhold!$C$10,0)*J281*IFERROR(VLOOKUP(A281,Biogasanlæg!$F$3:$G$8,2,FALSE),1)</f>
        <v>1.8767013558445209E-2</v>
      </c>
      <c r="T281" s="188">
        <f t="shared" si="64"/>
        <v>3.7294448976050929</v>
      </c>
      <c r="U281" s="186">
        <f>O281*IFERROR(VLOOKUP(A281,[1]Tørstofindhold!A$2:B$24,2,FALSE),0)</f>
        <v>274826.0819741119</v>
      </c>
      <c r="V281" s="187">
        <f>IF(D281=År1,P281,SUM(O281,P281))*IFERROR(VLOOKUP(A281,[1]Tørstofindhold!A$2:B$24,2,FALSE),0)</f>
        <v>276209.03974617459</v>
      </c>
      <c r="W281" s="187">
        <f>J281*IFERROR(VLOOKUP(A281,[1]Tørstofindhold!A$2:B$24,2,FALSE),0)</f>
        <v>1382.9577720626969</v>
      </c>
      <c r="X281" s="188">
        <f t="shared" si="65"/>
        <v>274826.0819741119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17515.983585710339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17515.983585710339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14228.619026408833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3870.345968495159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10358.273057913673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3498582.8365199142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1326833.4967577588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2171749.3397621554</v>
      </c>
      <c r="O284" s="190">
        <f t="shared" si="89"/>
        <v>2171749.3397621554</v>
      </c>
      <c r="P284" s="200">
        <f t="shared" si="94"/>
        <v>1326833.4967577588</v>
      </c>
      <c r="Q284" s="187">
        <f>IFERROR(VLOOKUP(A284,[1]Energiindhold!$A$2:$C$11,3,FALSE),IFERROR(VLOOKUP(A284,[1]Biogasudbytte!$A$2:$B$18,2,FALSE)*[1]Energiindhold!$C$10,0))*O284</f>
        <v>1.0837246380347134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1.7458278212518028</v>
      </c>
      <c r="S284" s="187">
        <f>IFERROR(VLOOKUP(A284,[1]Biogasudbytte!$A$2:$B$18,2,FALSE)*[1]Energiindhold!$C$10,0)*J284*IFERROR(VLOOKUP(A284,Biogasanlæg!$F$3:$G$8,2,FALSE),1)</f>
        <v>0.66210318321708928</v>
      </c>
      <c r="T284" s="188">
        <f t="shared" si="95"/>
        <v>1.0837246380347136</v>
      </c>
      <c r="U284" s="186">
        <f>O284*IFERROR(VLOOKUP(A284,[1]Tørstofindhold!A$2:B$24,2,FALSE),0)</f>
        <v>130304.96038572933</v>
      </c>
      <c r="V284" s="187">
        <f>IF(D284=År1,P284,SUM(O284,P284))*IFERROR(VLOOKUP(A284,[1]Tørstofindhold!A$2:B$24,2,FALSE),0)</f>
        <v>209914.97019119485</v>
      </c>
      <c r="W284" s="187">
        <f>J284*IFERROR(VLOOKUP(A284,[1]Tørstofindhold!A$2:B$24,2,FALSE),0)</f>
        <v>79610.009805465525</v>
      </c>
      <c r="X284" s="188">
        <f t="shared" si="96"/>
        <v>130304.96038572933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1672957.9533098161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1505662.1579788346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167295.79533098158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1505662.1579788346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0.64863925765728203</v>
      </c>
      <c r="S285" s="187">
        <f>IFERROR(VLOOKUP(A285,[1]Biogasudbytte!$A$2:$B$18,2,FALSE)*[1]Energiindhold!$C$10,0)*J285*IFERROR(VLOOKUP(A285,Biogasanlæg!$F$3:$G$8,2,FALSE),1)</f>
        <v>0.64863925765728203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75283.107898941729</v>
      </c>
      <c r="W285" s="187">
        <f>J285*IFERROR(VLOOKUP(A285,[1]Tørstofindhold!A$2:B$24,2,FALSE),0)</f>
        <v>75283.107898941729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155347.1964728414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44872.898915976679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628553.38840354723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628553.38840354723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628553.38840354723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9.1099818426426022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9.1099818426426022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310872.03001458774</v>
      </c>
      <c r="W289" s="187">
        <f>J289*IFERROR(VLOOKUP(A289,[1]Tørstofindhold!A$2:B$24,2,FALSE),0)</f>
        <v>0</v>
      </c>
      <c r="X289" s="188">
        <f t="shared" ca="1" si="96"/>
        <v>310872.03001458774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186678.59731643874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186678.59731643874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4" t="s">
        <v>23</v>
      </c>
      <c r="B2" s="445"/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6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0" t="s">
        <v>7</v>
      </c>
      <c r="D3" s="451"/>
      <c r="E3" s="451"/>
      <c r="F3" s="451"/>
      <c r="G3" s="451"/>
      <c r="H3" s="451"/>
      <c r="I3" s="451"/>
      <c r="J3" s="451"/>
      <c r="K3" s="452"/>
      <c r="L3" s="450" t="s">
        <v>8</v>
      </c>
      <c r="M3" s="451"/>
      <c r="N3" s="451"/>
      <c r="O3" s="451"/>
      <c r="P3" s="451"/>
      <c r="Q3" s="451"/>
      <c r="R3" s="451"/>
      <c r="S3" s="451"/>
      <c r="T3" s="452"/>
      <c r="U3" s="71"/>
      <c r="W3" s="31" t="s">
        <v>275</v>
      </c>
      <c r="X3" s="35">
        <f>C24+C51</f>
        <v>11808068</v>
      </c>
      <c r="Y3" s="11">
        <f>D24+D51</f>
        <v>9597731.076909367</v>
      </c>
      <c r="Z3" s="23">
        <f>E24+E51</f>
        <v>9238493.3130771164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953433.53878271766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15770289.144075628</v>
      </c>
      <c r="Z5" s="24">
        <f t="shared" si="0"/>
        <v>15029002.18033967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623909.73940601887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12397.451002927566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6829.6764788402734</v>
      </c>
      <c r="I6" s="11">
        <f>IF(Landbrug!$E$47&gt;0,SUMIF(Landbrug!$B$32:$B$45,$B6,IF($I$4=År2,Landbrug!$D$32:$D$45,Landbrug!$E$32:$E$45)),'[1]Afgrødefordeling - jordtype'!$G4)*(1-Landbrug!$E$5)*Arealanvendelse!P$26</f>
        <v>561483.07121072372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11824.158471000279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6513.8532890673114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97373.196323482727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1934.8622952545911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1065.9032654837422</v>
      </c>
      <c r="R6" s="11">
        <f>IF(Landbrug!$E$47&gt;0,SUMIF(Landbrug!$B$32:$B$45,$B6,IF($R$4=År2,Landbrug!$D$32:$D$45,Landbrug!$E$32:$E$45)),'[1]Afgrødefordeling - jordtype'!$G4)*(Landbrug!$E$5)*Arealanvendelse!P$26</f>
        <v>119102.46965075957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2508.1548271818774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1381.7264552567024</v>
      </c>
      <c r="U6" s="94"/>
      <c r="W6" s="31" t="s">
        <v>278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912010.08692288375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48011.920691725383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1062.761606425149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393.24746020858441</v>
      </c>
      <c r="I7" s="11">
        <f>IF(Landbrug!$E$47&gt;0,SUMIF(Landbrug!$B$32:$B$45,$B7,IF($I$4=År2,Landbrug!$D$32:$D$45,Landbrug!$E$32:$E$45)),'[1]Afgrødefordeling - jordtype'!$G5)*(1-Landbrug!$E$5)*Arealanvendelse!P$26</f>
        <v>43207.981831443096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1013.616561041327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375.06260655732041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7493.1899345467373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165.86452817039898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61.373881073016072</v>
      </c>
      <c r="R7" s="11">
        <f>IF(Landbrug!$E$47&gt;0,SUMIF(Landbrug!$B$32:$B$45,$B7,IF($R$4=År2,Landbrug!$D$32:$D$45,Landbrug!$E$32:$E$45)),'[1]Afgrødefordeling - jordtype'!$G5)*(Landbrug!$E$5)*Arealanvendelse!P$26</f>
        <v>9165.3294793970217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215.00957355422085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79.558734724280086</v>
      </c>
      <c r="U7" s="94"/>
      <c r="W7" s="31" t="s">
        <v>279</v>
      </c>
      <c r="X7" s="34">
        <f t="shared" si="1"/>
        <v>224348</v>
      </c>
      <c r="Y7" s="11">
        <f t="shared" si="1"/>
        <v>210555.77489895534</v>
      </c>
      <c r="Z7" s="23">
        <f t="shared" si="1"/>
        <v>259505.66121728224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70259.109449246753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1137.9870596805204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509.2376538265151</v>
      </c>
      <c r="I8" s="11">
        <f>IF(Landbrug!$E$47&gt;0,SUMIF(Landbrug!$B$32:$B$45,$B8,IF($I$4=År2,Landbrug!$D$32:$D$45,Landbrug!$E$32:$E$45)),'[1]Afgrødefordeling - jordtype'!$G6)*(1-Landbrug!$E$5)*Arealanvendelse!P$26</f>
        <v>63229.178938047015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1085.3633806201497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485.68909179985542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10965.294538321748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177.60491682875178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79.476396839976346</v>
      </c>
      <c r="R8" s="11">
        <f>IF(Landbrug!$E$47&gt;0,SUMIF(Landbrug!$B$32:$B$45,$B8,IF($R$4=År2,Landbrug!$D$32:$D$45,Landbrug!$E$32:$E$45)),'[1]Afgrødefordeling - jordtype'!$G6)*(Landbrug!$E$5)*Arealanvendelse!P$26</f>
        <v>13412.250077767547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230.22859588912263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103.024958866636</v>
      </c>
      <c r="U8" s="94"/>
      <c r="W8" s="46" t="s">
        <v>280</v>
      </c>
      <c r="X8" s="47">
        <f t="shared" si="1"/>
        <v>3277287</v>
      </c>
      <c r="Y8" s="16">
        <f t="shared" si="1"/>
        <v>3034725.0559243709</v>
      </c>
      <c r="Z8" s="24">
        <f t="shared" si="1"/>
        <v>3776012.0196603313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389039.43578841945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10501.746271795293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11744.627821749295</v>
      </c>
      <c r="I9" s="11">
        <f>IF(Landbrug!$E$47&gt;0,SUMIF(Landbrug!$B$32:$B$45,$B9,IF($I$4=År2,Landbrug!$D$32:$D$45,Landbrug!$E$32:$E$45)),'[1]Afgrødefordeling - jordtype'!$G7)*(1-Landbrug!$E$5)*Arealanvendelse!P$26</f>
        <v>350113.23502744088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10016.116386394353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11201.523645021003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60717.137377383391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1639.0008632281672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1832.9765964579826</v>
      </c>
      <c r="R9" s="11">
        <f>IF(Landbrug!$E$47&gt;0,SUMIF(Landbrug!$B$32:$B$45,$B9,IF($R$4=År2,Landbrug!$D$32:$D$45,Landbrug!$E$32:$E$45)),'[1]Afgrødefordeling - jordtype'!$G7)*(Landbrug!$E$5)*Arealanvendelse!P$26</f>
        <v>74266.443793699596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2124.6307486291057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2376.0807731862733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8069.2150499893842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49.117062325833871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13.650927813648</v>
      </c>
      <c r="I10" s="11">
        <f>IF(Landbrug!$E$47&gt;0,SUMIF(Landbrug!$B$32:$B$45,$B10,IF($I$4=År2,Landbrug!$D$32:$D$45,Landbrug!$E$32:$E$45)),'[1]Afgrødefordeling - jordtype'!$G8)*(1-Landbrug!$E$5)*Arealanvendelse!P$26</f>
        <v>7261.8319003021561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46.845753085332873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13.019671036138266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1259.3572621370715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7.6656686866908359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2.1304916240953529</v>
      </c>
      <c r="R10" s="11">
        <f>IF(Landbrug!$E$47&gt;0,SUMIF(Landbrug!$B$32:$B$45,$B10,IF($R$4=År2,Landbrug!$D$32:$D$45,Landbrug!$E$32:$E$45)),'[1]Afgrødefordeling - jordtype'!$G8)*(Landbrug!$E$5)*Arealanvendelse!P$26</f>
        <v>1540.3885849125784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9.9369779271918226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2.7617484016050868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33939.868192186092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775.43110733760068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722.54761223276046</v>
      </c>
      <c r="I11" s="11">
        <f>IF(Landbrug!$E$47&gt;0,SUMIF(Landbrug!$B$32:$B$45,$B11,IF($I$4=År2,Landbrug!$D$32:$D$45,Landbrug!$E$32:$E$45)),'[1]Afgrødefordeling - jordtype'!$G9)*(1-Landbrug!$E$5)*Arealanvendelse!P$26</f>
        <v>30543.939652518206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739.57302144915673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689.13500588673674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5296.973648491472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121.0210398734984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112.76754641782966</v>
      </c>
      <c r="R11" s="11">
        <f>IF(Landbrug!$E$47&gt;0,SUMIF(Landbrug!$B$32:$B$45,$B11,IF($R$4=År2,Landbrug!$D$32:$D$45,Landbrug!$E$32:$E$45)),'[1]Afgrødefordeling - jordtype'!$G9)*(Landbrug!$E$5)*Arealanvendelse!P$26</f>
        <v>6479.017502049317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156.87912576194233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146.18015276385327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51872.305654463133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20.343682789424093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7.81367517821608</v>
      </c>
      <c r="I12" s="11">
        <f>IF(Landbrug!$E$47&gt;0,SUMIF(Landbrug!$B$32:$B$45,$B12,IF($I$4=År2,Landbrug!$D$32:$D$45,Landbrug!$E$32:$E$45)),'[1]Afgrødefordeling - jordtype'!$G10)*(1-Landbrug!$E$5)*Arealanvendelse!P$26</f>
        <v>46682.107442941407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19.402934452340897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7.4523491584141794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8095.677761101183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3.1750256376557835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1.2194753168314114</v>
      </c>
      <c r="R12" s="11">
        <f>IF(Landbrug!$E$47&gt;0,SUMIF(Landbrug!$B$32:$B$45,$B12,IF($R$4=År2,Landbrug!$D$32:$D$45,Landbrug!$E$32:$E$45)),'[1]Afgrødefordeling - jordtype'!$G10)*(Landbrug!$E$5)*Arealanvendelse!P$26</f>
        <v>9902.2652151693892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4.1157739747389783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1.5808013366333109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105024.04342368516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2626.0637331851003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971.70700105983565</v>
      </c>
      <c r="I13" s="11">
        <f>IF(Landbrug!$E$47&gt;0,SUMIF(Landbrug!$B$32:$B$45,$B13,IF($I$4=År2,Landbrug!$D$32:$D$45,Landbrug!$E$32:$E$45)),'[1]Afgrødefordeling - jordtype'!$G11)*(1-Landbrug!$E$5)*Arealanvendelse!P$26</f>
        <v>94515.630592078363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2504.6272599742283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926.7725732651611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16391.035678841039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409.84809708669195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151.6536938070264</v>
      </c>
      <c r="R13" s="11">
        <f>IF(Landbrug!$E$47&gt;0,SUMIF(Landbrug!$B$32:$B$45,$B13,IF($R$4=År2,Landbrug!$D$32:$D$45,Landbrug!$E$32:$E$45)),'[1]Afgrødefordeling - jordtype'!$G11)*(Landbrug!$E$5)*Arealanvendelse!P$26</f>
        <v>20048.770125592382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531.28457029756362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196.58812160170083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3146.7111847138076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44.737253203575285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27.846169827307591</v>
      </c>
      <c r="I14" s="11">
        <f>IF(Landbrug!$E$47&gt;0,SUMIF(Landbrug!$B$32:$B$45,$B14,IF($I$4=År2,Landbrug!$D$32:$D$45,Landbrug!$E$32:$E$45)),'[1]Afgrødefordeling - jordtype'!$G12)*(1-Landbrug!$E$5)*Arealanvendelse!P$26</f>
        <v>2831.8600409865621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42.668478488959082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26.558485673443656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491.10521379926485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6.9821146618296694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4.3459340192907803</v>
      </c>
      <c r="R14" s="11">
        <f>IF(Landbrug!$E$47&gt;0,SUMIF(Landbrug!$B$32:$B$45,$B14,IF($R$4=År2,Landbrug!$D$32:$D$45,Landbrug!$E$32:$E$45)),'[1]Afgrødefordeling - jordtype'!$G12)*(Landbrug!$E$5)*Arealanvendelse!P$26</f>
        <v>600.69758445169498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9.0508893764458662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5.6336181731547148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27850.682564630642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791.21864877871178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492.48461375505457</v>
      </c>
      <c r="I15" s="11">
        <f>IF(Landbrug!$E$47&gt;0,SUMIF(Landbrug!$B$32:$B$45,$B15,IF($I$4=År2,Landbrug!$D$32:$D$45,Landbrug!$E$32:$E$45)),'[1]Afgrødefordeling - jordtype'!$G13)*(1-Landbrug!$E$5)*Arealanvendelse!P$26</f>
        <v>25064.020953722124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754.6305031704477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469.71075878372255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4346.6383193354177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123.48499142789146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76.861760528245512</v>
      </c>
      <c r="R15" s="11">
        <f>IF(Landbrug!$E$47&gt;0,SUMIF(Landbrug!$B$32:$B$45,$B15,IF($R$4=År2,Landbrug!$D$32:$D$45,Landbrug!$E$32:$E$45)),'[1]Afgrødefordeling - jordtype'!$G13)*(Landbrug!$E$5)*Arealanvendelse!P$26</f>
        <v>5316.6105053349966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160.07313703615557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99.635615499577497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62611.02615456815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1952.9609549061931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1566.9213854799195</v>
      </c>
      <c r="I16" s="11">
        <f>IF(Landbrug!$E$47&gt;0,SUMIF(Landbrug!$B$32:$B$45,$B16,IF($I$4=År2,Landbrug!$D$32:$D$45,Landbrug!$E$32:$E$45)),'[1]Afgrødefordeling - jordtype'!$G14)*(1-Landbrug!$E$5)*Arealanvendelse!P$26</f>
        <v>56346.341524321346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1862.6506217313402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1494.4625930877842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9771.6630414643932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304.79737446512843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244.54842432345563</v>
      </c>
      <c r="R16" s="11">
        <f>IF(Landbrug!$E$47&gt;0,SUMIF(Landbrug!$B$32:$B$45,$B16,IF($R$4=År2,Landbrug!$D$32:$D$45,Landbrug!$E$32:$E$45)),'[1]Afgrødefordeling - jordtype'!$G14)*(Landbrug!$E$5)*Arealanvendelse!P$26</f>
        <v>11952.25426273483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395.1077076399813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317.00721671559063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11759.429887638771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224.38166373606674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139.66369115457903</v>
      </c>
      <c r="I17" s="11">
        <f>IF(Landbrug!$E$47&gt;0,SUMIF(Landbrug!$B$32:$B$45,$B17,IF($I$4=År2,Landbrug!$D$32:$D$45,Landbrug!$E$32:$E$45)),'[1]Afgrødefordeling - jordtype'!$G15)*(1-Landbrug!$E$5)*Arealanvendelse!P$26</f>
        <v>10582.814134757033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214.00563304306942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133.20525456939615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1835.286745469635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35.01910358886591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21.797223474992101</v>
      </c>
      <c r="R17" s="11">
        <f>IF(Landbrug!$E$47&gt;0,SUMIF(Landbrug!$B$32:$B$45,$B17,IF($R$4=År2,Landbrug!$D$32:$D$45,Landbrug!$E$32:$E$45)),'[1]Afgrødefordeling - jordtype'!$G15)*(Landbrug!$E$5)*Arealanvendelse!P$26</f>
        <v>2244.8393619181579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45.395134281863214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28.255660060174939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4522.0169004115751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368.51743073956908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329.67947330545348</v>
      </c>
      <c r="I18" s="11">
        <f>IF(Landbrug!$E$47&gt;0,SUMIF(Landbrug!$B$32:$B$45,$B18,IF($I$4=År2,Landbrug!$D$32:$D$45,Landbrug!$E$32:$E$45)),'[1]Afgrødefordeling - jordtype'!$G16)*(1-Landbrug!$E$5)*Arealanvendelse!P$26</f>
        <v>4069.5565030402136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351.476162266063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314.43417974219551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705.74830237637309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57.514281098083039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51.452865775995633</v>
      </c>
      <c r="R18" s="11">
        <f>IF(Landbrug!$E$47&gt;0,SUMIF(Landbrug!$B$32:$B$45,$B18,IF($R$4=År2,Landbrug!$D$32:$D$45,Landbrug!$E$32:$E$45)),'[1]Afgrødefordeling - jordtype'!$G16)*(Landbrug!$E$5)*Arealanvendelse!P$26</f>
        <v>863.23925822065132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74.555549571589111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66.698159339253593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109694.9188294395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40667.094971784412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31481.370371455621</v>
      </c>
      <c r="I19" s="11">
        <f>IF(Landbrug!$E$47&gt;0,SUMIF(Landbrug!$B$32:$B$45,$B19,IF($I$4=År2,Landbrug!$D$32:$D$45,Landbrug!$E$32:$E$45)),'[1]Afgrødefordeling - jordtype'!$G17)*(1-Landbrug!$E$5)*Arealanvendelse!P$26</f>
        <v>98719.151233641649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38786.535666730793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30025.584458324727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17120.016233496339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6346.8876545559488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4913.2774568167742</v>
      </c>
      <c r="R19" s="11">
        <f>IF(Landbrug!$E$47&gt;0,SUMIF(Landbrug!$B$32:$B$45,$B19,IF($R$4=År2,Landbrug!$D$32:$D$45,Landbrug!$E$32:$E$45)),'[1]Afgrødefordeling - jordtype'!$G17)*(Landbrug!$E$5)*Arealanvendelse!P$26</f>
        <v>20940.42601925732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8227.4469596095623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6369.0633699476693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1549710.4231771363</v>
      </c>
      <c r="G20" s="38">
        <f t="shared" si="2"/>
        <v>72619.812449615012</v>
      </c>
      <c r="H20" s="38">
        <f t="shared" si="2"/>
        <v>55230.474335887062</v>
      </c>
      <c r="I20" s="38">
        <f t="shared" si="2"/>
        <v>1394650.7209859642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241862.32038024676</v>
      </c>
      <c r="P20" s="38">
        <f t="shared" si="2"/>
        <v>11333.727954564194</v>
      </c>
      <c r="Q20" s="38">
        <f t="shared" si="2"/>
        <v>8619.7850119592531</v>
      </c>
      <c r="R20" s="38">
        <f t="shared" si="2"/>
        <v>295835.00142126507</v>
      </c>
      <c r="S20" s="38">
        <f t="shared" si="2"/>
        <v>14691.86957073136</v>
      </c>
      <c r="T20" s="39">
        <f t="shared" si="2"/>
        <v>11173.795385873105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0" t="s">
        <v>7</v>
      </c>
      <c r="D22" s="451"/>
      <c r="E22" s="452"/>
      <c r="F22" s="456" t="s">
        <v>8</v>
      </c>
      <c r="G22" s="451"/>
      <c r="H22" s="452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7721242.9104568008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872711.48954319966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877744.4345664084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236226.76543359147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14232454.554315863</v>
      </c>
      <c r="E26" s="24">
        <f>($F26+$C26)*Landbrug!E13*(1-Landbrug!E8)</f>
        <v>13551675.866315866</v>
      </c>
      <c r="F26" s="47">
        <f>SUM([1]Dyrehold!E65:G78)</f>
        <v>3062300</v>
      </c>
      <c r="G26" s="16">
        <f>($F26+$C26)*Landbrug!D13*Landbrug!D8</f>
        <v>2787012.6456841351</v>
      </c>
      <c r="H26" s="24">
        <f>($F26+$C26)*Landbrug!E13*Landbrug!E8</f>
        <v>3467791.3336841348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7" t="s">
        <v>24</v>
      </c>
      <c r="B29" s="448"/>
      <c r="C29" s="448"/>
      <c r="D29" s="448"/>
      <c r="E29" s="448"/>
      <c r="F29" s="448"/>
      <c r="G29" s="448"/>
      <c r="H29" s="448"/>
      <c r="I29" s="448"/>
      <c r="J29" s="448"/>
      <c r="K29" s="448"/>
      <c r="L29" s="448"/>
      <c r="M29" s="448"/>
      <c r="N29" s="448"/>
      <c r="O29" s="448"/>
      <c r="P29" s="448"/>
      <c r="Q29" s="448"/>
      <c r="R29" s="448"/>
      <c r="S29" s="448"/>
      <c r="T29" s="448"/>
      <c r="U29" s="449"/>
    </row>
    <row r="30" spans="1:21" x14ac:dyDescent="0.25">
      <c r="A30" s="56"/>
      <c r="B30" s="53"/>
      <c r="C30" s="453" t="s">
        <v>7</v>
      </c>
      <c r="D30" s="454"/>
      <c r="E30" s="454"/>
      <c r="F30" s="454"/>
      <c r="G30" s="454"/>
      <c r="H30" s="454"/>
      <c r="I30" s="454"/>
      <c r="J30" s="454"/>
      <c r="K30" s="455"/>
      <c r="L30" s="453" t="s">
        <v>8</v>
      </c>
      <c r="M30" s="454"/>
      <c r="N30" s="454"/>
      <c r="O30" s="454"/>
      <c r="P30" s="454"/>
      <c r="Q30" s="454"/>
      <c r="R30" s="454"/>
      <c r="S30" s="454"/>
      <c r="T30" s="455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190174.15207493372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1752.9487519585884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1053.0573109296802</v>
      </c>
      <c r="I33" s="11">
        <f>IF(Landbrug!$E$47&gt;0,SUMIF(Landbrug!$B$32:$B$45,$B33,IF($I$31=År2,Landbrug!$D$32:$D$45,Landbrug!$E$32:$E$45)),'[1]Afgrødefordeling - jordtype'!$P4)*(1-Landbrug!$E$5)*Arealanvendelse!P$36</f>
        <v>177761.24151833868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1671.8875379951853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1004.3610190947816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29680.358994353821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273.58159712648495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164.34998494278247</v>
      </c>
      <c r="R33" s="11">
        <f>IF(Landbrug!$E$47&gt;0,SUMIF(Landbrug!$B$32:$B$45,$B33,IF($R$31=År2,Landbrug!$D$32:$D$45,Landbrug!$E$32:$E$45)),'[1]Afgrødefordeling - jordtype'!$P4)*(Landbrug!$E$5)*Arealanvendelse!P$36</f>
        <v>37706.930019041538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354.6428110898878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213.04627677768096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14634.530814874721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47.402536309570174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19.126993325199422</v>
      </c>
      <c r="I34" s="11">
        <f>IF(Landbrug!$E$47&gt;0,SUMIF(Landbrug!$B$32:$B$45,$B34,IF($I$31=År2,Landbrug!$D$32:$D$45,Landbrug!$E$32:$E$45)),'[1]Afgrødefordeling - jordtype'!$P5)*(1-Landbrug!$E$5)*Arealanvendelse!P$36</f>
        <v>13679.31623886233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45.21051150912762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18.242508084727771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2284.0019190844941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7.3980837014936114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2.9851376865918176</v>
      </c>
      <c r="R34" s="11">
        <f>IF(Landbrug!$E$47&gt;0,SUMIF(Landbrug!$B$32:$B$45,$B34,IF($R$31=År2,Landbrug!$D$32:$D$45,Landbrug!$E$32:$E$45)),'[1]Afgrødefordeling - jordtype'!$P5)*(Landbrug!$E$5)*Arealanvendelse!P$36</f>
        <v>2901.6731415768577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9.5901085019361609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3.8696229270634666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21415.704421878378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191.46624906280843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93.430886843548848</v>
      </c>
      <c r="I35" s="11">
        <f>IF(Landbrug!$E$47&gt;0,SUMIF(Landbrug!$B$32:$B$45,$B35,IF($I$31=År2,Landbrug!$D$32:$D$45,Landbrug!$E$32:$E$45)),'[1]Afgrødefordeling - jordtype'!$P6)*(1-Landbrug!$E$5)*Arealanvendelse!P$36</f>
        <v>20017.87395651362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182.61231847030859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89.110383405696865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3342.3353722006718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29.882015749686865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14.581699102750399</v>
      </c>
      <c r="R35" s="11">
        <f>IF(Landbrug!$E$47&gt;0,SUMIF(Landbrug!$B$32:$B$45,$B35,IF($R$31=År2,Landbrug!$D$32:$D$45,Landbrug!$E$32:$E$45)),'[1]Afgrødefordeling - jordtype'!$P6)*(Landbrug!$E$5)*Arealanvendelse!P$36</f>
        <v>4246.2156877453126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38.735946342186679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18.902202540602364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118583.25035158051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562.99099727781993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686.58489509283288</v>
      </c>
      <c r="I36" s="11">
        <f>IF(Landbrug!$E$47&gt;0,SUMIF(Landbrug!$B$32:$B$45,$B36,IF($I$31=År2,Landbrug!$D$32:$D$45,Landbrug!$E$32:$E$45)),'[1]Afgrødefordeling - jordtype'!$P7)*(1-Landbrug!$E$5)*Arealanvendelse!P$36</f>
        <v>110843.16967255903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536.95673150774724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654.83530456830886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18507.212482616615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87.865646973995027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107.15486802026872</v>
      </c>
      <c r="R36" s="11">
        <f>IF(Landbrug!$E$47&gt;0,SUMIF(Landbrug!$B$32:$B$45,$B36,IF($R$31=År2,Landbrug!$D$32:$D$45,Landbrug!$E$32:$E$45)),'[1]Afgrødefordeling - jordtype'!$P7)*(Landbrug!$E$5)*Arealanvendelse!P$36</f>
        <v>23512.187506300404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113.89991274406761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138.90445854479279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2459.5803417061084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10.662439786194978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3.2314797199590726</v>
      </c>
      <c r="I37" s="11">
        <f>IF(Landbrug!$E$47&gt;0,SUMIF(Landbrug!$B$32:$B$45,$B37,IF($I$31=År2,Landbrug!$D$32:$D$45,Landbrug!$E$32:$E$45)),'[1]Afgrødefordeling - jordtype'!$P8)*(1-Landbrug!$E$5)*Arealanvendelse!P$36</f>
        <v>2299.0403815945601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10.169378986833362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3.0820471317528724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383.86514003505738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1.6640801978454596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0.50433498519592468</v>
      </c>
      <c r="R37" s="11">
        <f>IF(Landbrug!$E$47&gt;0,SUMIF(Landbrug!$B$32:$B$45,$B37,IF($R$31=År2,Landbrug!$D$32:$D$45,Landbrug!$E$32:$E$45)),'[1]Afgrødefordeling - jordtype'!$P8)*(Landbrug!$E$5)*Arealanvendelse!P$36</f>
        <v>487.67523245945216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2.1571409972070765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0.65376757340212444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10345.22343108295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18.127123488677832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18.419048913328059</v>
      </c>
      <c r="I38" s="11">
        <f>IF(Landbrug!$E$47&gt;0,SUMIF(Landbrug!$B$32:$B$45,$B38,IF($I$31=År2,Landbrug!$D$32:$D$45,Landbrug!$E$32:$E$45)),'[1]Afgrødefordeling - jordtype'!$P9)*(1-Landbrug!$E$5)*Arealanvendelse!P$36</f>
        <v>9669.9774434609044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17.288875003652265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17.567300986700172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1614.5724430013856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2.8290886369612802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2.8746492523691192</v>
      </c>
      <c r="R38" s="11">
        <f>IF(Landbrug!$E$47&gt;0,SUMIF(Landbrug!$B$32:$B$45,$B38,IF($R$31=År2,Landbrug!$D$32:$D$45,Landbrug!$E$32:$E$45)),'[1]Afgrødefordeling - jordtype'!$P9)*(Landbrug!$E$5)*Arealanvendelse!P$36</f>
        <v>2051.2073364917069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3.6673371219868445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3.7263971789970061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15811.216143862219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50.643369270114505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21.211111456389141</v>
      </c>
      <c r="I39" s="11">
        <f>IF(Landbrug!$E$47&gt;0,SUMIF(Landbrug!$B$32:$B$45,$B39,IF($I$31=År2,Landbrug!$D$32:$D$45,Landbrug!$E$32:$E$45)),'[1]Afgrødefordeling - jordtype'!$P10)*(1-Landbrug!$E$5)*Arealanvendelse!P$36</f>
        <v>14779.197808860414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48.301479361669905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20.230250811006982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2467.64645019815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7.9038784410005301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3.3104046781647791</v>
      </c>
      <c r="R39" s="11">
        <f>IF(Landbrug!$E$47&gt;0,SUMIF(Landbrug!$B$32:$B$45,$B39,IF($R$31=År2,Landbrug!$D$32:$D$45,Landbrug!$E$32:$E$45)),'[1]Afgrødefordeling - jordtype'!$P10)*(Landbrug!$E$5)*Arealanvendelse!P$36</f>
        <v>3134.9813533946331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10.245768349445131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4.291265323546936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32012.416450807639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53.993646777040333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21.786516121482823</v>
      </c>
      <c r="I40" s="11">
        <f>IF(Landbrug!$E$47&gt;0,SUMIF(Landbrug!$B$32:$B$45,$B40,IF($I$31=År2,Landbrug!$D$32:$D$45,Landbrug!$E$32:$E$45)),'[1]Afgrødefordeling - jordtype'!$P11)*(1-Landbrug!$E$5)*Arealanvendelse!P$36</f>
        <v>29922.925014832817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51.496830741107829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20.77904716788824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4996.1574807618863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8.4267541212721913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3.4002077183817128</v>
      </c>
      <c r="R40" s="11">
        <f>IF(Landbrug!$E$47&gt;0,SUMIF(Landbrug!$B$32:$B$45,$B40,IF($R$31=År2,Landbrug!$D$32:$D$45,Landbrug!$E$32:$E$45)),'[1]Afgrødefordeling - jordtype'!$P11)*(Landbrug!$E$5)*Arealanvendelse!P$36</f>
        <v>6347.2871243584768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10.923570157204692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4.4076766719762936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959.15016801528964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11.647539532185737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7.9057923278821436</v>
      </c>
      <c r="I41" s="11">
        <f>IF(Landbrug!$E$47&gt;0,SUMIF(Landbrug!$B$32:$B$45,$B41,IF($I$31=År2,Landbrug!$D$32:$D$45,Landbrug!$E$32:$E$45)),'[1]Afgrødefordeling - jordtype'!$P12)*(1-Landbrug!$E$5)*Arealanvendelse!P$36</f>
        <v>896.54520768805401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11.108924987344778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7.5402065554945299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149.69395685787757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1.8178240888382367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1.2338519818081959</v>
      </c>
      <c r="R41" s="11">
        <f>IF(Landbrug!$E$47&gt;0,SUMIF(Landbrug!$B$32:$B$45,$B41,IF($R$31=År2,Landbrug!$D$32:$D$45,Landbrug!$E$32:$E$45)),'[1]Afgrødefordeling - jordtype'!$P12)*(Landbrug!$E$5)*Arealanvendelse!P$36</f>
        <v>190.17625617625387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2.3564386336791951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1.5994377541958094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8489.1765698018808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83.169081452753318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56.451191622853806</v>
      </c>
      <c r="I42" s="11">
        <f>IF(Landbrug!$E$47&gt;0,SUMIF(Landbrug!$B$32:$B$45,$B42,IF($I$31=År2,Landbrug!$D$32:$D$45,Landbrug!$E$32:$E$45)),'[1]Afgrødefordeling - jordtype'!$P13)*(1-Landbrug!$E$5)*Arealanvendelse!P$36</f>
        <v>7935.0771387784034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79.323112368232927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53.840731894629357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1324.9003895066519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12.9801456602563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8.8103015827575319</v>
      </c>
      <c r="R42" s="11">
        <f>IF(Landbrug!$E$47&gt;0,SUMIF(Landbrug!$B$32:$B$45,$B42,IF($R$31=År2,Landbrug!$D$32:$D$45,Landbrug!$E$32:$E$45)),'[1]Afgrødefordeling - jordtype'!$P13)*(Landbrug!$E$5)*Arealanvendelse!P$36</f>
        <v>1683.1981809529948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16.826114744776682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11.420761310981984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19084.489401980361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603.80358732362868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528.28027242495364</v>
      </c>
      <c r="I43" s="11">
        <f>IF(Landbrug!$E$47&gt;0,SUMIF(Landbrug!$B$32:$B$45,$B43,IF($I$31=År2,Landbrug!$D$32:$D$45,Landbrug!$E$32:$E$45)),'[1]Afgrødefordeling - jordtype'!$P14)*(1-Landbrug!$E$5)*Arealanvendelse!P$36</f>
        <v>17838.820327711393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575.88203415259386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503.85112687929109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2978.5041263206344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94.235241952242646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82.448366216611277</v>
      </c>
      <c r="R43" s="11">
        <f>IF(Landbrug!$E$47&gt;0,SUMIF(Landbrug!$B$32:$B$45,$B43,IF($R$31=År2,Landbrug!$D$32:$D$45,Landbrug!$E$32:$E$45)),'[1]Afgrødefordeling - jordtype'!$P14)*(Landbrug!$E$5)*Arealanvendelse!P$36</f>
        <v>3783.9921907266594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122.15679512327748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106.87751176227387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3584.3960536589798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18.25162816502359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12.388331588802384</v>
      </c>
      <c r="I44" s="11">
        <f>IF(Landbrug!$E$47&gt;0,SUMIF(Landbrug!$B$32:$B$45,$B44,IF($I$31=År2,Landbrug!$D$32:$D$45,Landbrug!$E$32:$E$45)),'[1]Afgrødefordeling - jordtype'!$P15)*(1-Landbrug!$E$5)*Arealanvendelse!P$36</f>
        <v>3350.4379309170949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17.407622238317295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11.815460763886664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559.41441299880034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2.8485200026337401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1.9334390340905452</v>
      </c>
      <c r="R44" s="11">
        <f>IF(Landbrug!$E$47&gt;0,SUMIF(Landbrug!$B$32:$B$45,$B44,IF($R$31=År2,Landbrug!$D$32:$D$45,Landbrug!$E$32:$E$45)),'[1]Afgrødefordeling - jordtype'!$P15)*(Landbrug!$E$5)*Arealanvendelse!P$36</f>
        <v>710.69895504302008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3.6925259293400323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2.5063098590062625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1378.3575978842866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38.736771764982237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37.789605201644072</v>
      </c>
      <c r="I45" s="11">
        <f>IF(Landbrug!$E$47&gt;0,SUMIF(Landbrug!$B$32:$B$45,$B45,IF($I$31=År2,Landbrug!$D$32:$D$45,Landbrug!$E$32:$E$45)),'[1]Afgrødefordeling - jordtype'!$P16)*(1-Landbrug!$E$5)*Arealanvendelse!P$36</f>
        <v>1288.3904315219554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36.945475960821213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36.042109007348387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215.11939388945515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6.0456233390434706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5.8977996557479182</v>
      </c>
      <c r="R45" s="11">
        <f>IF(Landbrug!$E$47&gt;0,SUMIF(Landbrug!$B$32:$B$45,$B45,IF($R$31=År2,Landbrug!$D$32:$D$45,Landbrug!$E$32:$E$45)),'[1]Afgrødefordeling - jordtype'!$P16)*(Landbrug!$E$5)*Arealanvendelse!P$36</f>
        <v>273.29494001980873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7.8369191432044989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7.6452958500435964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33436.147663246578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4383.0738282155862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3393.0422285443651</v>
      </c>
      <c r="I46" s="11">
        <f>IF(Landbrug!$E$47&gt;0,SUMIF(Landbrug!$B$32:$B$45,$B46,IF($I$31=År2,Landbrug!$D$32:$D$45,Landbrug!$E$32:$E$45)),'[1]Afgrødefordeling - jordtype'!$P17)*(1-Landbrug!$E$5)*Arealanvendelse!P$36</f>
        <v>31253.727466954875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4180.3883332692003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3236.1385416752614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5218.3583058246104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684.06354544405099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529.54994318322474</v>
      </c>
      <c r="R46" s="11">
        <f>IF(Landbrug!$E$47&gt;0,SUMIF(Landbrug!$B$32:$B$45,$B46,IF($R$31=År2,Landbrug!$D$32:$D$45,Landbrug!$E$32:$E$45)),'[1]Afgrødefordeling - jordtype'!$P17)*(Landbrug!$E$5)*Arealanvendelse!P$36</f>
        <v>6629.5785535964887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886.74904039043645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686.45363005232821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472367.79148531368</v>
      </c>
      <c r="G47" s="38">
        <f t="shared" si="3"/>
        <v>7826.9175503849747</v>
      </c>
      <c r="H47" s="38">
        <f t="shared" si="3"/>
        <v>5952.705664112922</v>
      </c>
      <c r="I47" s="38">
        <f t="shared" si="3"/>
        <v>441535.74053859408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73722.140867650116</v>
      </c>
      <c r="P47" s="38">
        <f t="shared" si="3"/>
        <v>1221.5420454358054</v>
      </c>
      <c r="Q47" s="38">
        <f t="shared" si="3"/>
        <v>929.03498804074502</v>
      </c>
      <c r="R47" s="38">
        <f t="shared" si="3"/>
        <v>93659.096477883591</v>
      </c>
      <c r="S47" s="38">
        <f t="shared" si="3"/>
        <v>1583.4804292686363</v>
      </c>
      <c r="T47" s="39">
        <f t="shared" si="3"/>
        <v>1204.3046141268917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0" t="s">
        <v>7</v>
      </c>
      <c r="D49" s="451"/>
      <c r="E49" s="452"/>
      <c r="F49" s="456" t="s">
        <v>8</v>
      </c>
      <c r="G49" s="451"/>
      <c r="H49" s="4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238</v>
      </c>
      <c r="AG4" s="168" t="s">
        <v>231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25">
      <c r="A5" s="78" t="s">
        <v>109</v>
      </c>
      <c r="B5" s="237"/>
      <c r="C5" s="237"/>
      <c r="D5" s="237">
        <v>1462906</v>
      </c>
      <c r="E5" s="237">
        <v>3223493.7051022411</v>
      </c>
      <c r="F5" s="237"/>
      <c r="G5" s="237">
        <v>17676.221889995504</v>
      </c>
      <c r="H5" s="237"/>
      <c r="I5" s="237"/>
      <c r="J5" s="237">
        <v>428226</v>
      </c>
      <c r="K5" s="237">
        <v>257031.00000000003</v>
      </c>
      <c r="L5" s="237"/>
      <c r="M5" s="237">
        <v>227802.00000000003</v>
      </c>
      <c r="N5" s="237">
        <v>234</v>
      </c>
      <c r="O5" s="237"/>
      <c r="P5" s="237">
        <v>2444654</v>
      </c>
      <c r="Q5" s="237"/>
      <c r="R5" s="237">
        <v>11357.999999999998</v>
      </c>
      <c r="S5" s="237">
        <v>24187240.797831371</v>
      </c>
      <c r="T5" s="237"/>
      <c r="U5" s="237">
        <v>990078</v>
      </c>
      <c r="V5" s="237"/>
      <c r="W5" s="237"/>
      <c r="X5" s="237"/>
      <c r="Y5" s="237">
        <v>85935.000000000015</v>
      </c>
      <c r="Z5" s="237"/>
      <c r="AA5" s="237">
        <v>8315241.6371112876</v>
      </c>
      <c r="AB5" s="237">
        <v>27238357.333994672</v>
      </c>
      <c r="AC5" s="237"/>
      <c r="AD5" s="237"/>
      <c r="AE5" s="237"/>
      <c r="AF5" s="237"/>
      <c r="AG5" s="237"/>
      <c r="AH5" s="237"/>
      <c r="AI5" s="237"/>
      <c r="AJ5" s="237"/>
      <c r="AK5" s="237">
        <v>68890233.695929572</v>
      </c>
    </row>
    <row r="6" spans="1:37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25">
      <c r="A7" s="79">
        <v>2030</v>
      </c>
      <c r="B7" s="237"/>
      <c r="C7" s="237"/>
      <c r="D7" s="237">
        <v>363995</v>
      </c>
      <c r="E7" s="237">
        <v>1204392.371220411</v>
      </c>
      <c r="F7" s="237"/>
      <c r="G7" s="237">
        <v>6510.908203702802</v>
      </c>
      <c r="H7" s="237"/>
      <c r="I7" s="237"/>
      <c r="J7" s="237">
        <v>142742</v>
      </c>
      <c r="K7" s="237">
        <v>85677</v>
      </c>
      <c r="L7" s="237"/>
      <c r="M7" s="237">
        <v>75934.000000000015</v>
      </c>
      <c r="N7" s="237">
        <v>78</v>
      </c>
      <c r="O7" s="237"/>
      <c r="P7" s="237">
        <v>725968.00000000012</v>
      </c>
      <c r="Q7" s="237"/>
      <c r="R7" s="237">
        <v>3785.9999999999991</v>
      </c>
      <c r="S7" s="237">
        <v>10012525.836481437</v>
      </c>
      <c r="T7" s="237"/>
      <c r="U7" s="237">
        <v>330026</v>
      </c>
      <c r="V7" s="237"/>
      <c r="W7" s="237"/>
      <c r="X7" s="237"/>
      <c r="Y7" s="237">
        <v>28645.000000000004</v>
      </c>
      <c r="Z7" s="237"/>
      <c r="AA7" s="237">
        <v>2765437.867297628</v>
      </c>
      <c r="AB7" s="237">
        <v>12426575.77002522</v>
      </c>
      <c r="AC7" s="237"/>
      <c r="AD7" s="237"/>
      <c r="AE7" s="237"/>
      <c r="AF7" s="237"/>
      <c r="AG7" s="237"/>
      <c r="AH7" s="237"/>
      <c r="AI7" s="237"/>
      <c r="AJ7" s="237"/>
      <c r="AK7" s="237">
        <v>28172293.7532284</v>
      </c>
    </row>
    <row r="8" spans="1:37" x14ac:dyDescent="0.25">
      <c r="A8" s="79">
        <v>2050</v>
      </c>
      <c r="B8" s="237"/>
      <c r="C8" s="237"/>
      <c r="D8" s="237">
        <v>369777</v>
      </c>
      <c r="E8" s="237">
        <v>1262014.3338818299</v>
      </c>
      <c r="F8" s="237"/>
      <c r="G8" s="237">
        <v>6723.8136862927022</v>
      </c>
      <c r="H8" s="237"/>
      <c r="I8" s="237"/>
      <c r="J8" s="237">
        <v>142742</v>
      </c>
      <c r="K8" s="237">
        <v>85677.000000000029</v>
      </c>
      <c r="L8" s="237"/>
      <c r="M8" s="237">
        <v>75934.000000000029</v>
      </c>
      <c r="N8" s="237">
        <v>78</v>
      </c>
      <c r="O8" s="237"/>
      <c r="P8" s="237">
        <v>723032.00000000012</v>
      </c>
      <c r="Q8" s="237"/>
      <c r="R8" s="237">
        <v>3786</v>
      </c>
      <c r="S8" s="237">
        <v>9821205.2946832664</v>
      </c>
      <c r="T8" s="237"/>
      <c r="U8" s="237">
        <v>330025.99999999994</v>
      </c>
      <c r="V8" s="237"/>
      <c r="W8" s="237"/>
      <c r="X8" s="237"/>
      <c r="Y8" s="237">
        <v>28645.000000000004</v>
      </c>
      <c r="Z8" s="237"/>
      <c r="AA8" s="237">
        <v>2880969.7698136596</v>
      </c>
      <c r="AB8" s="237">
        <v>11896912.23063612</v>
      </c>
      <c r="AC8" s="237"/>
      <c r="AD8" s="237"/>
      <c r="AE8" s="237"/>
      <c r="AF8" s="237"/>
      <c r="AG8" s="237"/>
      <c r="AH8" s="237"/>
      <c r="AI8" s="237"/>
      <c r="AJ8" s="237"/>
      <c r="AK8" s="237">
        <v>27627522.442701168</v>
      </c>
    </row>
    <row r="9" spans="1:37" x14ac:dyDescent="0.25">
      <c r="A9" s="78" t="s">
        <v>112</v>
      </c>
      <c r="B9" s="237"/>
      <c r="C9" s="237">
        <v>188279.23979522343</v>
      </c>
      <c r="D9" s="237"/>
      <c r="E9" s="237"/>
      <c r="F9" s="237"/>
      <c r="G9" s="237"/>
      <c r="H9" s="237"/>
      <c r="I9" s="237"/>
      <c r="J9" s="237"/>
      <c r="K9" s="237">
        <v>35723370.761702038</v>
      </c>
      <c r="L9" s="237"/>
      <c r="M9" s="237">
        <v>2256735.8881010804</v>
      </c>
      <c r="N9" s="237"/>
      <c r="O9" s="237">
        <v>14094793.090225756</v>
      </c>
      <c r="P9" s="237"/>
      <c r="Q9" s="237">
        <v>0</v>
      </c>
      <c r="R9" s="237">
        <v>16873130.135453977</v>
      </c>
      <c r="S9" s="237"/>
      <c r="T9" s="237">
        <v>4424562.1351877507</v>
      </c>
      <c r="U9" s="237">
        <v>16513658.323706053</v>
      </c>
      <c r="V9" s="237"/>
      <c r="W9" s="237"/>
      <c r="X9" s="237"/>
      <c r="Y9" s="237">
        <v>4163536.9465407887</v>
      </c>
      <c r="Z9" s="237">
        <v>115059.53543041431</v>
      </c>
      <c r="AA9" s="237"/>
      <c r="AB9" s="237"/>
      <c r="AC9" s="237"/>
      <c r="AD9" s="237"/>
      <c r="AE9" s="237"/>
      <c r="AF9" s="237">
        <v>624982.47654247773</v>
      </c>
      <c r="AG9" s="237"/>
      <c r="AH9" s="237"/>
      <c r="AI9" s="237"/>
      <c r="AJ9" s="237"/>
      <c r="AK9" s="237">
        <v>94978108.532685548</v>
      </c>
    </row>
    <row r="10" spans="1:37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25">
      <c r="A11" s="79">
        <v>2030</v>
      </c>
      <c r="B11" s="237"/>
      <c r="C11" s="237">
        <v>57932.073783145664</v>
      </c>
      <c r="D11" s="237"/>
      <c r="E11" s="237"/>
      <c r="F11" s="237"/>
      <c r="G11" s="237"/>
      <c r="H11" s="237"/>
      <c r="I11" s="237"/>
      <c r="J11" s="237"/>
      <c r="K11" s="237">
        <v>10991806.388216011</v>
      </c>
      <c r="L11" s="237"/>
      <c r="M11" s="237">
        <v>694380.27326187096</v>
      </c>
      <c r="N11" s="237"/>
      <c r="O11" s="237">
        <v>4336859.4123771554</v>
      </c>
      <c r="P11" s="237"/>
      <c r="Q11" s="237">
        <v>0</v>
      </c>
      <c r="R11" s="237">
        <v>5136146.6628764244</v>
      </c>
      <c r="S11" s="237"/>
      <c r="T11" s="237">
        <v>1361403.7339039231</v>
      </c>
      <c r="U11" s="237">
        <v>5081125.638063401</v>
      </c>
      <c r="V11" s="237"/>
      <c r="W11" s="237"/>
      <c r="X11" s="237"/>
      <c r="Y11" s="237">
        <v>1609561.7260275665</v>
      </c>
      <c r="Z11" s="237">
        <v>35402.933978589019</v>
      </c>
      <c r="AA11" s="237"/>
      <c r="AB11" s="237"/>
      <c r="AC11" s="237"/>
      <c r="AD11" s="237"/>
      <c r="AE11" s="237"/>
      <c r="AF11" s="237">
        <v>192302.30047460849</v>
      </c>
      <c r="AG11" s="237"/>
      <c r="AH11" s="237"/>
      <c r="AI11" s="237"/>
      <c r="AJ11" s="237"/>
      <c r="AK11" s="237">
        <v>29496921.142962694</v>
      </c>
    </row>
    <row r="12" spans="1:37" x14ac:dyDescent="0.25">
      <c r="A12" s="79">
        <v>2050</v>
      </c>
      <c r="B12" s="237"/>
      <c r="C12" s="237">
        <v>57932.073783145672</v>
      </c>
      <c r="D12" s="237"/>
      <c r="E12" s="237"/>
      <c r="F12" s="237"/>
      <c r="G12" s="237"/>
      <c r="H12" s="237"/>
      <c r="I12" s="237"/>
      <c r="J12" s="237"/>
      <c r="K12" s="237">
        <v>10991806.388216011</v>
      </c>
      <c r="L12" s="237"/>
      <c r="M12" s="237">
        <v>694380.27326187096</v>
      </c>
      <c r="N12" s="237"/>
      <c r="O12" s="237">
        <v>4336859.4123771554</v>
      </c>
      <c r="P12" s="237"/>
      <c r="Q12" s="237">
        <v>0</v>
      </c>
      <c r="R12" s="237">
        <v>5136146.6628764244</v>
      </c>
      <c r="S12" s="237"/>
      <c r="T12" s="237">
        <v>1361403.7339039231</v>
      </c>
      <c r="U12" s="237">
        <v>5081125.638063401</v>
      </c>
      <c r="V12" s="237"/>
      <c r="W12" s="237"/>
      <c r="X12" s="237"/>
      <c r="Y12" s="237">
        <v>1609561.7260275665</v>
      </c>
      <c r="Z12" s="237">
        <v>35402.933978589019</v>
      </c>
      <c r="AA12" s="237"/>
      <c r="AB12" s="237"/>
      <c r="AC12" s="237"/>
      <c r="AD12" s="237"/>
      <c r="AE12" s="237"/>
      <c r="AF12" s="237">
        <v>192302.30047460849</v>
      </c>
      <c r="AG12" s="237"/>
      <c r="AH12" s="237"/>
      <c r="AI12" s="237"/>
      <c r="AJ12" s="237"/>
      <c r="AK12" s="237">
        <v>29496921.142962694</v>
      </c>
    </row>
    <row r="13" spans="1:37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6504015.4400808569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604877.62481286074</v>
      </c>
      <c r="AE17" s="237">
        <v>8774736.4880378172</v>
      </c>
      <c r="AF17" s="237"/>
      <c r="AG17" s="237">
        <v>421859.63376903627</v>
      </c>
      <c r="AH17" s="237"/>
      <c r="AI17" s="237"/>
      <c r="AJ17" s="237"/>
      <c r="AK17" s="237">
        <v>19253682.186700571</v>
      </c>
    </row>
    <row r="18" spans="1:37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>
        <v>112887.06079513082</v>
      </c>
      <c r="AH18" s="237"/>
      <c r="AI18" s="237"/>
      <c r="AJ18" s="237"/>
      <c r="AK18" s="237">
        <v>6209404.1530503789</v>
      </c>
    </row>
    <row r="19" spans="1:37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2420027.9136025696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196559.60980685451</v>
      </c>
      <c r="AE19" s="237">
        <v>2863529.5604047892</v>
      </c>
      <c r="AF19" s="237"/>
      <c r="AG19" s="237">
        <v>154246.84100889968</v>
      </c>
      <c r="AH19" s="237"/>
      <c r="AI19" s="237"/>
      <c r="AJ19" s="237"/>
      <c r="AK19" s="237">
        <v>6617094.9248231128</v>
      </c>
    </row>
    <row r="20" spans="1:37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2190222.3139427258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198535.62761100623</v>
      </c>
      <c r="AE20" s="237">
        <v>2900968.4353083428</v>
      </c>
      <c r="AF20" s="237"/>
      <c r="AG20" s="237">
        <v>154725.73196500578</v>
      </c>
      <c r="AH20" s="237"/>
      <c r="AI20" s="237"/>
      <c r="AJ20" s="237"/>
      <c r="AK20" s="237">
        <v>6427183.1088270806</v>
      </c>
    </row>
    <row r="21" spans="1:37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104203.4407339669</v>
      </c>
      <c r="AH21" s="237"/>
      <c r="AI21" s="237"/>
      <c r="AJ21" s="237">
        <v>2517529.7800321821</v>
      </c>
      <c r="AK21" s="237">
        <v>2621733.2207661495</v>
      </c>
    </row>
    <row r="22" spans="1:37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104203.4407339669</v>
      </c>
      <c r="AH22" s="237"/>
      <c r="AI22" s="237"/>
      <c r="AJ22" s="237">
        <v>827693.20492220437</v>
      </c>
      <c r="AK22" s="237">
        <v>931896.64565617125</v>
      </c>
    </row>
    <row r="23" spans="1:37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792502.62774827308</v>
      </c>
      <c r="AK23" s="237">
        <v>792502.62774827308</v>
      </c>
    </row>
    <row r="24" spans="1:37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897333.94736170489</v>
      </c>
      <c r="AK24" s="237">
        <v>897333.94736170489</v>
      </c>
    </row>
    <row r="25" spans="1:37" x14ac:dyDescent="0.25">
      <c r="A25" s="78" t="s">
        <v>114</v>
      </c>
      <c r="B25" s="237"/>
      <c r="C25" s="237"/>
      <c r="D25" s="237"/>
      <c r="E25" s="237">
        <v>1757476.1026458484</v>
      </c>
      <c r="F25" s="237"/>
      <c r="G25" s="237">
        <v>5912.0246544439442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11900238.236796077</v>
      </c>
      <c r="T25" s="237"/>
      <c r="U25" s="237"/>
      <c r="V25" s="237"/>
      <c r="W25" s="237"/>
      <c r="X25" s="237"/>
      <c r="Y25" s="237"/>
      <c r="Z25" s="237"/>
      <c r="AA25" s="237"/>
      <c r="AB25" s="237">
        <v>17444740.444517922</v>
      </c>
      <c r="AC25" s="237"/>
      <c r="AD25" s="237"/>
      <c r="AE25" s="237"/>
      <c r="AF25" s="237"/>
      <c r="AG25" s="237"/>
      <c r="AH25" s="237">
        <v>54285664.77337721</v>
      </c>
      <c r="AI25" s="237">
        <v>3055664.844672014</v>
      </c>
      <c r="AJ25" s="237"/>
      <c r="AK25" s="237">
        <v>88449696.426663518</v>
      </c>
    </row>
    <row r="26" spans="1:37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944815.08868008247</v>
      </c>
      <c r="AJ26" s="237"/>
      <c r="AK26" s="237">
        <v>35015134.317045711</v>
      </c>
    </row>
    <row r="27" spans="1:37" x14ac:dyDescent="0.25">
      <c r="A27" s="79">
        <v>2030</v>
      </c>
      <c r="B27" s="237"/>
      <c r="C27" s="237"/>
      <c r="D27" s="237"/>
      <c r="E27" s="237">
        <v>455948.54053344129</v>
      </c>
      <c r="F27" s="237"/>
      <c r="G27" s="237">
        <v>723.43424485586661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1112502.8707201593</v>
      </c>
      <c r="T27" s="237"/>
      <c r="U27" s="237"/>
      <c r="V27" s="237"/>
      <c r="W27" s="237"/>
      <c r="X27" s="237"/>
      <c r="Y27" s="237"/>
      <c r="Z27" s="237"/>
      <c r="AA27" s="237"/>
      <c r="AB27" s="237">
        <v>1380730.6411139129</v>
      </c>
      <c r="AC27" s="237"/>
      <c r="AD27" s="237"/>
      <c r="AE27" s="237"/>
      <c r="AF27" s="237"/>
      <c r="AG27" s="237"/>
      <c r="AH27" s="237">
        <v>23057912.630213477</v>
      </c>
      <c r="AI27" s="237">
        <v>1106852.5688040371</v>
      </c>
      <c r="AJ27" s="237"/>
      <c r="AK27" s="237">
        <v>27114670.685629882</v>
      </c>
    </row>
    <row r="28" spans="1:37" x14ac:dyDescent="0.25">
      <c r="A28" s="79">
        <v>2050</v>
      </c>
      <c r="B28" s="237"/>
      <c r="C28" s="237"/>
      <c r="D28" s="237"/>
      <c r="E28" s="237">
        <v>477762.56925526413</v>
      </c>
      <c r="F28" s="237"/>
      <c r="G28" s="237">
        <v>747.09040958807782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1091245.0327425848</v>
      </c>
      <c r="T28" s="237"/>
      <c r="U28" s="237"/>
      <c r="V28" s="237"/>
      <c r="W28" s="237"/>
      <c r="X28" s="237"/>
      <c r="Y28" s="237"/>
      <c r="Z28" s="237"/>
      <c r="AA28" s="237"/>
      <c r="AB28" s="237">
        <v>1321879.1367373462</v>
      </c>
      <c r="AC28" s="237"/>
      <c r="AD28" s="237"/>
      <c r="AE28" s="237"/>
      <c r="AF28" s="237"/>
      <c r="AG28" s="237"/>
      <c r="AH28" s="237">
        <v>22424260.40765525</v>
      </c>
      <c r="AI28" s="237">
        <v>1003997.1871878947</v>
      </c>
      <c r="AJ28" s="237"/>
      <c r="AK28" s="237">
        <v>26319891.423987929</v>
      </c>
    </row>
    <row r="29" spans="1:37" x14ac:dyDescent="0.25">
      <c r="A29" s="78" t="s">
        <v>237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1643947.1078218848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1643947.1078218848</v>
      </c>
    </row>
    <row r="30" spans="1:37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678407.81727843033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678407.81727843033</v>
      </c>
    </row>
    <row r="31" spans="1:37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482021.37815281149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482021.37815281149</v>
      </c>
    </row>
    <row r="32" spans="1:37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483517.91239064303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483517.91239064303</v>
      </c>
    </row>
    <row r="33" spans="1:37" x14ac:dyDescent="0.25">
      <c r="A33" s="78" t="s">
        <v>61</v>
      </c>
      <c r="B33" s="237">
        <v>182574.19618217932</v>
      </c>
      <c r="C33" s="237">
        <v>188279.23979522343</v>
      </c>
      <c r="D33" s="237">
        <v>1462906</v>
      </c>
      <c r="E33" s="237">
        <v>4980969.8077480895</v>
      </c>
      <c r="F33" s="237">
        <v>281468.55244752642</v>
      </c>
      <c r="G33" s="237">
        <v>23588.246544439447</v>
      </c>
      <c r="H33" s="237">
        <v>197788.71253069426</v>
      </c>
      <c r="I33" s="237">
        <v>1445379.0531089196</v>
      </c>
      <c r="J33" s="237">
        <v>428226</v>
      </c>
      <c r="K33" s="237">
        <v>35980401.761702038</v>
      </c>
      <c r="L33" s="237">
        <v>1513844.376677237</v>
      </c>
      <c r="M33" s="237">
        <v>8988553.3281819373</v>
      </c>
      <c r="N33" s="237">
        <v>2948427</v>
      </c>
      <c r="O33" s="237">
        <v>14094793.090225756</v>
      </c>
      <c r="P33" s="237">
        <v>2444654</v>
      </c>
      <c r="Q33" s="237">
        <v>692260.49385742994</v>
      </c>
      <c r="R33" s="237">
        <v>18542870.417442106</v>
      </c>
      <c r="S33" s="237">
        <v>36087479.034627445</v>
      </c>
      <c r="T33" s="237">
        <v>4424562.1351877507</v>
      </c>
      <c r="U33" s="237">
        <v>17503736.323706053</v>
      </c>
      <c r="V33" s="237">
        <v>2647325.8446415998</v>
      </c>
      <c r="W33" s="237">
        <v>336392.95646566537</v>
      </c>
      <c r="X33" s="237">
        <v>1643947.1078218848</v>
      </c>
      <c r="Y33" s="237">
        <v>4249471.9465407887</v>
      </c>
      <c r="Z33" s="237">
        <v>115059.53543041431</v>
      </c>
      <c r="AA33" s="237">
        <v>8315241.6371112876</v>
      </c>
      <c r="AB33" s="237">
        <v>44683097.778512597</v>
      </c>
      <c r="AC33" s="237">
        <v>682979.63888483576</v>
      </c>
      <c r="AD33" s="237">
        <v>604877.62481286074</v>
      </c>
      <c r="AE33" s="237">
        <v>8774736.4880378172</v>
      </c>
      <c r="AF33" s="237">
        <v>624982.47654247773</v>
      </c>
      <c r="AG33" s="237">
        <v>526063.07450300315</v>
      </c>
      <c r="AH33" s="237">
        <v>54285664.77337721</v>
      </c>
      <c r="AI33" s="237">
        <v>3055664.844672014</v>
      </c>
      <c r="AJ33" s="237">
        <v>2517529.7800321821</v>
      </c>
      <c r="AK33" s="237">
        <v>285475797.2773515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281</v>
      </c>
      <c r="B2" s="78">
        <v>1</v>
      </c>
    </row>
    <row r="4" spans="1:10" x14ac:dyDescent="0.25">
      <c r="A4" s="77" t="s">
        <v>308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14</v>
      </c>
      <c r="G5" s="168" t="s">
        <v>158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220017.54042545299</v>
      </c>
      <c r="D7" s="76">
        <v>74189.67769150075</v>
      </c>
      <c r="E7" s="76">
        <v>1106852.5688040371</v>
      </c>
      <c r="F7" s="76">
        <v>21032.815128937291</v>
      </c>
      <c r="G7" s="76">
        <v>142742</v>
      </c>
      <c r="H7" s="76">
        <v>439387.69075181423</v>
      </c>
      <c r="I7" s="76">
        <v>4336859.4123771554</v>
      </c>
      <c r="J7" s="76">
        <v>6341081.7334361542</v>
      </c>
    </row>
    <row r="8" spans="1:10" x14ac:dyDescent="0.25">
      <c r="A8" s="78">
        <v>2050</v>
      </c>
      <c r="B8" s="76">
        <v>0.18489040050189942</v>
      </c>
      <c r="C8" s="76">
        <v>242545.76887958913</v>
      </c>
      <c r="D8" s="76">
        <v>73602.891942499205</v>
      </c>
      <c r="E8" s="76">
        <v>1003997.1871878947</v>
      </c>
      <c r="F8" s="76">
        <v>28706.337967901869</v>
      </c>
      <c r="G8" s="76">
        <v>142742</v>
      </c>
      <c r="H8" s="76">
        <v>459741.59060662938</v>
      </c>
      <c r="I8" s="76">
        <v>4336859.4123771554</v>
      </c>
      <c r="J8" s="76">
        <v>6288195.3738520704</v>
      </c>
    </row>
    <row r="9" spans="1:10" x14ac:dyDescent="0.25">
      <c r="A9" s="78" t="s">
        <v>61</v>
      </c>
      <c r="B9" s="76">
        <v>370459.88762915425</v>
      </c>
      <c r="C9" s="76">
        <v>666212.93031054817</v>
      </c>
      <c r="D9" s="76">
        <v>430124.59997510223</v>
      </c>
      <c r="E9" s="76">
        <v>3055664.8446720145</v>
      </c>
      <c r="F9" s="76">
        <v>49739.15309683916</v>
      </c>
      <c r="G9" s="76">
        <v>428226</v>
      </c>
      <c r="H9" s="76">
        <v>1319759.2711998716</v>
      </c>
      <c r="I9" s="76">
        <v>14094793.090225754</v>
      </c>
      <c r="J9" s="76">
        <v>20414979.777109288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10" width="9.85546875" style="168" bestFit="1" customWidth="1"/>
    <col min="11" max="11" width="13.85546875" style="168" bestFit="1" customWidth="1"/>
    <col min="12" max="12" width="9.85546875" style="168" bestFit="1" customWidth="1"/>
    <col min="13" max="13" width="16" style="168" bestFit="1" customWidth="1"/>
    <col min="14" max="14" width="10" style="168" bestFit="1" customWidth="1"/>
    <col min="15" max="15" width="8.7109375" style="168" bestFit="1" customWidth="1"/>
    <col min="16" max="17" width="11" style="168" bestFit="1" customWidth="1"/>
    <col min="18" max="18" width="21" style="168" bestFit="1" customWidth="1"/>
    <col min="19" max="19" width="20.7109375" style="168" bestFit="1" customWidth="1"/>
    <col min="20" max="20" width="9.85546875" style="168" bestFit="1" customWidth="1"/>
    <col min="21" max="21" width="8.28515625" style="168" bestFit="1" customWidth="1"/>
    <col min="22" max="22" width="16" style="168" bestFit="1" customWidth="1"/>
    <col min="23" max="24" width="9.85546875" style="168" bestFit="1" customWidth="1"/>
    <col min="25" max="25" width="9.28515625" style="168" bestFit="1" customWidth="1"/>
    <col min="26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12</v>
      </c>
      <c r="J5" s="168" t="s">
        <v>48</v>
      </c>
      <c r="K5" s="168" t="s">
        <v>108</v>
      </c>
      <c r="L5" s="168" t="s">
        <v>53</v>
      </c>
      <c r="M5" s="168" t="s">
        <v>116</v>
      </c>
      <c r="N5" s="168" t="s">
        <v>106</v>
      </c>
      <c r="O5" s="168" t="s">
        <v>14</v>
      </c>
      <c r="P5" s="168" t="s">
        <v>117</v>
      </c>
      <c r="Q5" s="168" t="s">
        <v>52</v>
      </c>
      <c r="R5" s="168" t="s">
        <v>121</v>
      </c>
      <c r="S5" s="168" t="s">
        <v>107</v>
      </c>
      <c r="T5" s="168" t="s">
        <v>13</v>
      </c>
      <c r="U5" s="168" t="s">
        <v>99</v>
      </c>
      <c r="V5" s="168" t="s">
        <v>140</v>
      </c>
      <c r="W5" s="168" t="s">
        <v>56</v>
      </c>
      <c r="X5" s="168" t="s">
        <v>55</v>
      </c>
      <c r="Y5" s="168" t="s">
        <v>238</v>
      </c>
      <c r="Z5" s="168" t="s">
        <v>61</v>
      </c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>
        <v>911574.64248506655</v>
      </c>
      <c r="X6" s="98">
        <v>2005102.1714007764</v>
      </c>
      <c r="Y6" s="98">
        <v>98826.033045954537</v>
      </c>
      <c r="Z6" s="98">
        <v>34625194.021511331</v>
      </c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124599.21875499978</v>
      </c>
      <c r="C7" s="98">
        <v>232958.9113036553</v>
      </c>
      <c r="D7" s="98">
        <v>2840877.0171293938</v>
      </c>
      <c r="E7" s="98">
        <v>748443.83068696968</v>
      </c>
      <c r="F7" s="98">
        <v>91643.463111055491</v>
      </c>
      <c r="G7" s="98">
        <v>1462811.7838699373</v>
      </c>
      <c r="H7" s="98">
        <v>25246455.421058252</v>
      </c>
      <c r="I7" s="98">
        <v>2063763.1734135598</v>
      </c>
      <c r="J7" s="98">
        <v>1297758.6982125081</v>
      </c>
      <c r="K7" s="98">
        <v>27559.785504281797</v>
      </c>
      <c r="L7" s="98">
        <v>2222801.0578479809</v>
      </c>
      <c r="M7" s="98">
        <v>1798536.4273682984</v>
      </c>
      <c r="N7" s="98">
        <v>279460.19505556813</v>
      </c>
      <c r="O7" s="98"/>
      <c r="P7" s="98">
        <v>4173274.1072842204</v>
      </c>
      <c r="Q7" s="98">
        <v>4793694.4895566516</v>
      </c>
      <c r="R7" s="98">
        <v>170927.12035893119</v>
      </c>
      <c r="S7" s="98">
        <v>82984.069195880496</v>
      </c>
      <c r="T7" s="98">
        <v>1034744.5263498498</v>
      </c>
      <c r="U7" s="98">
        <v>120600</v>
      </c>
      <c r="V7" s="98">
        <v>4526444.2578007793</v>
      </c>
      <c r="W7" s="98">
        <v>925011.48221335816</v>
      </c>
      <c r="X7" s="98">
        <v>1327226.7147852567</v>
      </c>
      <c r="Y7" s="98">
        <v>48708.38860179724</v>
      </c>
      <c r="Z7" s="98">
        <v>55641284.139463186</v>
      </c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117177.49996050939</v>
      </c>
      <c r="C8" s="98">
        <v>234184.80513909008</v>
      </c>
      <c r="D8" s="98">
        <v>2973720.9739199397</v>
      </c>
      <c r="E8" s="98">
        <v>784251.76462656562</v>
      </c>
      <c r="F8" s="98">
        <v>81923.291098767033</v>
      </c>
      <c r="G8" s="98">
        <v>1471843.8941405099</v>
      </c>
      <c r="H8" s="98">
        <v>25908831.037530463</v>
      </c>
      <c r="I8" s="98">
        <v>2065153.5058970719</v>
      </c>
      <c r="J8" s="98">
        <v>1336749.1175869717</v>
      </c>
      <c r="K8" s="98">
        <v>1759.4160492342635</v>
      </c>
      <c r="L8" s="98">
        <v>2344360.7093656687</v>
      </c>
      <c r="M8" s="98">
        <v>1711158.8341175241</v>
      </c>
      <c r="N8" s="98">
        <v>279460.19505556813</v>
      </c>
      <c r="O8" s="98"/>
      <c r="P8" s="98">
        <v>4095754.4227852407</v>
      </c>
      <c r="Q8" s="98">
        <v>4811804.0768148107</v>
      </c>
      <c r="R8" s="98">
        <v>165969.71296028496</v>
      </c>
      <c r="S8" s="98">
        <v>79705.883661789994</v>
      </c>
      <c r="T8" s="98">
        <v>990366.50688011281</v>
      </c>
      <c r="U8" s="98">
        <v>120600</v>
      </c>
      <c r="V8" s="98">
        <v>4715545.854665624</v>
      </c>
      <c r="W8" s="98">
        <v>929013.574979258</v>
      </c>
      <c r="X8" s="98">
        <v>1334029.2470398843</v>
      </c>
      <c r="Y8" s="98">
        <v>49456.655720713003</v>
      </c>
      <c r="Z8" s="98">
        <v>56602820.979995593</v>
      </c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418373.61811750499</v>
      </c>
      <c r="C9" s="98">
        <v>679854.72619849222</v>
      </c>
      <c r="D9" s="98">
        <v>9045127.0632908456</v>
      </c>
      <c r="E9" s="98">
        <v>2884913.6024563927</v>
      </c>
      <c r="F9" s="98">
        <v>311842.03423872165</v>
      </c>
      <c r="G9" s="98">
        <v>4437213.7136186622</v>
      </c>
      <c r="H9" s="98">
        <v>55273290.168888882</v>
      </c>
      <c r="I9" s="98">
        <v>6169790.4301767666</v>
      </c>
      <c r="J9" s="98">
        <v>4609178.1451108996</v>
      </c>
      <c r="K9" s="98">
        <v>81211.334173612384</v>
      </c>
      <c r="L9" s="98">
        <v>5833424.013481142</v>
      </c>
      <c r="M9" s="98">
        <v>6046478.5028147623</v>
      </c>
      <c r="N9" s="98">
        <v>559800.49011113623</v>
      </c>
      <c r="O9" s="98">
        <v>8064.2063400965635</v>
      </c>
      <c r="P9" s="98">
        <v>13538028.530069461</v>
      </c>
      <c r="Q9" s="98">
        <v>11261863.207872376</v>
      </c>
      <c r="R9" s="98">
        <v>553907.20075473934</v>
      </c>
      <c r="S9" s="98">
        <v>268636.26442962571</v>
      </c>
      <c r="T9" s="98">
        <v>3407762.4644088694</v>
      </c>
      <c r="U9" s="98">
        <v>241276.5</v>
      </c>
      <c r="V9" s="98">
        <v>13610314.014145063</v>
      </c>
      <c r="W9" s="98">
        <v>2765599.6996776825</v>
      </c>
      <c r="X9" s="98">
        <v>4666358.1332259178</v>
      </c>
      <c r="Y9" s="98">
        <v>196991.07736846476</v>
      </c>
      <c r="Z9" s="98">
        <v>146869299.14097011</v>
      </c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315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288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19.802671473587463</v>
      </c>
      <c r="C7" s="235">
        <v>0</v>
      </c>
      <c r="D7" s="235">
        <v>67.440456557930133</v>
      </c>
      <c r="E7" s="235">
        <v>29.457581705455638</v>
      </c>
      <c r="F7" s="235">
        <v>0.35905402506237244</v>
      </c>
      <c r="G7" s="235">
        <v>1.6121480112997326</v>
      </c>
      <c r="H7" s="235">
        <v>0</v>
      </c>
      <c r="I7" s="235">
        <v>5.3986394353114884</v>
      </c>
      <c r="J7" s="235">
        <v>45.119459803579794</v>
      </c>
      <c r="K7" s="235">
        <v>169.19001101222665</v>
      </c>
    </row>
    <row r="8" spans="1:11" x14ac:dyDescent="0.25">
      <c r="A8" s="79">
        <v>2050</v>
      </c>
      <c r="B8" s="235">
        <v>19.897035061438991</v>
      </c>
      <c r="C8" s="235">
        <v>0</v>
      </c>
      <c r="D8" s="235">
        <v>69.144694188437583</v>
      </c>
      <c r="E8" s="235">
        <v>27.215892259421679</v>
      </c>
      <c r="F8" s="235">
        <v>0.35905402506237249</v>
      </c>
      <c r="G8" s="235">
        <v>1.6892783010056229</v>
      </c>
      <c r="H8" s="235">
        <v>0</v>
      </c>
      <c r="I8" s="235">
        <v>5.4154006187752017</v>
      </c>
      <c r="J8" s="235">
        <v>45.698441444158348</v>
      </c>
      <c r="K8" s="235">
        <v>169.41979589829981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5.2940684669341902</v>
      </c>
      <c r="C11" s="235">
        <v>2.1694819870080004</v>
      </c>
      <c r="D11" s="235">
        <v>1.4201719861750002</v>
      </c>
      <c r="E11" s="235">
        <v>0.45076703432000009</v>
      </c>
      <c r="F11" s="235">
        <v>0</v>
      </c>
      <c r="G11" s="235">
        <v>13.01893247752329</v>
      </c>
      <c r="H11" s="235">
        <v>0</v>
      </c>
      <c r="I11" s="235">
        <v>0</v>
      </c>
      <c r="J11" s="235">
        <v>0</v>
      </c>
      <c r="K11" s="235">
        <v>22.353421951960478</v>
      </c>
    </row>
    <row r="12" spans="1:11" x14ac:dyDescent="0.25">
      <c r="A12" s="79">
        <v>2050</v>
      </c>
      <c r="B12" s="235">
        <v>5.3606050360007158</v>
      </c>
      <c r="C12" s="235">
        <v>2.1694819870080004</v>
      </c>
      <c r="D12" s="235">
        <v>1.4201719861750002</v>
      </c>
      <c r="E12" s="235">
        <v>0.4507670343200002</v>
      </c>
      <c r="F12" s="235">
        <v>0</v>
      </c>
      <c r="G12" s="235">
        <v>12.818126714593753</v>
      </c>
      <c r="H12" s="235">
        <v>0</v>
      </c>
      <c r="I12" s="235">
        <v>0</v>
      </c>
      <c r="J12" s="235">
        <v>0</v>
      </c>
      <c r="K12" s="235">
        <v>22.219152758097472</v>
      </c>
    </row>
    <row r="13" spans="1:11" x14ac:dyDescent="0.25">
      <c r="A13" s="78" t="s">
        <v>289</v>
      </c>
      <c r="B13" s="235">
        <v>57.243637059528758</v>
      </c>
      <c r="C13" s="235">
        <v>0</v>
      </c>
      <c r="D13" s="235">
        <v>136.58515074636773</v>
      </c>
      <c r="E13" s="235">
        <v>76.247064453434518</v>
      </c>
      <c r="F13" s="235">
        <v>0.71810805012474499</v>
      </c>
      <c r="G13" s="235">
        <v>3.3014263123053555</v>
      </c>
      <c r="H13" s="235">
        <v>0</v>
      </c>
      <c r="I13" s="235">
        <v>14.765087181916268</v>
      </c>
      <c r="J13" s="235">
        <v>138.30699617208001</v>
      </c>
      <c r="K13" s="235">
        <v>427.16746997575734</v>
      </c>
    </row>
    <row r="14" spans="1:11" x14ac:dyDescent="0.25">
      <c r="A14" s="78" t="s">
        <v>244</v>
      </c>
      <c r="B14" s="235">
        <v>18.137828207141908</v>
      </c>
      <c r="C14" s="235">
        <v>6.5084459610240017</v>
      </c>
      <c r="D14" s="235">
        <v>4.2605159585250005</v>
      </c>
      <c r="E14" s="235">
        <v>1.3523011029600003</v>
      </c>
      <c r="F14" s="235">
        <v>0</v>
      </c>
      <c r="G14" s="235">
        <v>30.929342150122046</v>
      </c>
      <c r="H14" s="235">
        <v>0</v>
      </c>
      <c r="I14" s="235">
        <v>0</v>
      </c>
      <c r="J14" s="235">
        <v>0</v>
      </c>
      <c r="K14" s="235">
        <v>61.188433379772952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1139180.7875059044</v>
      </c>
      <c r="C4" s="236">
        <v>128467.8</v>
      </c>
      <c r="D4" s="236">
        <v>8823313.0931620356</v>
      </c>
      <c r="E4" s="236">
        <v>2525046.4830080615</v>
      </c>
      <c r="F4" s="236">
        <v>60009.02925833522</v>
      </c>
      <c r="G4" s="236">
        <v>1968541.7998628975</v>
      </c>
      <c r="H4" s="236">
        <v>1497826.23315338</v>
      </c>
      <c r="I4" s="236">
        <v>16142385.225950614</v>
      </c>
    </row>
    <row r="5" spans="1:9" x14ac:dyDescent="0.25">
      <c r="A5" s="78">
        <v>2050</v>
      </c>
      <c r="B5" s="236">
        <v>1157844.6374687571</v>
      </c>
      <c r="C5" s="236">
        <v>128467.8</v>
      </c>
      <c r="D5" s="236">
        <v>9048868.0786811933</v>
      </c>
      <c r="E5" s="236">
        <v>2341798.7533032778</v>
      </c>
      <c r="F5" s="236">
        <v>60009.02925833522</v>
      </c>
      <c r="G5" s="236">
        <v>1955560.6437424894</v>
      </c>
      <c r="H5" s="236">
        <v>1517162.9240881524</v>
      </c>
      <c r="I5" s="236">
        <v>16209711.866542205</v>
      </c>
    </row>
    <row r="6" spans="1:9" x14ac:dyDescent="0.25">
      <c r="A6" s="78" t="s">
        <v>61</v>
      </c>
      <c r="B6" s="236">
        <v>3374330.3649746617</v>
      </c>
      <c r="C6" s="236">
        <v>385403.4</v>
      </c>
      <c r="D6" s="236">
        <v>18000907.53184323</v>
      </c>
      <c r="E6" s="236">
        <v>6542263.2269665673</v>
      </c>
      <c r="F6" s="236">
        <v>120018.05851667044</v>
      </c>
      <c r="G6" s="236">
        <v>4628118.5594387203</v>
      </c>
      <c r="H6" s="236">
        <v>4590862.635672708</v>
      </c>
      <c r="I6" s="236">
        <v>37641903.777412556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313</v>
      </c>
      <c r="I2" s="168" t="s">
        <v>335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10416099.753436632</v>
      </c>
      <c r="C4" s="98">
        <v>-50273.43159900204</v>
      </c>
      <c r="D4" s="98">
        <v>4405853.505497627</v>
      </c>
      <c r="E4" s="98">
        <v>8852683.6564139053</v>
      </c>
      <c r="F4" s="98">
        <v>-1707937.0102545363</v>
      </c>
      <c r="G4" s="98">
        <v>-452792.62348796544</v>
      </c>
      <c r="H4" s="98">
        <v>0</v>
      </c>
      <c r="I4" s="98">
        <v>-631434.34313339414</v>
      </c>
      <c r="J4" s="98">
        <v>20832199.506873269</v>
      </c>
    </row>
    <row r="5" spans="1:10" x14ac:dyDescent="0.25">
      <c r="A5" s="78">
        <v>2050</v>
      </c>
      <c r="B5" s="98">
        <v>7816436.4385350784</v>
      </c>
      <c r="C5" s="98">
        <v>-50273.43159900204</v>
      </c>
      <c r="D5" s="98">
        <v>4388184.7278760895</v>
      </c>
      <c r="E5" s="98">
        <v>8600679.1735734027</v>
      </c>
      <c r="F5" s="98">
        <v>-2973715.1305050733</v>
      </c>
      <c r="G5" s="98">
        <v>-440421.41166719497</v>
      </c>
      <c r="H5" s="98">
        <v>0</v>
      </c>
      <c r="I5" s="98">
        <v>-1708017.489143146</v>
      </c>
      <c r="J5" s="98">
        <v>15632872.877070153</v>
      </c>
    </row>
    <row r="6" spans="1:10" x14ac:dyDescent="0.25">
      <c r="A6" s="78" t="s">
        <v>61</v>
      </c>
      <c r="B6" s="98">
        <v>32144098.310249284</v>
      </c>
      <c r="C6" s="98">
        <v>-100705.30039800408</v>
      </c>
      <c r="D6" s="98">
        <v>14313300.134110432</v>
      </c>
      <c r="E6" s="98">
        <v>27178829.019721493</v>
      </c>
      <c r="F6" s="98">
        <v>-5243552.1407596096</v>
      </c>
      <c r="G6" s="98">
        <v>-1058421.2460502202</v>
      </c>
      <c r="H6" s="98">
        <v>0</v>
      </c>
      <c r="I6" s="98">
        <v>-2945352.1563748149</v>
      </c>
      <c r="J6" s="98">
        <v>64288196.620498545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8" t="s">
        <v>334</v>
      </c>
      <c r="E9" s="168" t="s">
        <v>335</v>
      </c>
      <c r="G9" s="168" t="s">
        <v>333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313</v>
      </c>
      <c r="E11" s="168" t="s">
        <v>313</v>
      </c>
      <c r="G11" s="168" t="s">
        <v>313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8953607.5749177337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4046578.8260529838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4031787.1463158978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1088045.8124689222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2154506.8629341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-1423173.0735050682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-493450.63787402952</v>
      </c>
      <c r="D19" s="168" t="s">
        <v>334</v>
      </c>
      <c r="E19" s="98" t="str">
        <f t="shared" si="4"/>
        <v>Træprodukter</v>
      </c>
      <c r="G19" s="168" t="s">
        <v>333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-413224.8677758188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6690584.305927664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4029816.5016583097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3804300.9790056865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1088045.8124689227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2154506.8629340995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-2521288.1827652766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-1425254.7542948411</v>
      </c>
      <c r="D29" s="168" t="s">
        <v>334</v>
      </c>
      <c r="E29" s="98" t="str">
        <f t="shared" si="4"/>
        <v>Træprodukter</v>
      </c>
      <c r="G29" s="168" t="s">
        <v>333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-402080.41937998723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8" t="s">
        <v>334</v>
      </c>
      <c r="E39" s="98" t="str">
        <f t="shared" si="4"/>
        <v>Træprodukter</v>
      </c>
      <c r="G39" s="168" t="s">
        <v>333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1462492.1785188979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359274.67944464367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1228927.7363285178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117269.43380756295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232146.66455890334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-284763.93674946815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-137983.70525936465</v>
      </c>
      <c r="D49" s="168" t="s">
        <v>334</v>
      </c>
      <c r="E49" s="98" t="str">
        <f t="shared" si="4"/>
        <v>Træprodukter</v>
      </c>
      <c r="G49" s="168" t="s">
        <v>333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-39567.755712146653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1125852.1326074144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358368.22621777962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1204409.4207982279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117269.43380756291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232146.66455890334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-452426.94773979689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-282762.73484830488</v>
      </c>
      <c r="D59" s="168" t="s">
        <v>334</v>
      </c>
      <c r="E59" s="98" t="str">
        <f t="shared" si="4"/>
        <v>Træprodukter</v>
      </c>
      <c r="G59" s="168" t="s">
        <v>333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-38340.992287207751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290890.985086801</v>
      </c>
      <c r="C6" s="98">
        <v>1462811.7838699373</v>
      </c>
      <c r="D6" s="98">
        <v>41859.546279410672</v>
      </c>
      <c r="E6" s="98">
        <v>36323938.809274264</v>
      </c>
      <c r="F6" s="98">
        <v>284025.61835988262</v>
      </c>
      <c r="G6" s="98">
        <v>925011.48221335816</v>
      </c>
      <c r="H6" s="98">
        <v>2294255.2711495673</v>
      </c>
      <c r="I6" s="98">
        <v>6989859.2435773909</v>
      </c>
      <c r="J6" s="98">
        <v>7633952.6959113814</v>
      </c>
      <c r="K6" s="98">
        <v>1327226.7147852567</v>
      </c>
      <c r="L6" s="98">
        <v>196559.60980685451</v>
      </c>
      <c r="M6" s="98">
        <v>482021.37815281149</v>
      </c>
      <c r="N6" s="98">
        <v>6431901.2155842176</v>
      </c>
      <c r="O6" s="98">
        <v>64684314.354051135</v>
      </c>
    </row>
    <row r="7" spans="1:15" x14ac:dyDescent="0.25">
      <c r="A7" s="78">
        <v>2050</v>
      </c>
      <c r="B7" s="98">
        <v>292116.87892223574</v>
      </c>
      <c r="C7" s="98">
        <v>1471843.8941405099</v>
      </c>
      <c r="D7" s="98">
        <v>42032.3457368659</v>
      </c>
      <c r="E7" s="98">
        <v>36986314.425746471</v>
      </c>
      <c r="F7" s="98">
        <v>282996.40655386116</v>
      </c>
      <c r="G7" s="98">
        <v>929013.574979258</v>
      </c>
      <c r="H7" s="98">
        <v>2305476.8122510617</v>
      </c>
      <c r="I7" s="98">
        <v>7052401.3495311961</v>
      </c>
      <c r="J7" s="98">
        <v>7755512.3474290697</v>
      </c>
      <c r="K7" s="98">
        <v>1334029.2470398843</v>
      </c>
      <c r="L7" s="98">
        <v>198535.62761100623</v>
      </c>
      <c r="M7" s="98">
        <v>483517.91239064303</v>
      </c>
      <c r="N7" s="98">
        <v>6450010.8028423768</v>
      </c>
      <c r="O7" s="98">
        <v>65583801.62517444</v>
      </c>
    </row>
    <row r="8" spans="1:15" x14ac:dyDescent="0.25">
      <c r="A8" s="78" t="s">
        <v>61</v>
      </c>
      <c r="B8" s="98">
        <v>868133.96599371568</v>
      </c>
      <c r="C8" s="98">
        <v>4437213.7136186622</v>
      </c>
      <c r="D8" s="98">
        <v>125619.78190904811</v>
      </c>
      <c r="E8" s="98">
        <v>91253691.930590913</v>
      </c>
      <c r="F8" s="98">
        <v>847631.4463666887</v>
      </c>
      <c r="G8" s="98">
        <v>2765599.6996776825</v>
      </c>
      <c r="H8" s="98">
        <v>6862050.924034195</v>
      </c>
      <c r="I8" s="98">
        <v>23152048.562553003</v>
      </c>
      <c r="J8" s="98">
        <v>23337160.337187193</v>
      </c>
      <c r="K8" s="98">
        <v>4666358.1332259178</v>
      </c>
      <c r="L8" s="98">
        <v>604877.62481286074</v>
      </c>
      <c r="M8" s="98">
        <v>1643947.1078218848</v>
      </c>
      <c r="N8" s="98">
        <v>15511335.154413166</v>
      </c>
      <c r="O8" s="98">
        <v>176075668.38220492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5381619.5037339376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224570.40950584275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370490.27594297461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28408153.283469509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217805.88377635827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1778992.2257450195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4923583.0761439931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5903489.3992296383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32105.259581147304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1025729.6203575714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1120053.9852881476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713505.92728443746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154484.73733408173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5384297.8300240729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223655.47079475562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368467.16262994817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28726652.266058438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215100.32143170634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1773593.0585347696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4893003.8959338032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5948728.1077614166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31959.139430497853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1022705.1142750654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1117549.622505489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710657.73610137182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155048.14004123484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1608239.7398434528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66320.575580958233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111531.10220983687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7915785.5258047525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66219.734583524318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515263.04540454788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1508318.1394402247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1730463.2966817433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9754.2866982633659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301497.09442768525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342757.79858178977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211505.55492892067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42074.872472772768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1668103.5195071232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68461.408127480128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115050.74976069485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8259662.159688036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67896.085122154822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531883.75371629221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1557006.906908574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1806784.2396676533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10073.206306368047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311324.13276481908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354294.27163502085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218355.83887788613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43487.487569771387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2863529.5604047892</v>
      </c>
      <c r="C7" s="236">
        <v>792502.62774827308</v>
      </c>
      <c r="D7" s="236">
        <v>3656032.188153062</v>
      </c>
    </row>
    <row r="8" spans="1:4" x14ac:dyDescent="0.25">
      <c r="A8" s="78">
        <v>2050</v>
      </c>
      <c r="B8" s="236">
        <v>2900968.4353083428</v>
      </c>
      <c r="C8" s="236">
        <v>897333.94736170489</v>
      </c>
      <c r="D8" s="236">
        <v>3798302.3826700477</v>
      </c>
    </row>
    <row r="9" spans="1:4" x14ac:dyDescent="0.25">
      <c r="A9" s="78" t="s">
        <v>61</v>
      </c>
      <c r="B9" s="236">
        <v>8774736.4880378172</v>
      </c>
      <c r="C9" s="236">
        <v>2517529.7800321821</v>
      </c>
      <c r="D9" s="236">
        <v>11292266.268070001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2501770</v>
      </c>
      <c r="E6" s="236">
        <v>487920</v>
      </c>
      <c r="F6" s="236">
        <v>623500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2389770</v>
      </c>
      <c r="E7" s="236">
        <v>487920</v>
      </c>
      <c r="F7" s="236">
        <v>735500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7469910</v>
      </c>
      <c r="E8" s="236">
        <v>1448760</v>
      </c>
      <c r="F8" s="236">
        <v>1920900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74183.803587131348</v>
      </c>
      <c r="C7" s="236">
        <v>4853.1770030289581</v>
      </c>
      <c r="D7" s="236">
        <v>614009.9839605958</v>
      </c>
      <c r="E7" s="236">
        <v>12260.644279007083</v>
      </c>
      <c r="F7" s="236">
        <v>18194.810700511243</v>
      </c>
      <c r="G7" s="236">
        <v>52970.654930914927</v>
      </c>
      <c r="H7" s="236">
        <v>966609.27748625283</v>
      </c>
      <c r="I7" s="236">
        <v>162670.5326839725</v>
      </c>
      <c r="J7" s="236">
        <v>43656.858578083113</v>
      </c>
      <c r="K7" s="236">
        <v>108216.1106595821</v>
      </c>
      <c r="L7" s="236">
        <v>78362.46663239249</v>
      </c>
      <c r="M7" s="236">
        <v>257867.80103200703</v>
      </c>
      <c r="N7" s="236">
        <v>7716.8760454422081</v>
      </c>
      <c r="O7" s="236">
        <v>99823.678331425646</v>
      </c>
      <c r="P7" s="236">
        <v>2501396.6759103471</v>
      </c>
    </row>
    <row r="8" spans="1:16" x14ac:dyDescent="0.25">
      <c r="A8" s="78">
        <v>2050</v>
      </c>
      <c r="B8" s="236">
        <v>70714.46091817932</v>
      </c>
      <c r="C8" s="236">
        <v>4625.795568945282</v>
      </c>
      <c r="D8" s="236">
        <v>585897.98396059568</v>
      </c>
      <c r="E8" s="236">
        <v>11677.56258440821</v>
      </c>
      <c r="F8" s="236">
        <v>17345.073983380356</v>
      </c>
      <c r="G8" s="236">
        <v>50518.159150673164</v>
      </c>
      <c r="H8" s="236">
        <v>921525.54308632715</v>
      </c>
      <c r="I8" s="236">
        <v>155081.49250673887</v>
      </c>
      <c r="J8" s="236">
        <v>41644.367513597048</v>
      </c>
      <c r="K8" s="236">
        <v>103139.18553800805</v>
      </c>
      <c r="L8" s="236">
        <v>74614.172443133619</v>
      </c>
      <c r="M8" s="236">
        <v>249941.24327345032</v>
      </c>
      <c r="N8" s="236">
        <v>7390.1149836831491</v>
      </c>
      <c r="O8" s="236">
        <v>95299.403912586349</v>
      </c>
      <c r="P8" s="236">
        <v>2389414.5594237065</v>
      </c>
    </row>
    <row r="9" spans="1:16" x14ac:dyDescent="0.25">
      <c r="A9" s="78" t="s">
        <v>61</v>
      </c>
      <c r="B9" s="236">
        <v>221751.477371733</v>
      </c>
      <c r="C9" s="236">
        <v>14593.753465080146</v>
      </c>
      <c r="D9" s="236">
        <v>1488839.3835768392</v>
      </c>
      <c r="E9" s="236">
        <v>36690.28543224329</v>
      </c>
      <c r="F9" s="236">
        <v>54482.581150637823</v>
      </c>
      <c r="G9" s="236">
        <v>158564.33488356959</v>
      </c>
      <c r="H9" s="236">
        <v>3225956.1532555814</v>
      </c>
      <c r="I9" s="236">
        <v>497892.70107381581</v>
      </c>
      <c r="J9" s="236">
        <v>155239.86216082054</v>
      </c>
      <c r="K9" s="236">
        <v>372786.91853028344</v>
      </c>
      <c r="L9" s="236">
        <v>186942.99593924516</v>
      </c>
      <c r="M9" s="236">
        <v>728814.05938176333</v>
      </c>
      <c r="N9" s="236">
        <v>23686.618415699766</v>
      </c>
      <c r="O9" s="236">
        <v>302940.11069674086</v>
      </c>
      <c r="P9" s="236">
        <v>7469181.2353340536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1791858.8572342743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490276.74059587362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1690755.6925145041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591379.90531564387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546177.14276572561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133223.25940412635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535280.30748549581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144120.09468435613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14232454.554315863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7721242.9104568008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877744.4345664084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13551675.866315866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623909.73940601887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4373607.2732361918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2056610.6420093102</v>
      </c>
      <c r="J16" s="76">
        <f t="shared" si="2"/>
        <v>2056610.6420093102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2787012.6456841351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48011.920691725383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185326.01387005998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79264.908013529261</v>
      </c>
      <c r="J17" s="76">
        <f t="shared" si="2"/>
        <v>79264.908013529261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872711.48954319966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70259.109449246753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309140.08157668571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237874.25042587356</v>
      </c>
      <c r="J18" s="76">
        <f t="shared" si="2"/>
        <v>237874.25042587356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236226.76543359147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389039.43578841945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19304136.803821374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19304136.803821374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3467791.3336841348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8069.2150499893842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167436.21228727975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167436.21228727975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33939.868192186092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1441456.730045914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1441456.730045914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51872.305654463133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4214818.3878044365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4214818.3878044365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105024.04342368516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4674620.172788227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4674620.172788227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3146.7111847138076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26715.577958220227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26715.577958220227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27850.682564630642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829837.36436016392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829837.36436016392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62611.02615456815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894640.23473164067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214121.570015223</v>
      </c>
      <c r="J26" s="76">
        <f t="shared" si="2"/>
        <v>214121.570015223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11759.429887638771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587971.4943819386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587971.4943819386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4522.0169004115751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110293.09513198964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110293.09513198964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109694.9188294395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1512692.9306579707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1512692.9306579707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561483.07121072372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3935996.3291871729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1850831.917865884</v>
      </c>
      <c r="J30" s="76">
        <f t="shared" si="2"/>
        <v>1850831.917865884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43207.981831443096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166782.80986937037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71333.882418701935</v>
      </c>
      <c r="J31" s="76">
        <f t="shared" si="2"/>
        <v>71333.882418701935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63229.178938047015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278208.3873274069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214073.21645311025</v>
      </c>
      <c r="J32" s="76">
        <f t="shared" si="2"/>
        <v>214073.21645311025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350113.23502744088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17372618.722061615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17372618.722061615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7261.8319003021561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150683.01193126975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150683.01193126975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30543.939652518206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1297228.5904273209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1297228.5904273209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46682.107442941407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3793095.4167070598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3793095.4167070598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94515.630592078363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4206890.7176534077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4206890.7176534077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2831.8600409865621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24042.491747975917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24042.491747975917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25064.020953722124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746806.15242510219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746806.15242510219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56346.341524321346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805125.0283479041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192697.16298878082</v>
      </c>
      <c r="J40" s="76">
        <f t="shared" si="2"/>
        <v>192697.16298878082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10582.814134757033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529140.70673785161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529140.70673785161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4069.5565030402136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99257.475683907658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99257.475683907658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98719.151233641649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1361337.0955119184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1361337.0955119184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97373.196323482727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457332.69117250136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215052.52320201404</v>
      </c>
      <c r="J58" s="76">
        <f t="shared" si="2"/>
        <v>215052.52320201404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7493.1899345467373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16486.516493989733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7051.3695625908404</v>
      </c>
      <c r="J59" s="76">
        <f t="shared" si="2"/>
        <v>7051.3695625908404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10965.294538321748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26536.012782738631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20418.685657943486</v>
      </c>
      <c r="J60" s="76">
        <f t="shared" si="2"/>
        <v>20418.685657943486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60717.137377383391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2349971.7981992955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2349971.7981992955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1259.3572621370715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14895.048017926212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14895.048017926212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5296.973648491472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128231.32413529836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128231.32413529836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8095.677761101183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374948.29473011725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374948.29473011725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16391.035678841039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605538.94839412824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605538.94839412824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491.10521379926485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2376.6054611387822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2376.6054611387822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4346.6383193354177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73821.948193658493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73821.948193658493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9771.6630414643932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79586.781575259811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19048.155852799315</v>
      </c>
      <c r="J68" s="76">
        <f t="shared" si="2"/>
        <v>19048.155852799315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1835.286745469635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52305.672245884591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52305.672245884591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705.74830237637309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9811.6227403544544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9811.6227403544544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17120.016233496339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236085.02385991454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236085.02385991454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119102.46965075957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559388.56920872245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263042.47559972713</v>
      </c>
      <c r="J72" s="76">
        <f t="shared" ref="J72:J139" si="15">IF(I72&lt;&gt;0,I72,H72)</f>
        <v>263042.47559972713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9165.3294793970217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20165.557920569328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8624.9148742612324</v>
      </c>
      <c r="J73" s="76">
        <f t="shared" si="15"/>
        <v>8624.9148742612324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13412.250077767547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32457.645188197464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24975.208586196197</v>
      </c>
      <c r="J74" s="76">
        <f t="shared" si="15"/>
        <v>24975.208586196197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74266.443793699596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2874378.7340138317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2874378.7340138317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1540.3885849125784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18218.945988053521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18218.945988053521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6479.017502049317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156846.7295698488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156846.7295698488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9902.2652151693892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458619.71856548992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458619.71856548992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20048.770125592382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740667.72938079713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740667.72938079713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600.69758445169498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2906.9558204370878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2906.9558204370878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5316.6105053349966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90295.652975035089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90295.652975035089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11952.25426273483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97346.935245701112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23298.83879773441</v>
      </c>
      <c r="J82" s="76">
        <f t="shared" si="15"/>
        <v>23298.83879773441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2244.8393619181579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63977.921814667498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63977.921814667498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863.23925822065132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12001.13115087247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12001.13115087247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20940.42601925732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288768.47480555851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288768.47480555851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12397.451002927566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104287.35783662667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49039.265886152367</v>
      </c>
      <c r="J100" s="76">
        <f t="shared" si="15"/>
        <v>49039.265886152367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1062.761606425149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4922.7117609612906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2105.4696357053253</v>
      </c>
      <c r="J101" s="76">
        <f t="shared" si="15"/>
        <v>2105.4696357053253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1137.9870596805204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6008.5716751131476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4623.4201532780708</v>
      </c>
      <c r="J102" s="76">
        <f t="shared" si="15"/>
        <v>4623.4201532780708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10501.746271795293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625315.98000777897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625315.98000777897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49.117062325833871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1223.0148519132633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1223.0148519132633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775.43110733760068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39519.907927612192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39519.907927612192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20.343682789424093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1983.6001630858166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1983.6001630858166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2626.0637331851003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140263.31611688258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140263.31611688258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44.737253203575285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455.78313563802504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455.78313563802504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791.21864877871178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28290.127393960796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28290.127393960796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1952.9609549061931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33486.704584058869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8014.6470970260507</v>
      </c>
      <c r="J110" s="76">
        <f t="shared" si="15"/>
        <v>8014.6470970260507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224.38166373606674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13462.899824164006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13462.899824164006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368.51743073956908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10785.876021645925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10785.876021645925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40667.094971784412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672959.08759308851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672959.08759308851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11824.158471000279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99464.821058054338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46771.554168873641</v>
      </c>
      <c r="J114" s="76">
        <f t="shared" si="15"/>
        <v>46771.554168873641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1013.616561041327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4695.0719107434261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2008.1068779848476</v>
      </c>
      <c r="J115" s="76">
        <f t="shared" si="15"/>
        <v>2008.1068779848476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1085.3633806201497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5730.7186496743898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4409.6203774039413</v>
      </c>
      <c r="J116" s="76">
        <f t="shared" si="15"/>
        <v>4409.6203774039413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10016.116386394353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596399.6341114653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596399.6341114653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46.845753085332873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1166.4592518247885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1166.4592518247885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739.57302144915673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37692.397734427817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37692.397734427817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19.402934452340897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1891.8729879142179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1891.8729879142179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2504.6272599742283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133777.15120974349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133777.15120974349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42.668478488959082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434.70645884551516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434.70645884551516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754.6305031704477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26981.913410425037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26981.913410425037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1862.6506217313402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31938.18645300412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7644.0275780884303</v>
      </c>
      <c r="J124" s="76">
        <f t="shared" si="15"/>
        <v>7644.0275780884303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214.00563304306942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12840.337982584166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12840.337982584166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351.476162266063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10287.107188275015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10287.107188275015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38786.535666730793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641839.59221306117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641839.59221306117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1934.8622952545911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10904.961290546686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5127.863120696511</v>
      </c>
      <c r="J142" s="76">
        <f t="shared" si="29"/>
        <v>5127.863120696511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165.86452817039898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437.9221618566142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187.30160516476849</v>
      </c>
      <c r="J143" s="76">
        <f t="shared" si="29"/>
        <v>187.30160516476849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177.60491682875178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515.76467847069523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396.86583396635473</v>
      </c>
      <c r="J144" s="76">
        <f t="shared" si="29"/>
        <v>396.86583396635473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1639.0008632281672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76122.280572045231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76122.280572045231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7.6656686866908359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108.79883567020302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108.79883567020302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121.0210398734984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3515.6727341384499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3515.6727341384499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3.1750256376557835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176.46015323636252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176.46015323636252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409.84809708669195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18169.369446123346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18169.369446123346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6.9821146618296694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40.54625697959078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40.54625697959078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123.48499142789146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2516.6766508269175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2516.6766508269175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304.79737446512843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2978.9617546165664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712.97929955624829</v>
      </c>
      <c r="J152" s="76">
        <f t="shared" si="29"/>
        <v>712.97929955624829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35.01910358886591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1197.6533427392139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1197.6533427392139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57.514281098083039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959.50654319728767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959.50654319728767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6346.8876545559488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105028.29690759185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105028.29690759185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2508.1548271818774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14136.060932190147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6647.2299712732556</v>
      </c>
      <c r="J156" s="76">
        <f t="shared" si="29"/>
        <v>6647.2299712732556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215.00957355422085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567.67687648079607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242.79837706544063</v>
      </c>
      <c r="J157" s="76">
        <f t="shared" si="29"/>
        <v>242.79837706544063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230.22859588912263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668.58384246201217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514.45571069712639</v>
      </c>
      <c r="J158" s="76">
        <f t="shared" si="29"/>
        <v>514.45571069712639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2124.6307486291057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98677.030371169749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98677.030371169749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9.9369779271918226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141.03552772063352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141.03552772063352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156.87912576194233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4557.3535442535449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4557.3535442535449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4.1157739747389783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228.74464308417362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228.74464308417362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531.28457029756362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23552.886319048779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23552.886319048779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9.0508893764458662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52.559962751321372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52.559962751321372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160.07313703615557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3262.3586214422994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3262.3586214422994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395.1077076399813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3861.6170893177714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924.2324253506921</v>
      </c>
      <c r="J166" s="76">
        <f t="shared" si="29"/>
        <v>924.2324253506921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45.395134281863214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1552.5135924397218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1552.5135924397218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74.555549571589111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1243.8047782187059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1243.8047782187059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8227.4469596095623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136147.79228761903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136147.79228761903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6829.6764788402734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67026.444963338436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31517.987646306185</v>
      </c>
      <c r="J184" s="76">
        <f t="shared" si="29"/>
        <v>31517.987646306185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393.24746020858441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2125.1092749671902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908.9203813398658</v>
      </c>
      <c r="J185" s="76">
        <f t="shared" si="29"/>
        <v>908.9203813398658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509.2376538265151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3136.903947571333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2413.7558332156746</v>
      </c>
      <c r="J186" s="76">
        <f t="shared" si="29"/>
        <v>2413.7558332156746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11744.627821749295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815875.80552127992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815875.80552127992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13.650927813648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396.55945298647441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396.55945298647441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722.54761223276046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42962.145802906423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42962.145802906423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7.81367517821608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888.84636922823381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888.84636922823381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971.70700105983565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60550.950064042598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60550.950064042598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27.846169827307591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330.97957456737799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330.97957456737799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492.48461375505457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20543.661222135182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20543.661222135182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1566.9213854799195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31345.33009747367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7502.1344139856974</v>
      </c>
      <c r="J194" s="76">
        <f t="shared" si="29"/>
        <v>7502.1344139856974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139.66369115457903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9776.4583808205316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9776.4583808205316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329.67947330545348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11257.347868966703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11257.347868966703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31481.370371455621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607779.3363913222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607779.3363913222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6513.8532890673114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63926.956178906585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30060.508448789125</v>
      </c>
      <c r="J198" s="76">
        <f t="shared" si="29"/>
        <v>30060.508448789125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375.06260655732041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2026.8383258357594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866.88938104669273</v>
      </c>
      <c r="J199" s="76">
        <f t="shared" si="29"/>
        <v>866.88938104669273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485.68909179985542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2991.8448054871092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2302.1370663617704</v>
      </c>
      <c r="J200" s="76">
        <f t="shared" si="29"/>
        <v>2302.1370663617704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11201.523645021003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778147.44457231904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778147.44457231904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13.019671036138266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378.22144359981667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378.22144359981667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689.13500588673674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40975.456979650633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40975.456979650633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7.4523491584141794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847.7436469517836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847.7436469517836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926.7725732651611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57750.906130445248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57750.906130445248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26.558485673443656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315.67416071455131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315.67416071455131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469.71075878372255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19593.665327469971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19593.665327469971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1494.4625930877842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29895.835064064475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7155.2149035123675</v>
      </c>
      <c r="J208" s="76">
        <f t="shared" si="29"/>
        <v>7155.2149035123675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133.20525456939615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9324.3678198577309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9324.3678198577309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314.43417974219551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10736.776869245699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10736.776869245699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30025.584458324727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579673.93355241721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579673.93355241721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1065.9032654837422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7008.7190137964881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3295.7248353854275</v>
      </c>
      <c r="J226" s="76">
        <f t="shared" si="42"/>
        <v>3295.7248353854275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61.373881073016072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189.04873839158992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80.857136813991545</v>
      </c>
      <c r="J227" s="76">
        <f t="shared" si="42"/>
        <v>80.857136813991545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79.476396839976346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269.26603249383987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207.19233597255936</v>
      </c>
      <c r="J228" s="76">
        <f t="shared" si="42"/>
        <v>207.19233597255936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1832.9765964579826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99319.910198139638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99319.910198139638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2.1304916240953529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35.277745557582897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35.277745557582897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112.76754641782966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3821.8926237383225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3821.8926237383225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1.2194753168314114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79.071361979320926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79.071361979320926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151.6536938070264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7843.6230689895647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7843.6230689895647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4.3459340192907803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29.443789899375417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29.443789899375417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76.861760528245512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1827.5546023621989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1827.5546023621989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244.54842432345563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2788.4660705209226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667.3864082730629</v>
      </c>
      <c r="J236" s="76">
        <f t="shared" si="42"/>
        <v>667.3864082730629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21.797223474992101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869.70921665218475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869.70921665218475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51.452865775995633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1001.4484607132807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1001.4484607132807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4913.2774568167742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94855.734581304656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94855.734581304656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1381.7264552567024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9085.3764993658169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4272.2358977218491</v>
      </c>
      <c r="J240" s="76">
        <f t="shared" si="42"/>
        <v>4272.2358977218491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79.558734724280086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245.06317939650546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104.81480698110011</v>
      </c>
      <c r="J241" s="76">
        <f t="shared" si="42"/>
        <v>104.81480698110011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103.024958866636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349.0485606401628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268.58265774220655</v>
      </c>
      <c r="J242" s="76">
        <f t="shared" si="42"/>
        <v>268.58265774220655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2376.0807731862733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128748.03173832915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128748.03173832915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2.7617484016050868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45.730410907977834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45.730410907977834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146.18015276385327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4954.3052529941224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4954.3052529941224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1.5808013366333109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102.49991367689748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102.49991367689748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196.58812160170083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10167.65953387536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10167.65953387536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5.6336181731547148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38.167875795486651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38.167875795486651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99.635615499577497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2369.0522623213683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2369.0522623213683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317.00721671559063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3614.678239564159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865.13052924285921</v>
      </c>
      <c r="J250" s="76">
        <f t="shared" si="42"/>
        <v>865.13052924285921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28.255660060174939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1127.4008364009799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1127.4008364009799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66.698159339253593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1298.1739305542526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1298.1739305542526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6369.0633699476693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122961.13742020971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122961.13742020971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190174.15207493372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1333120.8060452854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626876.22950838727</v>
      </c>
      <c r="J268" s="76">
        <f t="shared" si="42"/>
        <v>626876.22950838727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14634.530814874721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56489.288945416425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24160.765121444623</v>
      </c>
      <c r="J269" s="76">
        <f t="shared" si="42"/>
        <v>24160.765121444623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21415.704421878378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94229.09945626487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72506.535830436726</v>
      </c>
      <c r="J270" s="76">
        <f t="shared" si="42"/>
        <v>72506.535830436726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118583.25035158051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5884100.8824454248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5884100.8824454248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2459.5803417061084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51036.292090401752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51036.292090401752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10345.22343108295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439370.94434551767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439370.94434551767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15811.216143862219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1284720.3087639688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1284720.3087639688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32012.416450807639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1424872.6562254482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1424872.6562254482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959.15016801528964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8143.1849264498105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8143.1849264498105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8489.1765698018808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252943.02550483562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252943.02550483562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19084.489401980361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272695.61173093005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65266.472771150577</v>
      </c>
      <c r="J278" s="76">
        <f t="shared" si="55"/>
        <v>65266.472771150577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3584.3960536589798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179219.802682949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179219.802682949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1378.3575978842866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33618.477997177724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33618.477997177724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33436.147663246578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461084.4762761704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461084.4762761704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177761.24151833868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1246106.3030435541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585959.21485606441</v>
      </c>
      <c r="J282" s="76">
        <f t="shared" si="55"/>
        <v>585959.21485606441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13679.31623886233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52802.160682008594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22583.761027254041</v>
      </c>
      <c r="J283" s="76">
        <f t="shared" si="55"/>
        <v>22583.761027254041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20017.87395651362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88078.645408659941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67773.941341585611</v>
      </c>
      <c r="J284" s="76">
        <f t="shared" si="55"/>
        <v>67773.941341585611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110843.16967255903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5500038.0791523792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5500038.0791523792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2299.0403815945601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47705.087918087127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47705.087918087127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9669.9774434609044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410692.63988709357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410692.63988709357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14779.197808860414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1200864.9682303893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1200864.9682303893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29922.925014832817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1331869.3924102089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1331869.3924102089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896.54520768805401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7611.668813271579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7611.668813271579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7935.0771387784034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236433.11016014192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236433.11016014192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17838.820327711393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254896.41977629336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61006.446474130375</v>
      </c>
      <c r="J292" s="76">
        <f t="shared" si="55"/>
        <v>61006.446474130375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3350.4379309170949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167521.89654585475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167521.89654585475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1288.3904315219554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31424.156866389159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31424.156866389159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31253.727466954875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430988.90176930773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430988.90176930773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29680.358994353821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139399.74208878161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65550.236946859717</v>
      </c>
      <c r="J310" s="76">
        <f t="shared" si="55"/>
        <v>65550.236946859717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2284.0019190844941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5025.2610223697038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2149.3304925955649</v>
      </c>
      <c r="J311" s="76">
        <f t="shared" si="55"/>
        <v>2149.3304925955649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3342.3353722006718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8088.4516007256261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6223.8269195490493</v>
      </c>
      <c r="J312" s="76">
        <f t="shared" si="55"/>
        <v>6223.8269195490493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18507.212482616615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716295.74904220039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716295.74904220039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383.86514003505738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4540.1649437646402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4540.1649437646402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1614.5724430013856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39086.236031661952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39086.236031661952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2467.64645019815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114288.12457732647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114288.12457732647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4996.1574807618863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184574.54465903059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184574.54465903059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149.69395685787757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724.4139654223269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724.4139654223269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1324.9003895066519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22501.694581037111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22501.694581037111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2978.5041263206344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24258.87551756655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5806.0752366936849</v>
      </c>
      <c r="J320" s="76">
        <f t="shared" si="55"/>
        <v>5806.0752366936849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559.41441299880034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15943.31077046581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15943.31077046581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215.11939388945515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2990.6842565119373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2990.6842565119373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5218.3583058246104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71961.161037321377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71961.161037321377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37706.930019041538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177098.13822043242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83277.233868937648</v>
      </c>
      <c r="J324" s="76">
        <f t="shared" si="55"/>
        <v>83277.233868937648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2901.6731415768577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6384.2612460974024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2730.5820151134426</v>
      </c>
      <c r="J325" s="76">
        <f t="shared" si="55"/>
        <v>2730.5820151134426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4246.2156877453126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10275.841964343659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7906.9598231849877</v>
      </c>
      <c r="J326" s="76">
        <f t="shared" si="55"/>
        <v>7906.9598231849877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23512.187506300404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910006.30036884826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910006.30036884826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487.67523245945216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5767.9788119141704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5767.9788119141704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2051.2073364917069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49656.473731803118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49656.473731803118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3134.9813533946331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145195.4916133107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145195.4916133107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6347.2871243584768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234489.73242131254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234489.73242131254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190.17625617625387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920.31995651374552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920.31995651374552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1683.1981809529948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28586.912410271703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28586.912410271703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3783.9921907266594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30819.294391133648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7376.2339827812166</v>
      </c>
      <c r="J334" s="76">
        <f t="shared" si="55"/>
        <v>7376.2339827812166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710.69895504302008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20254.920218726071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20254.920218726071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273.29494001980873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3799.4662392997802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3799.4662392997802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6629.5785535964887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91421.888254095582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91421.888254095582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1752.9487519585884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14745.804901475647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6933.951173656309</v>
      </c>
      <c r="J352" s="76">
        <f t="shared" si="60"/>
        <v>6933.951173656309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47.402536309570174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219.56854818592902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93.910619514131326</v>
      </c>
      <c r="J353" s="76">
        <f t="shared" si="60"/>
        <v>93.910619514131326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191.46624906280843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1010.9417950516286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777.89014124472294</v>
      </c>
      <c r="J354" s="76">
        <f t="shared" si="60"/>
        <v>777.89014124472294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562.99099727781993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33522.735941910505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33522.735941910505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10.662439786194978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265.49475067625497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265.49475067625497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18.127123488677832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923.85028726105998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923.85028726105998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50.643369270114505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4937.9552651911044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4937.9552651911044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53.993646777040333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2883.9086616552786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2883.9086616552786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11.647539532185737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118.66513275390831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118.66513275390831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83.169081452753318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2973.7215031127798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2973.7215031127798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603.80358732362868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10353.198462420129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2477.9157290165494</v>
      </c>
      <c r="J362" s="76">
        <f t="shared" si="60"/>
        <v>2477.9157290165494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18.25162816502359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1095.0976899014156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1095.0976899014156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38.736771764982237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1133.7591736092363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1133.7591736092363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4383.0738282155862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72531.105709311538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72531.105709311538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1671.8875379951853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14063.917969615499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6613.3060326779805</v>
      </c>
      <c r="J366" s="76">
        <f t="shared" si="60"/>
        <v>6613.3060326779805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45.21051150912762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209.41508931027917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89.56793190654146</v>
      </c>
      <c r="J367" s="76">
        <f t="shared" si="60"/>
        <v>89.56793190654146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182.61231847030859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964.19304152322934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741.91834280566047</v>
      </c>
      <c r="J368" s="76">
        <f t="shared" si="60"/>
        <v>741.91834280566047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536.95673150774724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31972.551620897299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31972.551620897299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10.169378986833362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253.21753677215071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253.21753677215071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17.288875003652265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881.12888669407448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881.12888669407448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48.301479361669905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4709.6105130435399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4709.6105130435399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51.496830741107829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2750.5487235440514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2750.5487235440514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11.108924987344778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113.17772777106862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113.17772777106862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79.323112368232927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2836.2083700208591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2836.2083700208591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575.88203415259386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9874.4378398804711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2363.3300305649177</v>
      </c>
      <c r="J376" s="76">
        <f t="shared" si="60"/>
        <v>2363.3300305649177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17.407622238317295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1044.4573342990377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1044.4573342990377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36.945475960821213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1081.3310037313527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1081.3310037313527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4180.3883332692003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69177.066138938724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69177.066138938724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273.58159712648495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1541.9168246687541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725.05882503724069</v>
      </c>
      <c r="J394" s="76">
        <f t="shared" si="60"/>
        <v>725.05882503724069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7.3980837014936114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19.532716512031495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8.3542452851010474</v>
      </c>
      <c r="J395" s="76">
        <f t="shared" si="60"/>
        <v>8.3542452851010474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29.882015749686865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86.77737373709067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66.772650852509457</v>
      </c>
      <c r="J396" s="76">
        <f t="shared" si="60"/>
        <v>66.772650852509457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87.865646973995027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4080.8602250672566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4080.8602250672566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1.6640801978454596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23.618290248020603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23.618290248020603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2.8290886369612802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82.185294340738224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82.185294340738224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7.9038784410005301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439.27821694387916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439.27821694387916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8.4267541212721913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373.57452663407389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373.57452663407389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1.8178240888382367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10.556395335737855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10.556395335737855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12.9801456602563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264.54088978558201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264.54088978558201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94.235241952242646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921.01574761066934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220.43423739632777</v>
      </c>
      <c r="J404" s="76">
        <f t="shared" si="60"/>
        <v>220.43423739632777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2.8485200026337401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97.419384090073905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97.419384090073905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6.0456233390434706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100.85869180257887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100.85869180257887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684.06354544405099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11319.883550008157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11319.883550008157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354.6428110898878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1998.7810690150513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939.89106949271923</v>
      </c>
      <c r="J408" s="76">
        <f t="shared" si="64"/>
        <v>939.89106949271923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9.5901085019361609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25.320188071151932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10.829577221427284</v>
      </c>
      <c r="J409" s="76">
        <f t="shared" si="64"/>
        <v>10.829577221427284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38.735946342186679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112.48918817771012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86.557139993993758</v>
      </c>
      <c r="J410" s="76">
        <f t="shared" si="64"/>
        <v>86.557139993993758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113.89991274406761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5290.003995457555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5290.003995457555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2.1571409972070765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30.61630217336004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30.61630217336004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3.6673371219868445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106.53649266391993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106.53649266391993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10.245768349445131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569.43472566799153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569.43472566799153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10.923570157204692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484.2632752663921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484.2632752663921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2.3564386336791951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13.684216175956474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13.684216175956474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16.826114744776682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342.92337564797663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342.92337564797663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122.15679512327748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1193.9093024582751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285.7480855137581</v>
      </c>
      <c r="J418" s="76">
        <f t="shared" si="64"/>
        <v>285.7480855137581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3.6925259293400323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126.2843867834291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126.2843867834291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7.8369191432044989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130.74274863297259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130.74274863297259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886.74904039043645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14673.923120380941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14673.923120380941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1053.0573109296802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10334.704449463881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4859.7100345183562</v>
      </c>
      <c r="J436" s="76">
        <f t="shared" si="64"/>
        <v>4859.7100345183562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19.126993325199422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103.36227192937768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44.208585753622174</v>
      </c>
      <c r="J437" s="76">
        <f t="shared" si="64"/>
        <v>44.208585753622174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93.430886843548848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575.53426295626093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442.85678096765128</v>
      </c>
      <c r="J438" s="76">
        <f t="shared" si="64"/>
        <v>442.85678096765128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686.58489509283288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47695.679492308911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47695.679492308911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3.2314797199590726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93.874485864811049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93.874485864811049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18.419048913328059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1095.1830046465504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1095.1830046465504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21.211111456389141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2412.8747324778428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2412.8747324778428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21.786516121482823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1357.6049655940806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1357.6049655940806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7.9057923278821436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93.968247609207168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93.968247609207168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56.451191622853806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2354.8231231900932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2354.8231231900932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528.28027242495364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10567.932556534564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2529.3097973610966</v>
      </c>
      <c r="J446" s="76">
        <f t="shared" si="64"/>
        <v>2529.3097973610966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12.388331588802384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867.18321121616691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867.18321121616691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37.789605201644072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1290.3767629829683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1290.3767629829683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3393.0422285443651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65506.073264277518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65506.073264277518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1004.3610190947816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9856.7990413961852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4634.9835589336917</v>
      </c>
      <c r="J450" s="76">
        <f t="shared" si="64"/>
        <v>4634.9835589336917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18.242508084727771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98.582513689868875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42.164258088714782</v>
      </c>
      <c r="J451" s="76">
        <f t="shared" si="64"/>
        <v>42.164258088714782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89.110383405696865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548.91996177909266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422.37785468012981</v>
      </c>
      <c r="J452" s="76">
        <f t="shared" si="64"/>
        <v>422.37785468012981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654.83530456830886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45490.098937751281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45490.098937751281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3.0820471317528724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89.53346917742094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89.53346917742094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17.567300986700172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1044.5387038536462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1044.5387038536462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20.230250811006982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2301.2967101667286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2301.2967101667286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20.77904716788824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1294.825545219788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1294.825545219788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7.5402065554945299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89.622895118608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89.622895118608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53.840731894629357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2245.9295683604932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2245.9295683604932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503.85112687929109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10079.242033689035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2412.3474945929534</v>
      </c>
      <c r="J460" s="76">
        <f t="shared" si="64"/>
        <v>2412.3474945929534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11.815460763886664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827.08225347206644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827.08225347206644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36.042109007348387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1230.7061612265302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1230.7061612265302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3236.1385416752614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62476.890685582592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62476.890685582592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164.34998494278247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1080.6636039930729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508.16274291582124</v>
      </c>
      <c r="J478" s="76">
        <f t="shared" si="68"/>
        <v>508.16274291582124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2.9851376865918176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9.1950599132550419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3.9327753453655783</v>
      </c>
      <c r="J479" s="76">
        <f t="shared" si="68"/>
        <v>3.9327753453655783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14.581699102750399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49.402796560118354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38.014006921211696</v>
      </c>
      <c r="J480" s="76">
        <f t="shared" si="68"/>
        <v>38.014006921211696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107.15486802026872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5806.1908098729809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5806.1908098729809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0.50433498519592468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8.3510308523667174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8.3510308523667174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2.8746492523691192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97.426973650349197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97.426973650349197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3.3104046781647791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214.64822042100579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214.64822042100579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3.4002077183817128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175.86085132348759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175.86085132348759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1.2338519818081959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8.3593718537901633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8.3593718537901633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8.8103015827575319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209.48397610344239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209.48397610344239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82.448366216611277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940.11839332408658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225.00622995021547</v>
      </c>
      <c r="J488" s="76">
        <f t="shared" ref="J488:J505" si="70">IF(I488&lt;&gt;0,I488,H488)</f>
        <v>225.00622995021547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1.9334390340905452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77.144217460212744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77.144217460212744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5.8977996557479182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114.79132012894728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114.79132012894728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529.54994318322474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10223.491203095338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10223.491203095338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213.04627677768096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1400.8602273984279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658.72948155754602</v>
      </c>
      <c r="J492" s="76">
        <f t="shared" si="70"/>
        <v>658.72948155754602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3.8696229270634666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11.919522109775052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5.0980421143627872</v>
      </c>
      <c r="J493" s="76">
        <f t="shared" si="70"/>
        <v>5.0980421143627872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18.902202540602364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64.040662207560814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49.277416379348487</v>
      </c>
      <c r="J494" s="76">
        <f t="shared" si="70"/>
        <v>49.277416379348487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138.90445854479279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7526.5436424279396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7526.5436424279396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0.65376757340212444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10.825410364179078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10.825410364179078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3.7263971789970061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126.29422510230449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126.29422510230449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4.291265323546936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278.24769313834076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278.24769313834076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4.4076766719762936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227.96777023415052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227.96777023415052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1.5994377541958094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10.836222773431693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10.836222773431693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11.420761310981984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271.55330235631408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271.55330235631408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106.87751176227387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1218.6719913460379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291.6747425280571</v>
      </c>
      <c r="J502" s="76">
        <f t="shared" si="70"/>
        <v>291.6747425280571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2.5063098590062625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100.00176337434986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100.00176337434986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7.6452958500435964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148.80356313011683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148.80356313011683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686.45363005232821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13252.673781790247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13252.673781790247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2021-09-29T11:33:03Z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620320558547973</vt:r8>
  </property>
</Properties>
</file>